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Запланированный ремонт на 2021 г\"/>
    </mc:Choice>
  </mc:AlternateContent>
  <bookViews>
    <workbookView xWindow="0" yWindow="0" windowWidth="20490" windowHeight="7620" activeTab="3"/>
  </bookViews>
  <sheets>
    <sheet name="Смета СН-2012 по гл. 1-5" sheetId="5" r:id="rId1"/>
    <sheet name="Дефектная ведомость" sheetId="6" r:id="rId2"/>
    <sheet name="RV_DATA" sheetId="8" state="hidden" r:id="rId3"/>
    <sheet name="Расчет стоимости ресурсов" sheetId="7" r:id="rId4"/>
    <sheet name="Source" sheetId="1" r:id="rId5"/>
    <sheet name="SourceObSm" sheetId="2" r:id="rId6"/>
    <sheet name="SmtRes" sheetId="3" r:id="rId7"/>
    <sheet name="EtalonRes" sheetId="4" r:id="rId8"/>
  </sheets>
  <definedNames>
    <definedName name="_xlnm.Print_Titles" localSheetId="1">'Дефектная ведомость'!$18:$18</definedName>
    <definedName name="_xlnm.Print_Titles" localSheetId="3">'Расчет стоимости ресурсов'!$4:$7</definedName>
    <definedName name="_xlnm.Print_Titles" localSheetId="0">'Смета СН-2012 по гл. 1-5'!$30:$30</definedName>
    <definedName name="_xlnm.Print_Area" localSheetId="1">'Дефектная ведомость'!$A$1:$E$179</definedName>
    <definedName name="_xlnm.Print_Area" localSheetId="3">'Расчет стоимости ресурсов'!$A$1:$H$232</definedName>
    <definedName name="_xlnm.Print_Area" localSheetId="0">'Смета СН-2012 по гл. 1-5'!$A$1:$K$749</definedName>
  </definedNames>
  <calcPr calcId="162913"/>
</workbook>
</file>

<file path=xl/calcChain.xml><?xml version="1.0" encoding="utf-8"?>
<calcChain xmlns="http://schemas.openxmlformats.org/spreadsheetml/2006/main">
  <c r="A225" i="7" l="1"/>
  <c r="A217" i="7"/>
  <c r="A210" i="7"/>
  <c r="A202" i="7"/>
  <c r="A185" i="7"/>
  <c r="A147" i="7"/>
  <c r="G143" i="7"/>
  <c r="A114" i="7"/>
  <c r="G111" i="7"/>
  <c r="E100" i="7"/>
  <c r="A81" i="7"/>
  <c r="A46" i="7"/>
  <c r="A10" i="7"/>
  <c r="A9" i="7"/>
  <c r="A8" i="7"/>
  <c r="A3" i="7"/>
  <c r="U249" i="8"/>
  <c r="Q249" i="8"/>
  <c r="S249" i="8"/>
  <c r="P249" i="8"/>
  <c r="M249" i="8"/>
  <c r="L249" i="8"/>
  <c r="O249" i="8" s="1"/>
  <c r="N249" i="8"/>
  <c r="K249" i="8"/>
  <c r="J249" i="8"/>
  <c r="I249" i="8"/>
  <c r="H249" i="8"/>
  <c r="G249" i="8"/>
  <c r="F249" i="8"/>
  <c r="E249" i="8"/>
  <c r="U248" i="8"/>
  <c r="R248" i="8"/>
  <c r="Q248" i="8"/>
  <c r="T248" i="8" s="1"/>
  <c r="S248" i="8"/>
  <c r="P248" i="8"/>
  <c r="O248" i="8"/>
  <c r="M248" i="8"/>
  <c r="L248" i="8"/>
  <c r="N248" i="8"/>
  <c r="K248" i="8"/>
  <c r="J248" i="8"/>
  <c r="I248" i="8"/>
  <c r="H248" i="8"/>
  <c r="G248" i="8"/>
  <c r="F248" i="8"/>
  <c r="E248" i="8"/>
  <c r="U247" i="8"/>
  <c r="T247" i="8"/>
  <c r="R247" i="8"/>
  <c r="Q247" i="8"/>
  <c r="S247" i="8"/>
  <c r="P247" i="8"/>
  <c r="O247" i="8"/>
  <c r="H229" i="7" s="1"/>
  <c r="M247" i="8"/>
  <c r="L247" i="8"/>
  <c r="N247" i="8"/>
  <c r="G229" i="7" s="1"/>
  <c r="K247" i="8"/>
  <c r="E229" i="7" s="1"/>
  <c r="J247" i="8"/>
  <c r="I247" i="8"/>
  <c r="H247" i="8"/>
  <c r="G247" i="8"/>
  <c r="F247" i="8"/>
  <c r="E247" i="8"/>
  <c r="U246" i="8"/>
  <c r="T246" i="8"/>
  <c r="R246" i="8"/>
  <c r="Q246" i="8"/>
  <c r="S246" i="8"/>
  <c r="P246" i="8"/>
  <c r="L246" i="8"/>
  <c r="N246" i="8"/>
  <c r="K246" i="8"/>
  <c r="J246" i="8"/>
  <c r="I246" i="8"/>
  <c r="H246" i="8"/>
  <c r="G246" i="8"/>
  <c r="F246" i="8"/>
  <c r="E246" i="8"/>
  <c r="U245" i="8"/>
  <c r="Q245" i="8"/>
  <c r="S245" i="8"/>
  <c r="P245" i="8"/>
  <c r="L245" i="8"/>
  <c r="N245" i="8"/>
  <c r="G228" i="7" s="1"/>
  <c r="K245" i="8"/>
  <c r="E228" i="7" s="1"/>
  <c r="J245" i="8"/>
  <c r="I245" i="8"/>
  <c r="D228" i="7" s="1"/>
  <c r="H245" i="8"/>
  <c r="G245" i="8"/>
  <c r="F245" i="8"/>
  <c r="E245" i="8"/>
  <c r="U244" i="8"/>
  <c r="Q244" i="8"/>
  <c r="T244" i="8" s="1"/>
  <c r="S244" i="8"/>
  <c r="P244" i="8"/>
  <c r="O244" i="8"/>
  <c r="M244" i="8"/>
  <c r="L244" i="8"/>
  <c r="N244" i="8"/>
  <c r="K244" i="8"/>
  <c r="J244" i="8"/>
  <c r="I244" i="8"/>
  <c r="H244" i="8"/>
  <c r="G244" i="8"/>
  <c r="F244" i="8"/>
  <c r="E244" i="8"/>
  <c r="U243" i="8"/>
  <c r="T243" i="8"/>
  <c r="R243" i="8"/>
  <c r="Q243" i="8"/>
  <c r="S243" i="8"/>
  <c r="P243" i="8"/>
  <c r="O243" i="8"/>
  <c r="M243" i="8"/>
  <c r="L243" i="8"/>
  <c r="N243" i="8"/>
  <c r="G230" i="7" s="1"/>
  <c r="K243" i="8"/>
  <c r="E230" i="7" s="1"/>
  <c r="J243" i="8"/>
  <c r="I243" i="8"/>
  <c r="H243" i="8"/>
  <c r="G243" i="8"/>
  <c r="F243" i="8"/>
  <c r="E243" i="8"/>
  <c r="U242" i="8"/>
  <c r="T242" i="8"/>
  <c r="R242" i="8"/>
  <c r="Q242" i="8"/>
  <c r="S242" i="8"/>
  <c r="P242" i="8"/>
  <c r="L242" i="8"/>
  <c r="N242" i="8"/>
  <c r="G227" i="7" s="1"/>
  <c r="K242" i="8"/>
  <c r="E227" i="7" s="1"/>
  <c r="J242" i="8"/>
  <c r="I242" i="8"/>
  <c r="D227" i="7" s="1"/>
  <c r="H242" i="8"/>
  <c r="G242" i="8"/>
  <c r="F242" i="8"/>
  <c r="E242" i="8"/>
  <c r="G241" i="8"/>
  <c r="A241" i="8"/>
  <c r="U240" i="8"/>
  <c r="T240" i="8"/>
  <c r="S240" i="8"/>
  <c r="P240" i="8"/>
  <c r="N240" i="8"/>
  <c r="K240" i="8"/>
  <c r="E223" i="7" s="1"/>
  <c r="I240" i="8"/>
  <c r="H240" i="8"/>
  <c r="G240" i="8"/>
  <c r="F240" i="8"/>
  <c r="E240" i="8"/>
  <c r="D240" i="8"/>
  <c r="A240" i="8"/>
  <c r="U239" i="8"/>
  <c r="S239" i="8"/>
  <c r="P239" i="8"/>
  <c r="N239" i="8"/>
  <c r="G222" i="7" s="1"/>
  <c r="K239" i="8"/>
  <c r="E222" i="7" s="1"/>
  <c r="I239" i="8"/>
  <c r="H239" i="8"/>
  <c r="G239" i="8"/>
  <c r="F239" i="8"/>
  <c r="E239" i="8"/>
  <c r="D239" i="8"/>
  <c r="A239" i="8"/>
  <c r="U238" i="8"/>
  <c r="T238" i="8"/>
  <c r="S238" i="8"/>
  <c r="P238" i="8"/>
  <c r="N238" i="8"/>
  <c r="K238" i="8"/>
  <c r="E221" i="7" s="1"/>
  <c r="I238" i="8"/>
  <c r="H238" i="8"/>
  <c r="G238" i="8"/>
  <c r="F238" i="8"/>
  <c r="E238" i="8"/>
  <c r="D238" i="8"/>
  <c r="A238" i="8"/>
  <c r="U237" i="8"/>
  <c r="S237" i="8"/>
  <c r="P237" i="8"/>
  <c r="N237" i="8"/>
  <c r="G220" i="7" s="1"/>
  <c r="K237" i="8"/>
  <c r="E220" i="7" s="1"/>
  <c r="I237" i="8"/>
  <c r="H237" i="8"/>
  <c r="G237" i="8"/>
  <c r="F237" i="8"/>
  <c r="E237" i="8"/>
  <c r="D237" i="8"/>
  <c r="A237" i="8"/>
  <c r="U236" i="8"/>
  <c r="T236" i="8"/>
  <c r="R236" i="8"/>
  <c r="Q236" i="8"/>
  <c r="S236" i="8"/>
  <c r="P236" i="8"/>
  <c r="O236" i="8"/>
  <c r="H219" i="7" s="1"/>
  <c r="M236" i="8"/>
  <c r="F219" i="7" s="1"/>
  <c r="L236" i="8"/>
  <c r="N236" i="8"/>
  <c r="G219" i="7" s="1"/>
  <c r="K236" i="8"/>
  <c r="E219" i="7" s="1"/>
  <c r="J236" i="8"/>
  <c r="I236" i="8"/>
  <c r="D219" i="7" s="1"/>
  <c r="H236" i="8"/>
  <c r="G236" i="8"/>
  <c r="F236" i="8"/>
  <c r="E236" i="8"/>
  <c r="G235" i="8"/>
  <c r="A235" i="8"/>
  <c r="U234" i="8"/>
  <c r="S234" i="8"/>
  <c r="T234" i="8" s="1"/>
  <c r="R234" i="8"/>
  <c r="P234" i="8"/>
  <c r="N234" i="8"/>
  <c r="M234" i="8"/>
  <c r="F215" i="7" s="1"/>
  <c r="K234" i="8"/>
  <c r="E215" i="7" s="1"/>
  <c r="I234" i="8"/>
  <c r="D215" i="7" s="1"/>
  <c r="H234" i="8"/>
  <c r="G234" i="8"/>
  <c r="F234" i="8"/>
  <c r="E234" i="8"/>
  <c r="D234" i="8"/>
  <c r="A234" i="8"/>
  <c r="U233" i="8"/>
  <c r="S233" i="8"/>
  <c r="T233" i="8" s="1"/>
  <c r="R233" i="8"/>
  <c r="P233" i="8"/>
  <c r="N233" i="8"/>
  <c r="M233" i="8"/>
  <c r="F214" i="7" s="1"/>
  <c r="K233" i="8"/>
  <c r="E214" i="7" s="1"/>
  <c r="I233" i="8"/>
  <c r="D214" i="7" s="1"/>
  <c r="H233" i="8"/>
  <c r="G233" i="8"/>
  <c r="F233" i="8"/>
  <c r="E233" i="8"/>
  <c r="D233" i="8"/>
  <c r="A233" i="8"/>
  <c r="U232" i="8"/>
  <c r="S232" i="8"/>
  <c r="T232" i="8" s="1"/>
  <c r="R232" i="8"/>
  <c r="P232" i="8"/>
  <c r="N232" i="8"/>
  <c r="M232" i="8"/>
  <c r="F213" i="7" s="1"/>
  <c r="K232" i="8"/>
  <c r="E213" i="7" s="1"/>
  <c r="I232" i="8"/>
  <c r="D213" i="7" s="1"/>
  <c r="H232" i="8"/>
  <c r="G232" i="8"/>
  <c r="F232" i="8"/>
  <c r="E232" i="8"/>
  <c r="D232" i="8"/>
  <c r="A232" i="8"/>
  <c r="U231" i="8"/>
  <c r="R231" i="8"/>
  <c r="Q231" i="8"/>
  <c r="T231" i="8" s="1"/>
  <c r="S231" i="8"/>
  <c r="P231" i="8"/>
  <c r="O231" i="8"/>
  <c r="H212" i="7" s="1"/>
  <c r="M231" i="8"/>
  <c r="F212" i="7" s="1"/>
  <c r="L231" i="8"/>
  <c r="N231" i="8"/>
  <c r="G212" i="7" s="1"/>
  <c r="K231" i="8"/>
  <c r="E212" i="7" s="1"/>
  <c r="J231" i="8"/>
  <c r="I231" i="8"/>
  <c r="D212" i="7" s="1"/>
  <c r="H231" i="8"/>
  <c r="G231" i="8"/>
  <c r="F231" i="8"/>
  <c r="E231" i="8"/>
  <c r="G230" i="8"/>
  <c r="A230" i="8"/>
  <c r="U229" i="8"/>
  <c r="S229" i="8"/>
  <c r="T229" i="8" s="1"/>
  <c r="R229" i="8"/>
  <c r="P229" i="8"/>
  <c r="N229" i="8"/>
  <c r="G208" i="7" s="1"/>
  <c r="K229" i="8"/>
  <c r="I229" i="8"/>
  <c r="D208" i="7" s="1"/>
  <c r="H229" i="8"/>
  <c r="G229" i="8"/>
  <c r="F229" i="8"/>
  <c r="E229" i="8"/>
  <c r="D229" i="8"/>
  <c r="A229" i="8"/>
  <c r="U228" i="8"/>
  <c r="S228" i="8"/>
  <c r="T228" i="8" s="1"/>
  <c r="P228" i="8"/>
  <c r="R228" i="8" s="1"/>
  <c r="N228" i="8"/>
  <c r="G207" i="7" s="1"/>
  <c r="M228" i="8"/>
  <c r="F207" i="7" s="1"/>
  <c r="K228" i="8"/>
  <c r="E207" i="7" s="1"/>
  <c r="I228" i="8"/>
  <c r="D207" i="7" s="1"/>
  <c r="H228" i="8"/>
  <c r="G228" i="8"/>
  <c r="F228" i="8"/>
  <c r="E228" i="8"/>
  <c r="D228" i="8"/>
  <c r="A228" i="8"/>
  <c r="U227" i="8"/>
  <c r="S227" i="8"/>
  <c r="R227" i="8"/>
  <c r="P227" i="8"/>
  <c r="N227" i="8"/>
  <c r="G206" i="7" s="1"/>
  <c r="K227" i="8"/>
  <c r="I227" i="8"/>
  <c r="D206" i="7" s="1"/>
  <c r="H227" i="8"/>
  <c r="G227" i="8"/>
  <c r="F227" i="8"/>
  <c r="E227" i="8"/>
  <c r="D227" i="8"/>
  <c r="A227" i="8"/>
  <c r="U226" i="8"/>
  <c r="S226" i="8"/>
  <c r="P226" i="8"/>
  <c r="R226" i="8" s="1"/>
  <c r="N226" i="8"/>
  <c r="G205" i="7" s="1"/>
  <c r="M226" i="8"/>
  <c r="F205" i="7" s="1"/>
  <c r="K226" i="8"/>
  <c r="E205" i="7" s="1"/>
  <c r="I226" i="8"/>
  <c r="D205" i="7" s="1"/>
  <c r="H226" i="8"/>
  <c r="G226" i="8"/>
  <c r="F226" i="8"/>
  <c r="E226" i="8"/>
  <c r="D226" i="8"/>
  <c r="A226" i="8"/>
  <c r="U225" i="8"/>
  <c r="Q225" i="8"/>
  <c r="S225" i="8"/>
  <c r="P225" i="8"/>
  <c r="L225" i="8"/>
  <c r="O225" i="8" s="1"/>
  <c r="H204" i="7" s="1"/>
  <c r="N225" i="8"/>
  <c r="G204" i="7" s="1"/>
  <c r="K225" i="8"/>
  <c r="E204" i="7" s="1"/>
  <c r="J225" i="8"/>
  <c r="I225" i="8"/>
  <c r="D204" i="7" s="1"/>
  <c r="H225" i="8"/>
  <c r="G225" i="8"/>
  <c r="F225" i="8"/>
  <c r="E225" i="8"/>
  <c r="G224" i="8"/>
  <c r="A224" i="8"/>
  <c r="U223" i="8"/>
  <c r="T223" i="8"/>
  <c r="R223" i="8"/>
  <c r="Q223" i="8"/>
  <c r="S223" i="8"/>
  <c r="P223" i="8"/>
  <c r="L223" i="8"/>
  <c r="N223" i="8"/>
  <c r="G187" i="7" s="1"/>
  <c r="K223" i="8"/>
  <c r="E187" i="7" s="1"/>
  <c r="J223" i="8"/>
  <c r="I223" i="8"/>
  <c r="D187" i="7" s="1"/>
  <c r="H223" i="8"/>
  <c r="G223" i="8"/>
  <c r="F223" i="8"/>
  <c r="E223" i="8"/>
  <c r="U222" i="8"/>
  <c r="Q222" i="8"/>
  <c r="S222" i="8"/>
  <c r="P222" i="8"/>
  <c r="M222" i="8"/>
  <c r="F189" i="7" s="1"/>
  <c r="L222" i="8"/>
  <c r="O222" i="8" s="1"/>
  <c r="H189" i="7" s="1"/>
  <c r="N222" i="8"/>
  <c r="G189" i="7" s="1"/>
  <c r="K222" i="8"/>
  <c r="E189" i="7" s="1"/>
  <c r="J222" i="8"/>
  <c r="I222" i="8"/>
  <c r="D189" i="7" s="1"/>
  <c r="H222" i="8"/>
  <c r="G222" i="8"/>
  <c r="F222" i="8"/>
  <c r="E222" i="8"/>
  <c r="U221" i="8"/>
  <c r="R221" i="8"/>
  <c r="Q221" i="8"/>
  <c r="T221" i="8" s="1"/>
  <c r="S221" i="8"/>
  <c r="P221" i="8"/>
  <c r="O221" i="8"/>
  <c r="H190" i="7" s="1"/>
  <c r="M221" i="8"/>
  <c r="F190" i="7" s="1"/>
  <c r="L221" i="8"/>
  <c r="N221" i="8"/>
  <c r="G190" i="7" s="1"/>
  <c r="K221" i="8"/>
  <c r="E190" i="7" s="1"/>
  <c r="J221" i="8"/>
  <c r="I221" i="8"/>
  <c r="D190" i="7" s="1"/>
  <c r="H221" i="8"/>
  <c r="G221" i="8"/>
  <c r="F221" i="8"/>
  <c r="E221" i="8"/>
  <c r="U220" i="8"/>
  <c r="T220" i="8"/>
  <c r="R220" i="8"/>
  <c r="Q220" i="8"/>
  <c r="S220" i="8"/>
  <c r="P220" i="8"/>
  <c r="O220" i="8"/>
  <c r="H191" i="7" s="1"/>
  <c r="M220" i="8"/>
  <c r="F191" i="7" s="1"/>
  <c r="L220" i="8"/>
  <c r="N220" i="8"/>
  <c r="G191" i="7" s="1"/>
  <c r="K220" i="8"/>
  <c r="E191" i="7" s="1"/>
  <c r="J220" i="8"/>
  <c r="I220" i="8"/>
  <c r="D191" i="7" s="1"/>
  <c r="H220" i="8"/>
  <c r="G220" i="8"/>
  <c r="F220" i="8"/>
  <c r="E220" i="8"/>
  <c r="U219" i="8"/>
  <c r="T219" i="8"/>
  <c r="R219" i="8"/>
  <c r="Q219" i="8"/>
  <c r="S219" i="8"/>
  <c r="P219" i="8"/>
  <c r="L219" i="8"/>
  <c r="N219" i="8"/>
  <c r="G197" i="7" s="1"/>
  <c r="K219" i="8"/>
  <c r="E197" i="7" s="1"/>
  <c r="J219" i="8"/>
  <c r="I219" i="8"/>
  <c r="D197" i="7" s="1"/>
  <c r="H219" i="8"/>
  <c r="G219" i="8"/>
  <c r="F219" i="8"/>
  <c r="E219" i="8"/>
  <c r="U218" i="8"/>
  <c r="Q218" i="8"/>
  <c r="S218" i="8"/>
  <c r="P218" i="8"/>
  <c r="L218" i="8"/>
  <c r="N218" i="8"/>
  <c r="G198" i="7" s="1"/>
  <c r="K218" i="8"/>
  <c r="E198" i="7" s="1"/>
  <c r="J218" i="8"/>
  <c r="I218" i="8"/>
  <c r="D198" i="7" s="1"/>
  <c r="H218" i="8"/>
  <c r="G218" i="8"/>
  <c r="F218" i="8"/>
  <c r="E218" i="8"/>
  <c r="U217" i="8"/>
  <c r="Q217" i="8"/>
  <c r="T217" i="8" s="1"/>
  <c r="S217" i="8"/>
  <c r="P217" i="8"/>
  <c r="O217" i="8"/>
  <c r="H200" i="7" s="1"/>
  <c r="M217" i="8"/>
  <c r="F200" i="7" s="1"/>
  <c r="L217" i="8"/>
  <c r="N217" i="8"/>
  <c r="G200" i="7" s="1"/>
  <c r="K217" i="8"/>
  <c r="E200" i="7" s="1"/>
  <c r="J217" i="8"/>
  <c r="I217" i="8"/>
  <c r="D200" i="7" s="1"/>
  <c r="H217" i="8"/>
  <c r="G217" i="8"/>
  <c r="F217" i="8"/>
  <c r="E217" i="8"/>
  <c r="U216" i="8"/>
  <c r="T216" i="8"/>
  <c r="R216" i="8"/>
  <c r="Q216" i="8"/>
  <c r="S216" i="8"/>
  <c r="P216" i="8"/>
  <c r="O216" i="8"/>
  <c r="M216" i="8"/>
  <c r="L216" i="8"/>
  <c r="N216" i="8"/>
  <c r="K216" i="8"/>
  <c r="J216" i="8"/>
  <c r="I216" i="8"/>
  <c r="H216" i="8"/>
  <c r="G216" i="8"/>
  <c r="F216" i="8"/>
  <c r="E216" i="8"/>
  <c r="U215" i="8"/>
  <c r="T215" i="8"/>
  <c r="R215" i="8"/>
  <c r="Q215" i="8"/>
  <c r="S215" i="8"/>
  <c r="P215" i="8"/>
  <c r="L215" i="8"/>
  <c r="N215" i="8"/>
  <c r="K215" i="8"/>
  <c r="J215" i="8"/>
  <c r="I215" i="8"/>
  <c r="H215" i="8"/>
  <c r="G215" i="8"/>
  <c r="F215" i="8"/>
  <c r="E215" i="8"/>
  <c r="U214" i="8"/>
  <c r="Q214" i="8"/>
  <c r="S214" i="8"/>
  <c r="P214" i="8"/>
  <c r="M214" i="8"/>
  <c r="L214" i="8"/>
  <c r="O214" i="8" s="1"/>
  <c r="N214" i="8"/>
  <c r="K214" i="8"/>
  <c r="J214" i="8"/>
  <c r="I214" i="8"/>
  <c r="H214" i="8"/>
  <c r="G214" i="8"/>
  <c r="F214" i="8"/>
  <c r="E214" i="8"/>
  <c r="U213" i="8"/>
  <c r="R213" i="8"/>
  <c r="Q213" i="8"/>
  <c r="T213" i="8" s="1"/>
  <c r="S213" i="8"/>
  <c r="P213" i="8"/>
  <c r="O213" i="8"/>
  <c r="M213" i="8"/>
  <c r="L213" i="8"/>
  <c r="N213" i="8"/>
  <c r="K213" i="8"/>
  <c r="J213" i="8"/>
  <c r="I213" i="8"/>
  <c r="H213" i="8"/>
  <c r="G213" i="8"/>
  <c r="F213" i="8"/>
  <c r="E213" i="8"/>
  <c r="U212" i="8"/>
  <c r="T212" i="8"/>
  <c r="R212" i="8"/>
  <c r="Q212" i="8"/>
  <c r="S212" i="8"/>
  <c r="P212" i="8"/>
  <c r="O212" i="8"/>
  <c r="M212" i="8"/>
  <c r="L212" i="8"/>
  <c r="N212" i="8"/>
  <c r="K212" i="8"/>
  <c r="J212" i="8"/>
  <c r="I212" i="8"/>
  <c r="H212" i="8"/>
  <c r="G212" i="8"/>
  <c r="F212" i="8"/>
  <c r="E212" i="8"/>
  <c r="U211" i="8"/>
  <c r="T211" i="8"/>
  <c r="R211" i="8"/>
  <c r="Q211" i="8"/>
  <c r="S211" i="8"/>
  <c r="P211" i="8"/>
  <c r="L211" i="8"/>
  <c r="N211" i="8"/>
  <c r="G188" i="7" s="1"/>
  <c r="K211" i="8"/>
  <c r="E188" i="7" s="1"/>
  <c r="J211" i="8"/>
  <c r="I211" i="8"/>
  <c r="D188" i="7" s="1"/>
  <c r="H211" i="8"/>
  <c r="G211" i="8"/>
  <c r="F211" i="8"/>
  <c r="E211" i="8"/>
  <c r="U210" i="8"/>
  <c r="Q210" i="8"/>
  <c r="S210" i="8"/>
  <c r="P210" i="8"/>
  <c r="L210" i="8"/>
  <c r="N210" i="8"/>
  <c r="G192" i="7" s="1"/>
  <c r="K210" i="8"/>
  <c r="E192" i="7" s="1"/>
  <c r="J210" i="8"/>
  <c r="I210" i="8"/>
  <c r="D192" i="7" s="1"/>
  <c r="H210" i="8"/>
  <c r="G210" i="8"/>
  <c r="F210" i="8"/>
  <c r="E210" i="8"/>
  <c r="U209" i="8"/>
  <c r="Q209" i="8"/>
  <c r="T209" i="8" s="1"/>
  <c r="S209" i="8"/>
  <c r="P209" i="8"/>
  <c r="O209" i="8"/>
  <c r="H193" i="7" s="1"/>
  <c r="M209" i="8"/>
  <c r="F193" i="7" s="1"/>
  <c r="L209" i="8"/>
  <c r="N209" i="8"/>
  <c r="G193" i="7" s="1"/>
  <c r="K209" i="8"/>
  <c r="E193" i="7" s="1"/>
  <c r="J209" i="8"/>
  <c r="I209" i="8"/>
  <c r="H209" i="8"/>
  <c r="G209" i="8"/>
  <c r="F209" i="8"/>
  <c r="E209" i="8"/>
  <c r="U208" i="8"/>
  <c r="T208" i="8"/>
  <c r="R208" i="8"/>
  <c r="Q208" i="8"/>
  <c r="S208" i="8"/>
  <c r="P208" i="8"/>
  <c r="O208" i="8"/>
  <c r="M208" i="8"/>
  <c r="L208" i="8"/>
  <c r="N208" i="8"/>
  <c r="G196" i="7" s="1"/>
  <c r="K208" i="8"/>
  <c r="E196" i="7" s="1"/>
  <c r="J208" i="8"/>
  <c r="I208" i="8"/>
  <c r="H208" i="8"/>
  <c r="G208" i="8"/>
  <c r="F208" i="8"/>
  <c r="E208" i="8"/>
  <c r="U207" i="8"/>
  <c r="T207" i="8"/>
  <c r="R207" i="8"/>
  <c r="Q207" i="8"/>
  <c r="S207" i="8"/>
  <c r="P207" i="8"/>
  <c r="L207" i="8"/>
  <c r="N207" i="8"/>
  <c r="G199" i="7" s="1"/>
  <c r="K207" i="8"/>
  <c r="E199" i="7" s="1"/>
  <c r="J207" i="8"/>
  <c r="I207" i="8"/>
  <c r="D199" i="7" s="1"/>
  <c r="H207" i="8"/>
  <c r="G207" i="8"/>
  <c r="F207" i="8"/>
  <c r="E207" i="8"/>
  <c r="G206" i="8"/>
  <c r="A206" i="8"/>
  <c r="U205" i="8"/>
  <c r="T205" i="8"/>
  <c r="S205" i="8"/>
  <c r="P205" i="8"/>
  <c r="N205" i="8"/>
  <c r="K205" i="8"/>
  <c r="E183" i="7" s="1"/>
  <c r="I205" i="8"/>
  <c r="H205" i="8"/>
  <c r="G205" i="8"/>
  <c r="F205" i="8"/>
  <c r="E205" i="8"/>
  <c r="D205" i="8"/>
  <c r="A205" i="8"/>
  <c r="U204" i="8"/>
  <c r="S204" i="8"/>
  <c r="P204" i="8"/>
  <c r="N204" i="8"/>
  <c r="G182" i="7" s="1"/>
  <c r="K204" i="8"/>
  <c r="E182" i="7" s="1"/>
  <c r="I204" i="8"/>
  <c r="H204" i="8"/>
  <c r="G204" i="8"/>
  <c r="F204" i="8"/>
  <c r="E204" i="8"/>
  <c r="D204" i="8"/>
  <c r="A204" i="8"/>
  <c r="U203" i="8"/>
  <c r="T203" i="8"/>
  <c r="S203" i="8"/>
  <c r="P203" i="8"/>
  <c r="N203" i="8"/>
  <c r="K203" i="8"/>
  <c r="E181" i="7" s="1"/>
  <c r="I203" i="8"/>
  <c r="H203" i="8"/>
  <c r="G203" i="8"/>
  <c r="F203" i="8"/>
  <c r="E203" i="8"/>
  <c r="D203" i="8"/>
  <c r="A203" i="8"/>
  <c r="U202" i="8"/>
  <c r="S202" i="8"/>
  <c r="P202" i="8"/>
  <c r="N202" i="8"/>
  <c r="G180" i="7" s="1"/>
  <c r="K202" i="8"/>
  <c r="E180" i="7" s="1"/>
  <c r="I202" i="8"/>
  <c r="H202" i="8"/>
  <c r="G202" i="8"/>
  <c r="F202" i="8"/>
  <c r="E202" i="8"/>
  <c r="D202" i="8"/>
  <c r="A202" i="8"/>
  <c r="U201" i="8"/>
  <c r="T201" i="8"/>
  <c r="R201" i="8"/>
  <c r="Q201" i="8"/>
  <c r="S201" i="8"/>
  <c r="P201" i="8"/>
  <c r="O201" i="8"/>
  <c r="H176" i="7" s="1"/>
  <c r="M201" i="8"/>
  <c r="F176" i="7" s="1"/>
  <c r="L201" i="8"/>
  <c r="N201" i="8"/>
  <c r="G176" i="7" s="1"/>
  <c r="K201" i="8"/>
  <c r="E176" i="7" s="1"/>
  <c r="J201" i="8"/>
  <c r="I201" i="8"/>
  <c r="D176" i="7" s="1"/>
  <c r="H201" i="8"/>
  <c r="G201" i="8"/>
  <c r="F201" i="8"/>
  <c r="E201" i="8"/>
  <c r="U200" i="8"/>
  <c r="T200" i="8"/>
  <c r="R200" i="8"/>
  <c r="Q200" i="8"/>
  <c r="S200" i="8"/>
  <c r="P200" i="8"/>
  <c r="L200" i="8"/>
  <c r="N200" i="8"/>
  <c r="G156" i="7" s="1"/>
  <c r="K200" i="8"/>
  <c r="E156" i="7" s="1"/>
  <c r="J200" i="8"/>
  <c r="I200" i="8"/>
  <c r="D156" i="7" s="1"/>
  <c r="H200" i="8"/>
  <c r="G200" i="8"/>
  <c r="F200" i="8"/>
  <c r="E200" i="8"/>
  <c r="U199" i="8"/>
  <c r="Q199" i="8"/>
  <c r="S199" i="8"/>
  <c r="P199" i="8"/>
  <c r="L199" i="8"/>
  <c r="N199" i="8"/>
  <c r="G175" i="7" s="1"/>
  <c r="K199" i="8"/>
  <c r="E175" i="7" s="1"/>
  <c r="J199" i="8"/>
  <c r="I199" i="8"/>
  <c r="D175" i="7" s="1"/>
  <c r="H199" i="8"/>
  <c r="G199" i="8"/>
  <c r="F199" i="8"/>
  <c r="E199" i="8"/>
  <c r="U198" i="8"/>
  <c r="Q198" i="8"/>
  <c r="T198" i="8" s="1"/>
  <c r="S198" i="8"/>
  <c r="P198" i="8"/>
  <c r="O198" i="8"/>
  <c r="H177" i="7" s="1"/>
  <c r="M198" i="8"/>
  <c r="F177" i="7" s="1"/>
  <c r="L198" i="8"/>
  <c r="N198" i="8"/>
  <c r="G177" i="7" s="1"/>
  <c r="K198" i="8"/>
  <c r="E177" i="7" s="1"/>
  <c r="J198" i="8"/>
  <c r="I198" i="8"/>
  <c r="D177" i="7" s="1"/>
  <c r="H198" i="8"/>
  <c r="G198" i="8"/>
  <c r="F198" i="8"/>
  <c r="E198" i="8"/>
  <c r="U197" i="8"/>
  <c r="T197" i="8"/>
  <c r="R197" i="8"/>
  <c r="Q197" i="8"/>
  <c r="S197" i="8"/>
  <c r="P197" i="8"/>
  <c r="O197" i="8"/>
  <c r="H179" i="7" s="1"/>
  <c r="M197" i="8"/>
  <c r="F179" i="7" s="1"/>
  <c r="L197" i="8"/>
  <c r="N197" i="8"/>
  <c r="G179" i="7" s="1"/>
  <c r="K197" i="8"/>
  <c r="E179" i="7" s="1"/>
  <c r="J197" i="8"/>
  <c r="I197" i="8"/>
  <c r="D179" i="7" s="1"/>
  <c r="H197" i="8"/>
  <c r="G197" i="8"/>
  <c r="F197" i="8"/>
  <c r="E197" i="8"/>
  <c r="U196" i="8"/>
  <c r="T196" i="8"/>
  <c r="R196" i="8"/>
  <c r="Q196" i="8"/>
  <c r="S196" i="8"/>
  <c r="P196" i="8"/>
  <c r="L196" i="8"/>
  <c r="N196" i="8"/>
  <c r="K196" i="8"/>
  <c r="J196" i="8"/>
  <c r="I196" i="8"/>
  <c r="H196" i="8"/>
  <c r="G196" i="8"/>
  <c r="F196" i="8"/>
  <c r="E196" i="8"/>
  <c r="U195" i="8"/>
  <c r="Q195" i="8"/>
  <c r="S195" i="8"/>
  <c r="P195" i="8"/>
  <c r="M195" i="8"/>
  <c r="L195" i="8"/>
  <c r="O195" i="8" s="1"/>
  <c r="N195" i="8"/>
  <c r="K195" i="8"/>
  <c r="J195" i="8"/>
  <c r="I195" i="8"/>
  <c r="H195" i="8"/>
  <c r="G195" i="8"/>
  <c r="F195" i="8"/>
  <c r="E195" i="8"/>
  <c r="U194" i="8"/>
  <c r="R194" i="8"/>
  <c r="Q194" i="8"/>
  <c r="T194" i="8" s="1"/>
  <c r="S194" i="8"/>
  <c r="P194" i="8"/>
  <c r="O194" i="8"/>
  <c r="M194" i="8"/>
  <c r="L194" i="8"/>
  <c r="N194" i="8"/>
  <c r="K194" i="8"/>
  <c r="J194" i="8"/>
  <c r="I194" i="8"/>
  <c r="H194" i="8"/>
  <c r="G194" i="8"/>
  <c r="F194" i="8"/>
  <c r="E194" i="8"/>
  <c r="U193" i="8"/>
  <c r="T193" i="8"/>
  <c r="R193" i="8"/>
  <c r="Q193" i="8"/>
  <c r="S193" i="8"/>
  <c r="P193" i="8"/>
  <c r="O193" i="8"/>
  <c r="M193" i="8"/>
  <c r="L193" i="8"/>
  <c r="N193" i="8"/>
  <c r="K193" i="8"/>
  <c r="J193" i="8"/>
  <c r="I193" i="8"/>
  <c r="H193" i="8"/>
  <c r="G193" i="8"/>
  <c r="F193" i="8"/>
  <c r="E193" i="8"/>
  <c r="U192" i="8"/>
  <c r="T192" i="8"/>
  <c r="R192" i="8"/>
  <c r="Q192" i="8"/>
  <c r="S192" i="8"/>
  <c r="P192" i="8"/>
  <c r="L192" i="8"/>
  <c r="M192" i="8" s="1"/>
  <c r="N192" i="8"/>
  <c r="K192" i="8"/>
  <c r="J192" i="8"/>
  <c r="I192" i="8"/>
  <c r="H192" i="8"/>
  <c r="G192" i="8"/>
  <c r="F192" i="8"/>
  <c r="E192" i="8"/>
  <c r="U191" i="8"/>
  <c r="T191" i="8"/>
  <c r="Q191" i="8"/>
  <c r="R191" i="8" s="1"/>
  <c r="S191" i="8"/>
  <c r="P191" i="8"/>
  <c r="M191" i="8"/>
  <c r="L191" i="8"/>
  <c r="O191" i="8" s="1"/>
  <c r="N191" i="8"/>
  <c r="G152" i="7" s="1"/>
  <c r="K191" i="8"/>
  <c r="E152" i="7" s="1"/>
  <c r="J191" i="8"/>
  <c r="I191" i="8"/>
  <c r="H191" i="8"/>
  <c r="G191" i="8"/>
  <c r="F191" i="8"/>
  <c r="E191" i="8"/>
  <c r="U190" i="8"/>
  <c r="R190" i="8"/>
  <c r="Q190" i="8"/>
  <c r="T190" i="8" s="1"/>
  <c r="S190" i="8"/>
  <c r="P190" i="8"/>
  <c r="O190" i="8"/>
  <c r="H154" i="7" s="1"/>
  <c r="M190" i="8"/>
  <c r="F154" i="7" s="1"/>
  <c r="L190" i="8"/>
  <c r="N190" i="8"/>
  <c r="G154" i="7" s="1"/>
  <c r="K190" i="8"/>
  <c r="E154" i="7" s="1"/>
  <c r="J190" i="8"/>
  <c r="I190" i="8"/>
  <c r="D154" i="7" s="1"/>
  <c r="H190" i="8"/>
  <c r="G190" i="8"/>
  <c r="F190" i="8"/>
  <c r="E190" i="8"/>
  <c r="U189" i="8"/>
  <c r="T189" i="8"/>
  <c r="R189" i="8"/>
  <c r="Q189" i="8"/>
  <c r="S189" i="8"/>
  <c r="P189" i="8"/>
  <c r="O189" i="8"/>
  <c r="H157" i="7" s="1"/>
  <c r="M189" i="8"/>
  <c r="F157" i="7" s="1"/>
  <c r="L189" i="8"/>
  <c r="N189" i="8"/>
  <c r="G157" i="7" s="1"/>
  <c r="K189" i="8"/>
  <c r="E157" i="7" s="1"/>
  <c r="J189" i="8"/>
  <c r="I189" i="8"/>
  <c r="D157" i="7" s="1"/>
  <c r="H189" i="8"/>
  <c r="G189" i="8"/>
  <c r="F189" i="8"/>
  <c r="E189" i="8"/>
  <c r="U188" i="8"/>
  <c r="T188" i="8"/>
  <c r="R188" i="8"/>
  <c r="Q188" i="8"/>
  <c r="S188" i="8"/>
  <c r="P188" i="8"/>
  <c r="L188" i="8"/>
  <c r="M188" i="8" s="1"/>
  <c r="F163" i="7" s="1"/>
  <c r="N188" i="8"/>
  <c r="G163" i="7" s="1"/>
  <c r="K188" i="8"/>
  <c r="E163" i="7" s="1"/>
  <c r="J188" i="8"/>
  <c r="I188" i="8"/>
  <c r="D163" i="7" s="1"/>
  <c r="H188" i="8"/>
  <c r="G188" i="8"/>
  <c r="F188" i="8"/>
  <c r="E188" i="8"/>
  <c r="U187" i="8"/>
  <c r="T187" i="8"/>
  <c r="Q187" i="8"/>
  <c r="R187" i="8" s="1"/>
  <c r="S187" i="8"/>
  <c r="P187" i="8"/>
  <c r="M187" i="8"/>
  <c r="F170" i="7" s="1"/>
  <c r="L187" i="8"/>
  <c r="O187" i="8" s="1"/>
  <c r="H170" i="7" s="1"/>
  <c r="N187" i="8"/>
  <c r="G170" i="7" s="1"/>
  <c r="K187" i="8"/>
  <c r="E170" i="7" s="1"/>
  <c r="J187" i="8"/>
  <c r="I187" i="8"/>
  <c r="D170" i="7" s="1"/>
  <c r="H187" i="8"/>
  <c r="G187" i="8"/>
  <c r="F187" i="8"/>
  <c r="E187" i="8"/>
  <c r="U186" i="8"/>
  <c r="T186" i="8"/>
  <c r="R186" i="8"/>
  <c r="Q186" i="8"/>
  <c r="S186" i="8"/>
  <c r="P186" i="8"/>
  <c r="L186" i="8"/>
  <c r="O186" i="8" s="1"/>
  <c r="H171" i="7" s="1"/>
  <c r="N186" i="8"/>
  <c r="G171" i="7" s="1"/>
  <c r="K186" i="8"/>
  <c r="E171" i="7" s="1"/>
  <c r="J186" i="8"/>
  <c r="I186" i="8"/>
  <c r="D171" i="7" s="1"/>
  <c r="H186" i="8"/>
  <c r="G186" i="8"/>
  <c r="F186" i="8"/>
  <c r="E186" i="8"/>
  <c r="U185" i="8"/>
  <c r="Q185" i="8"/>
  <c r="T185" i="8" s="1"/>
  <c r="S185" i="8"/>
  <c r="P185" i="8"/>
  <c r="L185" i="8"/>
  <c r="N185" i="8"/>
  <c r="G172" i="7" s="1"/>
  <c r="K185" i="8"/>
  <c r="E172" i="7" s="1"/>
  <c r="J185" i="8"/>
  <c r="I185" i="8"/>
  <c r="D172" i="7" s="1"/>
  <c r="H185" i="8"/>
  <c r="G185" i="8"/>
  <c r="F185" i="8"/>
  <c r="E185" i="8"/>
  <c r="U184" i="8"/>
  <c r="Q184" i="8"/>
  <c r="S184" i="8"/>
  <c r="P184" i="8"/>
  <c r="O184" i="8"/>
  <c r="H173" i="7" s="1"/>
  <c r="M184" i="8"/>
  <c r="F173" i="7" s="1"/>
  <c r="L184" i="8"/>
  <c r="N184" i="8"/>
  <c r="G173" i="7" s="1"/>
  <c r="K184" i="8"/>
  <c r="E173" i="7" s="1"/>
  <c r="J184" i="8"/>
  <c r="I184" i="8"/>
  <c r="D173" i="7" s="1"/>
  <c r="H184" i="8"/>
  <c r="G184" i="8"/>
  <c r="F184" i="8"/>
  <c r="E184" i="8"/>
  <c r="U183" i="8"/>
  <c r="T183" i="8"/>
  <c r="R183" i="8"/>
  <c r="Q183" i="8"/>
  <c r="S183" i="8"/>
  <c r="P183" i="8"/>
  <c r="O183" i="8"/>
  <c r="M183" i="8"/>
  <c r="F174" i="7" s="1"/>
  <c r="L183" i="8"/>
  <c r="N183" i="8"/>
  <c r="G174" i="7" s="1"/>
  <c r="K183" i="8"/>
  <c r="E174" i="7" s="1"/>
  <c r="J183" i="8"/>
  <c r="I183" i="8"/>
  <c r="D174" i="7" s="1"/>
  <c r="H183" i="8"/>
  <c r="G183" i="8"/>
  <c r="F183" i="8"/>
  <c r="E183" i="8"/>
  <c r="U182" i="8"/>
  <c r="T182" i="8"/>
  <c r="R182" i="8"/>
  <c r="Q182" i="8"/>
  <c r="S182" i="8"/>
  <c r="P182" i="8"/>
  <c r="L182" i="8"/>
  <c r="O182" i="8" s="1"/>
  <c r="N182" i="8"/>
  <c r="K182" i="8"/>
  <c r="J182" i="8"/>
  <c r="I182" i="8"/>
  <c r="H182" i="8"/>
  <c r="G182" i="8"/>
  <c r="F182" i="8"/>
  <c r="E182" i="8"/>
  <c r="U181" i="8"/>
  <c r="Q181" i="8"/>
  <c r="T181" i="8" s="1"/>
  <c r="S181" i="8"/>
  <c r="P181" i="8"/>
  <c r="L181" i="8"/>
  <c r="N181" i="8"/>
  <c r="G168" i="7" s="1"/>
  <c r="K181" i="8"/>
  <c r="E168" i="7" s="1"/>
  <c r="J181" i="8"/>
  <c r="I181" i="8"/>
  <c r="D168" i="7" s="1"/>
  <c r="H181" i="8"/>
  <c r="G181" i="8"/>
  <c r="F181" i="8"/>
  <c r="E181" i="8"/>
  <c r="U180" i="8"/>
  <c r="Q180" i="8"/>
  <c r="S180" i="8"/>
  <c r="P180" i="8"/>
  <c r="O180" i="8"/>
  <c r="H178" i="7" s="1"/>
  <c r="M180" i="8"/>
  <c r="F178" i="7" s="1"/>
  <c r="L180" i="8"/>
  <c r="N180" i="8"/>
  <c r="G178" i="7" s="1"/>
  <c r="K180" i="8"/>
  <c r="E178" i="7" s="1"/>
  <c r="J180" i="8"/>
  <c r="I180" i="8"/>
  <c r="D178" i="7" s="1"/>
  <c r="H180" i="8"/>
  <c r="G180" i="8"/>
  <c r="F180" i="8"/>
  <c r="E180" i="8"/>
  <c r="U179" i="8"/>
  <c r="S179" i="8"/>
  <c r="T179" i="8" s="1"/>
  <c r="P179" i="8"/>
  <c r="N179" i="8"/>
  <c r="K179" i="8"/>
  <c r="E167" i="7" s="1"/>
  <c r="I179" i="8"/>
  <c r="D167" i="7" s="1"/>
  <c r="H179" i="8"/>
  <c r="G179" i="8"/>
  <c r="F179" i="8"/>
  <c r="E179" i="8"/>
  <c r="D179" i="8"/>
  <c r="A179" i="8"/>
  <c r="U178" i="8"/>
  <c r="T178" i="8"/>
  <c r="R178" i="8"/>
  <c r="Q178" i="8"/>
  <c r="S178" i="8"/>
  <c r="P178" i="8"/>
  <c r="O178" i="8"/>
  <c r="M178" i="8"/>
  <c r="L178" i="8"/>
  <c r="N178" i="8"/>
  <c r="K178" i="8"/>
  <c r="J178" i="8"/>
  <c r="I178" i="8"/>
  <c r="H178" i="8"/>
  <c r="G178" i="8"/>
  <c r="F178" i="8"/>
  <c r="E178" i="8"/>
  <c r="U177" i="8"/>
  <c r="T177" i="8"/>
  <c r="R177" i="8"/>
  <c r="Q177" i="8"/>
  <c r="S177" i="8"/>
  <c r="P177" i="8"/>
  <c r="L177" i="8"/>
  <c r="O177" i="8" s="1"/>
  <c r="H160" i="7" s="1"/>
  <c r="N177" i="8"/>
  <c r="G160" i="7" s="1"/>
  <c r="K177" i="8"/>
  <c r="E160" i="7" s="1"/>
  <c r="J177" i="8"/>
  <c r="I177" i="8"/>
  <c r="D160" i="7" s="1"/>
  <c r="H177" i="8"/>
  <c r="G177" i="8"/>
  <c r="F177" i="8"/>
  <c r="E177" i="8"/>
  <c r="U176" i="8"/>
  <c r="Q176" i="8"/>
  <c r="T176" i="8" s="1"/>
  <c r="S176" i="8"/>
  <c r="P176" i="8"/>
  <c r="L176" i="8"/>
  <c r="N176" i="8"/>
  <c r="K176" i="8"/>
  <c r="J176" i="8"/>
  <c r="I176" i="8"/>
  <c r="H176" i="8"/>
  <c r="G176" i="8"/>
  <c r="F176" i="8"/>
  <c r="E176" i="8"/>
  <c r="U175" i="8"/>
  <c r="Q175" i="8"/>
  <c r="S175" i="8"/>
  <c r="P175" i="8"/>
  <c r="O175" i="8"/>
  <c r="M175" i="8"/>
  <c r="L175" i="8"/>
  <c r="N175" i="8"/>
  <c r="K175" i="8"/>
  <c r="J175" i="8"/>
  <c r="I175" i="8"/>
  <c r="H175" i="8"/>
  <c r="G175" i="8"/>
  <c r="F175" i="8"/>
  <c r="E175" i="8"/>
  <c r="U174" i="8"/>
  <c r="T174" i="8"/>
  <c r="R174" i="8"/>
  <c r="Q174" i="8"/>
  <c r="S174" i="8"/>
  <c r="P174" i="8"/>
  <c r="O174" i="8"/>
  <c r="H158" i="7" s="1"/>
  <c r="M174" i="8"/>
  <c r="F158" i="7" s="1"/>
  <c r="L174" i="8"/>
  <c r="N174" i="8"/>
  <c r="G158" i="7" s="1"/>
  <c r="K174" i="8"/>
  <c r="E158" i="7" s="1"/>
  <c r="J174" i="8"/>
  <c r="I174" i="8"/>
  <c r="D158" i="7" s="1"/>
  <c r="H174" i="8"/>
  <c r="G174" i="8"/>
  <c r="F174" i="8"/>
  <c r="E174" i="8"/>
  <c r="U173" i="8"/>
  <c r="T173" i="8"/>
  <c r="R173" i="8"/>
  <c r="Q173" i="8"/>
  <c r="S173" i="8"/>
  <c r="P173" i="8"/>
  <c r="L173" i="8"/>
  <c r="O173" i="8" s="1"/>
  <c r="H159" i="7" s="1"/>
  <c r="N173" i="8"/>
  <c r="G159" i="7" s="1"/>
  <c r="K173" i="8"/>
  <c r="E159" i="7" s="1"/>
  <c r="J173" i="8"/>
  <c r="I173" i="8"/>
  <c r="D159" i="7" s="1"/>
  <c r="H173" i="8"/>
  <c r="G173" i="8"/>
  <c r="F173" i="8"/>
  <c r="E173" i="8"/>
  <c r="U172" i="8"/>
  <c r="Q172" i="8"/>
  <c r="T172" i="8" s="1"/>
  <c r="S172" i="8"/>
  <c r="P172" i="8"/>
  <c r="L172" i="8"/>
  <c r="N172" i="8"/>
  <c r="K172" i="8"/>
  <c r="J172" i="8"/>
  <c r="I172" i="8"/>
  <c r="H172" i="8"/>
  <c r="G172" i="8"/>
  <c r="F172" i="8"/>
  <c r="E172" i="8"/>
  <c r="U171" i="8"/>
  <c r="Q171" i="8"/>
  <c r="S171" i="8"/>
  <c r="P171" i="8"/>
  <c r="O171" i="8"/>
  <c r="H162" i="7" s="1"/>
  <c r="M171" i="8"/>
  <c r="F162" i="7" s="1"/>
  <c r="L171" i="8"/>
  <c r="N171" i="8"/>
  <c r="G162" i="7" s="1"/>
  <c r="K171" i="8"/>
  <c r="E162" i="7" s="1"/>
  <c r="J171" i="8"/>
  <c r="I171" i="8"/>
  <c r="D162" i="7" s="1"/>
  <c r="H171" i="8"/>
  <c r="G171" i="8"/>
  <c r="F171" i="8"/>
  <c r="E171" i="8"/>
  <c r="U170" i="8"/>
  <c r="T170" i="8"/>
  <c r="R170" i="8"/>
  <c r="Q170" i="8"/>
  <c r="S170" i="8"/>
  <c r="P170" i="8"/>
  <c r="O170" i="8"/>
  <c r="H166" i="7" s="1"/>
  <c r="M170" i="8"/>
  <c r="F166" i="7" s="1"/>
  <c r="L170" i="8"/>
  <c r="N170" i="8"/>
  <c r="G166" i="7" s="1"/>
  <c r="K170" i="8"/>
  <c r="E166" i="7" s="1"/>
  <c r="J170" i="8"/>
  <c r="I170" i="8"/>
  <c r="D166" i="7" s="1"/>
  <c r="H170" i="8"/>
  <c r="G170" i="8"/>
  <c r="F170" i="8"/>
  <c r="E170" i="8"/>
  <c r="U169" i="8"/>
  <c r="T169" i="8"/>
  <c r="R169" i="8"/>
  <c r="Q169" i="8"/>
  <c r="S169" i="8"/>
  <c r="P169" i="8"/>
  <c r="L169" i="8"/>
  <c r="O169" i="8" s="1"/>
  <c r="N169" i="8"/>
  <c r="G169" i="7" s="1"/>
  <c r="K169" i="8"/>
  <c r="E169" i="7" s="1"/>
  <c r="J169" i="8"/>
  <c r="I169" i="8"/>
  <c r="H169" i="8"/>
  <c r="G169" i="8"/>
  <c r="F169" i="8"/>
  <c r="E169" i="8"/>
  <c r="U168" i="8"/>
  <c r="Q168" i="8"/>
  <c r="T168" i="8" s="1"/>
  <c r="S168" i="8"/>
  <c r="P168" i="8"/>
  <c r="L168" i="8"/>
  <c r="N168" i="8"/>
  <c r="G150" i="7" s="1"/>
  <c r="K168" i="8"/>
  <c r="E150" i="7" s="1"/>
  <c r="J168" i="8"/>
  <c r="I168" i="8"/>
  <c r="D150" i="7" s="1"/>
  <c r="H168" i="8"/>
  <c r="G168" i="8"/>
  <c r="F168" i="8"/>
  <c r="E168" i="8"/>
  <c r="U167" i="8"/>
  <c r="Q167" i="8"/>
  <c r="S167" i="8"/>
  <c r="P167" i="8"/>
  <c r="O167" i="8"/>
  <c r="H151" i="7" s="1"/>
  <c r="M167" i="8"/>
  <c r="F151" i="7" s="1"/>
  <c r="L167" i="8"/>
  <c r="N167" i="8"/>
  <c r="G151" i="7" s="1"/>
  <c r="K167" i="8"/>
  <c r="E151" i="7" s="1"/>
  <c r="J167" i="8"/>
  <c r="I167" i="8"/>
  <c r="D151" i="7" s="1"/>
  <c r="H167" i="8"/>
  <c r="G167" i="8"/>
  <c r="F167" i="8"/>
  <c r="E167" i="8"/>
  <c r="U166" i="8"/>
  <c r="T166" i="8"/>
  <c r="R166" i="8"/>
  <c r="Q166" i="8"/>
  <c r="S166" i="8"/>
  <c r="P166" i="8"/>
  <c r="O166" i="8"/>
  <c r="H153" i="7" s="1"/>
  <c r="M166" i="8"/>
  <c r="L166" i="8"/>
  <c r="N166" i="8"/>
  <c r="G153" i="7" s="1"/>
  <c r="K166" i="8"/>
  <c r="E153" i="7" s="1"/>
  <c r="J166" i="8"/>
  <c r="I166" i="8"/>
  <c r="D153" i="7" s="1"/>
  <c r="H166" i="8"/>
  <c r="G166" i="8"/>
  <c r="F166" i="8"/>
  <c r="E166" i="8"/>
  <c r="U165" i="8"/>
  <c r="T165" i="8"/>
  <c r="R165" i="8"/>
  <c r="Q165" i="8"/>
  <c r="S165" i="8"/>
  <c r="P165" i="8"/>
  <c r="L165" i="8"/>
  <c r="O165" i="8" s="1"/>
  <c r="N165" i="8"/>
  <c r="K165" i="8"/>
  <c r="J165" i="8"/>
  <c r="I165" i="8"/>
  <c r="H165" i="8"/>
  <c r="G165" i="8"/>
  <c r="F165" i="8"/>
  <c r="E165" i="8"/>
  <c r="U164" i="8"/>
  <c r="Q164" i="8"/>
  <c r="T164" i="8" s="1"/>
  <c r="S164" i="8"/>
  <c r="P164" i="8"/>
  <c r="L164" i="8"/>
  <c r="N164" i="8"/>
  <c r="G149" i="7" s="1"/>
  <c r="K164" i="8"/>
  <c r="E149" i="7" s="1"/>
  <c r="J164" i="8"/>
  <c r="I164" i="8"/>
  <c r="D149" i="7" s="1"/>
  <c r="H164" i="8"/>
  <c r="G164" i="8"/>
  <c r="F164" i="8"/>
  <c r="E164" i="8"/>
  <c r="U163" i="8"/>
  <c r="Q163" i="8"/>
  <c r="S163" i="8"/>
  <c r="P163" i="8"/>
  <c r="O163" i="8"/>
  <c r="H155" i="7" s="1"/>
  <c r="M163" i="8"/>
  <c r="F155" i="7" s="1"/>
  <c r="L163" i="8"/>
  <c r="N163" i="8"/>
  <c r="G155" i="7" s="1"/>
  <c r="K163" i="8"/>
  <c r="E155" i="7" s="1"/>
  <c r="J163" i="8"/>
  <c r="I163" i="8"/>
  <c r="D155" i="7" s="1"/>
  <c r="H163" i="8"/>
  <c r="G163" i="8"/>
  <c r="F163" i="8"/>
  <c r="E163" i="8"/>
  <c r="U162" i="8"/>
  <c r="T162" i="8"/>
  <c r="R162" i="8"/>
  <c r="Q162" i="8"/>
  <c r="S162" i="8"/>
  <c r="P162" i="8"/>
  <c r="O162" i="8"/>
  <c r="M162" i="8"/>
  <c r="L162" i="8"/>
  <c r="N162" i="8"/>
  <c r="G161" i="7" s="1"/>
  <c r="K162" i="8"/>
  <c r="E161" i="7" s="1"/>
  <c r="J162" i="8"/>
  <c r="I162" i="8"/>
  <c r="H162" i="8"/>
  <c r="G162" i="8"/>
  <c r="F162" i="8"/>
  <c r="E162" i="8"/>
  <c r="G161" i="8"/>
  <c r="A161" i="8"/>
  <c r="U160" i="8"/>
  <c r="S160" i="8"/>
  <c r="T160" i="8" s="1"/>
  <c r="R160" i="8"/>
  <c r="P160" i="8"/>
  <c r="N160" i="8"/>
  <c r="G145" i="7" s="1"/>
  <c r="M160" i="8"/>
  <c r="F145" i="7" s="1"/>
  <c r="K160" i="8"/>
  <c r="E145" i="7" s="1"/>
  <c r="I160" i="8"/>
  <c r="D145" i="7" s="1"/>
  <c r="H160" i="8"/>
  <c r="G160" i="8"/>
  <c r="F160" i="8"/>
  <c r="E160" i="8"/>
  <c r="D160" i="8"/>
  <c r="A160" i="8"/>
  <c r="U159" i="8"/>
  <c r="S159" i="8"/>
  <c r="T159" i="8" s="1"/>
  <c r="R159" i="8"/>
  <c r="P159" i="8"/>
  <c r="N159" i="8"/>
  <c r="G144" i="7" s="1"/>
  <c r="M159" i="8"/>
  <c r="F144" i="7" s="1"/>
  <c r="K159" i="8"/>
  <c r="E144" i="7" s="1"/>
  <c r="I159" i="8"/>
  <c r="D144" i="7" s="1"/>
  <c r="H159" i="8"/>
  <c r="G159" i="8"/>
  <c r="F159" i="8"/>
  <c r="E159" i="8"/>
  <c r="D159" i="8"/>
  <c r="A159" i="8"/>
  <c r="U158" i="8"/>
  <c r="S158" i="8"/>
  <c r="T158" i="8" s="1"/>
  <c r="R158" i="8"/>
  <c r="P158" i="8"/>
  <c r="N158" i="8"/>
  <c r="O158" i="8" s="1"/>
  <c r="H143" i="7" s="1"/>
  <c r="M158" i="8"/>
  <c r="F143" i="7" s="1"/>
  <c r="K158" i="8"/>
  <c r="E143" i="7" s="1"/>
  <c r="I158" i="8"/>
  <c r="D143" i="7" s="1"/>
  <c r="H158" i="8"/>
  <c r="G158" i="8"/>
  <c r="F158" i="8"/>
  <c r="E158" i="8"/>
  <c r="D158" i="8"/>
  <c r="A158" i="8"/>
  <c r="U157" i="8"/>
  <c r="Q157" i="8"/>
  <c r="S157" i="8"/>
  <c r="P157" i="8"/>
  <c r="O157" i="8"/>
  <c r="H139" i="7" s="1"/>
  <c r="M157" i="8"/>
  <c r="F139" i="7" s="1"/>
  <c r="L157" i="8"/>
  <c r="N157" i="8"/>
  <c r="G139" i="7" s="1"/>
  <c r="K157" i="8"/>
  <c r="E139" i="7" s="1"/>
  <c r="J157" i="8"/>
  <c r="I157" i="8"/>
  <c r="D139" i="7" s="1"/>
  <c r="H157" i="8"/>
  <c r="G157" i="8"/>
  <c r="F157" i="8"/>
  <c r="E157" i="8"/>
  <c r="U156" i="8"/>
  <c r="T156" i="8"/>
  <c r="R156" i="8"/>
  <c r="Q156" i="8"/>
  <c r="S156" i="8"/>
  <c r="P156" i="8"/>
  <c r="O156" i="8"/>
  <c r="H119" i="7" s="1"/>
  <c r="M156" i="8"/>
  <c r="F119" i="7" s="1"/>
  <c r="L156" i="8"/>
  <c r="N156" i="8"/>
  <c r="G119" i="7" s="1"/>
  <c r="K156" i="8"/>
  <c r="E119" i="7" s="1"/>
  <c r="J156" i="8"/>
  <c r="I156" i="8"/>
  <c r="D119" i="7" s="1"/>
  <c r="H156" i="8"/>
  <c r="G156" i="8"/>
  <c r="F156" i="8"/>
  <c r="E156" i="8"/>
  <c r="U155" i="8"/>
  <c r="T155" i="8"/>
  <c r="R155" i="8"/>
  <c r="Q155" i="8"/>
  <c r="S155" i="8"/>
  <c r="P155" i="8"/>
  <c r="L155" i="8"/>
  <c r="O155" i="8" s="1"/>
  <c r="H138" i="7" s="1"/>
  <c r="N155" i="8"/>
  <c r="G138" i="7" s="1"/>
  <c r="K155" i="8"/>
  <c r="E138" i="7" s="1"/>
  <c r="J155" i="8"/>
  <c r="I155" i="8"/>
  <c r="D138" i="7" s="1"/>
  <c r="H155" i="8"/>
  <c r="G155" i="8"/>
  <c r="F155" i="8"/>
  <c r="E155" i="8"/>
  <c r="U154" i="8"/>
  <c r="Q154" i="8"/>
  <c r="T154" i="8" s="1"/>
  <c r="S154" i="8"/>
  <c r="P154" i="8"/>
  <c r="L154" i="8"/>
  <c r="N154" i="8"/>
  <c r="G140" i="7" s="1"/>
  <c r="K154" i="8"/>
  <c r="E140" i="7" s="1"/>
  <c r="J154" i="8"/>
  <c r="I154" i="8"/>
  <c r="D140" i="7" s="1"/>
  <c r="H154" i="8"/>
  <c r="G154" i="8"/>
  <c r="F154" i="8"/>
  <c r="E154" i="8"/>
  <c r="U153" i="8"/>
  <c r="Q153" i="8"/>
  <c r="S153" i="8"/>
  <c r="P153" i="8"/>
  <c r="O153" i="8"/>
  <c r="H142" i="7" s="1"/>
  <c r="M153" i="8"/>
  <c r="F142" i="7" s="1"/>
  <c r="L153" i="8"/>
  <c r="N153" i="8"/>
  <c r="G142" i="7" s="1"/>
  <c r="K153" i="8"/>
  <c r="E142" i="7" s="1"/>
  <c r="J153" i="8"/>
  <c r="I153" i="8"/>
  <c r="D142" i="7" s="1"/>
  <c r="H153" i="8"/>
  <c r="G153" i="8"/>
  <c r="F153" i="8"/>
  <c r="E153" i="8"/>
  <c r="U152" i="8"/>
  <c r="T152" i="8"/>
  <c r="R152" i="8"/>
  <c r="Q152" i="8"/>
  <c r="S152" i="8"/>
  <c r="P152" i="8"/>
  <c r="O152" i="8"/>
  <c r="M152" i="8"/>
  <c r="L152" i="8"/>
  <c r="N152" i="8"/>
  <c r="K152" i="8"/>
  <c r="J152" i="8"/>
  <c r="I152" i="8"/>
  <c r="H152" i="8"/>
  <c r="G152" i="8"/>
  <c r="F152" i="8"/>
  <c r="E152" i="8"/>
  <c r="U151" i="8"/>
  <c r="T151" i="8"/>
  <c r="R151" i="8"/>
  <c r="Q151" i="8"/>
  <c r="S151" i="8"/>
  <c r="P151" i="8"/>
  <c r="L151" i="8"/>
  <c r="O151" i="8" s="1"/>
  <c r="N151" i="8"/>
  <c r="K151" i="8"/>
  <c r="J151" i="8"/>
  <c r="I151" i="8"/>
  <c r="H151" i="8"/>
  <c r="G151" i="8"/>
  <c r="F151" i="8"/>
  <c r="E151" i="8"/>
  <c r="U150" i="8"/>
  <c r="Q150" i="8"/>
  <c r="T150" i="8" s="1"/>
  <c r="S150" i="8"/>
  <c r="P150" i="8"/>
  <c r="L150" i="8"/>
  <c r="N150" i="8"/>
  <c r="K150" i="8"/>
  <c r="J150" i="8"/>
  <c r="I150" i="8"/>
  <c r="H150" i="8"/>
  <c r="G150" i="8"/>
  <c r="F150" i="8"/>
  <c r="E150" i="8"/>
  <c r="U149" i="8"/>
  <c r="Q149" i="8"/>
  <c r="S149" i="8"/>
  <c r="P149" i="8"/>
  <c r="O149" i="8"/>
  <c r="M149" i="8"/>
  <c r="L149" i="8"/>
  <c r="N149" i="8"/>
  <c r="K149" i="8"/>
  <c r="J149" i="8"/>
  <c r="I149" i="8"/>
  <c r="H149" i="8"/>
  <c r="G149" i="8"/>
  <c r="F149" i="8"/>
  <c r="E149" i="8"/>
  <c r="U148" i="8"/>
  <c r="T148" i="8"/>
  <c r="R148" i="8"/>
  <c r="Q148" i="8"/>
  <c r="S148" i="8"/>
  <c r="P148" i="8"/>
  <c r="O148" i="8"/>
  <c r="M148" i="8"/>
  <c r="L148" i="8"/>
  <c r="N148" i="8"/>
  <c r="K148" i="8"/>
  <c r="J148" i="8"/>
  <c r="I148" i="8"/>
  <c r="H148" i="8"/>
  <c r="G148" i="8"/>
  <c r="F148" i="8"/>
  <c r="E148" i="8"/>
  <c r="U147" i="8"/>
  <c r="T147" i="8"/>
  <c r="R147" i="8"/>
  <c r="Q147" i="8"/>
  <c r="S147" i="8"/>
  <c r="P147" i="8"/>
  <c r="L147" i="8"/>
  <c r="O147" i="8" s="1"/>
  <c r="H116" i="7" s="1"/>
  <c r="N147" i="8"/>
  <c r="G116" i="7" s="1"/>
  <c r="K147" i="8"/>
  <c r="E116" i="7" s="1"/>
  <c r="J147" i="8"/>
  <c r="I147" i="8"/>
  <c r="D116" i="7" s="1"/>
  <c r="H147" i="8"/>
  <c r="G147" i="8"/>
  <c r="F147" i="8"/>
  <c r="E147" i="8"/>
  <c r="U146" i="8"/>
  <c r="Q146" i="8"/>
  <c r="T146" i="8" s="1"/>
  <c r="S146" i="8"/>
  <c r="P146" i="8"/>
  <c r="L146" i="8"/>
  <c r="N146" i="8"/>
  <c r="G118" i="7" s="1"/>
  <c r="K146" i="8"/>
  <c r="E118" i="7" s="1"/>
  <c r="J146" i="8"/>
  <c r="I146" i="8"/>
  <c r="D118" i="7" s="1"/>
  <c r="H146" i="8"/>
  <c r="G146" i="8"/>
  <c r="F146" i="8"/>
  <c r="E146" i="8"/>
  <c r="U145" i="8"/>
  <c r="Q145" i="8"/>
  <c r="S145" i="8"/>
  <c r="P145" i="8"/>
  <c r="O145" i="8"/>
  <c r="H120" i="7" s="1"/>
  <c r="M145" i="8"/>
  <c r="F120" i="7" s="1"/>
  <c r="L145" i="8"/>
  <c r="N145" i="8"/>
  <c r="G120" i="7" s="1"/>
  <c r="K145" i="8"/>
  <c r="E120" i="7" s="1"/>
  <c r="J145" i="8"/>
  <c r="I145" i="8"/>
  <c r="D120" i="7" s="1"/>
  <c r="H145" i="8"/>
  <c r="G145" i="8"/>
  <c r="F145" i="8"/>
  <c r="E145" i="8"/>
  <c r="U144" i="8"/>
  <c r="T144" i="8"/>
  <c r="R144" i="8"/>
  <c r="Q144" i="8"/>
  <c r="S144" i="8"/>
  <c r="P144" i="8"/>
  <c r="O144" i="8"/>
  <c r="M144" i="8"/>
  <c r="L144" i="8"/>
  <c r="N144" i="8"/>
  <c r="G126" i="7" s="1"/>
  <c r="K144" i="8"/>
  <c r="E126" i="7" s="1"/>
  <c r="J144" i="8"/>
  <c r="I144" i="8"/>
  <c r="H144" i="8"/>
  <c r="G144" i="8"/>
  <c r="F144" i="8"/>
  <c r="E144" i="8"/>
  <c r="U143" i="8"/>
  <c r="T143" i="8"/>
  <c r="R143" i="8"/>
  <c r="Q143" i="8"/>
  <c r="S143" i="8"/>
  <c r="P143" i="8"/>
  <c r="L143" i="8"/>
  <c r="O143" i="8" s="1"/>
  <c r="H133" i="7" s="1"/>
  <c r="N143" i="8"/>
  <c r="G133" i="7" s="1"/>
  <c r="K143" i="8"/>
  <c r="E133" i="7" s="1"/>
  <c r="J143" i="8"/>
  <c r="I143" i="8"/>
  <c r="D133" i="7" s="1"/>
  <c r="H143" i="8"/>
  <c r="G143" i="8"/>
  <c r="F143" i="8"/>
  <c r="E143" i="8"/>
  <c r="U142" i="8"/>
  <c r="Q142" i="8"/>
  <c r="T142" i="8" s="1"/>
  <c r="S142" i="8"/>
  <c r="P142" i="8"/>
  <c r="L142" i="8"/>
  <c r="N142" i="8"/>
  <c r="G134" i="7" s="1"/>
  <c r="K142" i="8"/>
  <c r="E134" i="7" s="1"/>
  <c r="J142" i="8"/>
  <c r="I142" i="8"/>
  <c r="D134" i="7" s="1"/>
  <c r="H142" i="8"/>
  <c r="G142" i="8"/>
  <c r="F142" i="8"/>
  <c r="E142" i="8"/>
  <c r="U141" i="8"/>
  <c r="Q141" i="8"/>
  <c r="S141" i="8"/>
  <c r="P141" i="8"/>
  <c r="O141" i="8"/>
  <c r="M141" i="8"/>
  <c r="L141" i="8"/>
  <c r="N141" i="8"/>
  <c r="G135" i="7" s="1"/>
  <c r="K141" i="8"/>
  <c r="E135" i="7" s="1"/>
  <c r="J141" i="8"/>
  <c r="I141" i="8"/>
  <c r="H141" i="8"/>
  <c r="G141" i="8"/>
  <c r="F141" i="8"/>
  <c r="E141" i="8"/>
  <c r="U140" i="8"/>
  <c r="T140" i="8"/>
  <c r="R140" i="8"/>
  <c r="Q140" i="8"/>
  <c r="S140" i="8"/>
  <c r="P140" i="8"/>
  <c r="O140" i="8"/>
  <c r="H136" i="7" s="1"/>
  <c r="M140" i="8"/>
  <c r="L140" i="8"/>
  <c r="N140" i="8"/>
  <c r="G136" i="7" s="1"/>
  <c r="K140" i="8"/>
  <c r="E136" i="7" s="1"/>
  <c r="J140" i="8"/>
  <c r="I140" i="8"/>
  <c r="H140" i="8"/>
  <c r="G140" i="8"/>
  <c r="F140" i="8"/>
  <c r="E140" i="8"/>
  <c r="U139" i="8"/>
  <c r="T139" i="8"/>
  <c r="R139" i="8"/>
  <c r="Q139" i="8"/>
  <c r="S139" i="8"/>
  <c r="P139" i="8"/>
  <c r="L139" i="8"/>
  <c r="O139" i="8" s="1"/>
  <c r="H137" i="7" s="1"/>
  <c r="N139" i="8"/>
  <c r="G137" i="7" s="1"/>
  <c r="K139" i="8"/>
  <c r="E137" i="7" s="1"/>
  <c r="J139" i="8"/>
  <c r="I139" i="8"/>
  <c r="D137" i="7" s="1"/>
  <c r="H139" i="8"/>
  <c r="G139" i="8"/>
  <c r="F139" i="8"/>
  <c r="E139" i="8"/>
  <c r="U138" i="8"/>
  <c r="Q138" i="8"/>
  <c r="T138" i="8" s="1"/>
  <c r="S138" i="8"/>
  <c r="P138" i="8"/>
  <c r="L138" i="8"/>
  <c r="N138" i="8"/>
  <c r="K138" i="8"/>
  <c r="J138" i="8"/>
  <c r="I138" i="8"/>
  <c r="H138" i="8"/>
  <c r="G138" i="8"/>
  <c r="F138" i="8"/>
  <c r="E138" i="8"/>
  <c r="U137" i="8"/>
  <c r="Q137" i="8"/>
  <c r="S137" i="8"/>
  <c r="P137" i="8"/>
  <c r="O137" i="8"/>
  <c r="H131" i="7" s="1"/>
  <c r="M137" i="8"/>
  <c r="F131" i="7" s="1"/>
  <c r="L137" i="8"/>
  <c r="N137" i="8"/>
  <c r="G131" i="7" s="1"/>
  <c r="K137" i="8"/>
  <c r="E131" i="7" s="1"/>
  <c r="J137" i="8"/>
  <c r="I137" i="8"/>
  <c r="D131" i="7" s="1"/>
  <c r="H137" i="8"/>
  <c r="G137" i="8"/>
  <c r="F137" i="8"/>
  <c r="E137" i="8"/>
  <c r="U136" i="8"/>
  <c r="T136" i="8"/>
  <c r="R136" i="8"/>
  <c r="Q136" i="8"/>
  <c r="S136" i="8"/>
  <c r="P136" i="8"/>
  <c r="O136" i="8"/>
  <c r="H141" i="7" s="1"/>
  <c r="M136" i="8"/>
  <c r="F141" i="7" s="1"/>
  <c r="L136" i="8"/>
  <c r="N136" i="8"/>
  <c r="G141" i="7" s="1"/>
  <c r="K136" i="8"/>
  <c r="E141" i="7" s="1"/>
  <c r="J136" i="8"/>
  <c r="I136" i="8"/>
  <c r="D141" i="7" s="1"/>
  <c r="H136" i="8"/>
  <c r="G136" i="8"/>
  <c r="F136" i="8"/>
  <c r="E136" i="8"/>
  <c r="U135" i="8"/>
  <c r="T135" i="8"/>
  <c r="S135" i="8"/>
  <c r="P135" i="8"/>
  <c r="N135" i="8"/>
  <c r="G130" i="7" s="1"/>
  <c r="K135" i="8"/>
  <c r="E130" i="7" s="1"/>
  <c r="I135" i="8"/>
  <c r="D130" i="7" s="1"/>
  <c r="H135" i="8"/>
  <c r="G135" i="8"/>
  <c r="F135" i="8"/>
  <c r="E135" i="8"/>
  <c r="D135" i="8"/>
  <c r="A135" i="8"/>
  <c r="U134" i="8"/>
  <c r="T134" i="8"/>
  <c r="R134" i="8"/>
  <c r="Q134" i="8"/>
  <c r="S134" i="8"/>
  <c r="P134" i="8"/>
  <c r="L134" i="8"/>
  <c r="O134" i="8" s="1"/>
  <c r="N134" i="8"/>
  <c r="K134" i="8"/>
  <c r="J134" i="8"/>
  <c r="I134" i="8"/>
  <c r="H134" i="8"/>
  <c r="G134" i="8"/>
  <c r="F134" i="8"/>
  <c r="E134" i="8"/>
  <c r="U133" i="8"/>
  <c r="Q133" i="8"/>
  <c r="T133" i="8" s="1"/>
  <c r="S133" i="8"/>
  <c r="P133" i="8"/>
  <c r="L133" i="8"/>
  <c r="N133" i="8"/>
  <c r="G123" i="7" s="1"/>
  <c r="K133" i="8"/>
  <c r="E123" i="7" s="1"/>
  <c r="J133" i="8"/>
  <c r="I133" i="8"/>
  <c r="D123" i="7" s="1"/>
  <c r="H133" i="8"/>
  <c r="G133" i="8"/>
  <c r="F133" i="8"/>
  <c r="E133" i="8"/>
  <c r="U132" i="8"/>
  <c r="Q132" i="8"/>
  <c r="S132" i="8"/>
  <c r="P132" i="8"/>
  <c r="O132" i="8"/>
  <c r="M132" i="8"/>
  <c r="L132" i="8"/>
  <c r="N132" i="8"/>
  <c r="K132" i="8"/>
  <c r="J132" i="8"/>
  <c r="I132" i="8"/>
  <c r="H132" i="8"/>
  <c r="G132" i="8"/>
  <c r="F132" i="8"/>
  <c r="E132" i="8"/>
  <c r="U131" i="8"/>
  <c r="T131" i="8"/>
  <c r="R131" i="8"/>
  <c r="Q131" i="8"/>
  <c r="S131" i="8"/>
  <c r="P131" i="8"/>
  <c r="O131" i="8"/>
  <c r="H117" i="7" s="1"/>
  <c r="M131" i="8"/>
  <c r="F117" i="7" s="1"/>
  <c r="L131" i="8"/>
  <c r="N131" i="8"/>
  <c r="G117" i="7" s="1"/>
  <c r="K131" i="8"/>
  <c r="E117" i="7" s="1"/>
  <c r="J131" i="8"/>
  <c r="I131" i="8"/>
  <c r="D117" i="7" s="1"/>
  <c r="H131" i="8"/>
  <c r="G131" i="8"/>
  <c r="F131" i="8"/>
  <c r="E131" i="8"/>
  <c r="U130" i="8"/>
  <c r="T130" i="8"/>
  <c r="R130" i="8"/>
  <c r="Q130" i="8"/>
  <c r="S130" i="8"/>
  <c r="P130" i="8"/>
  <c r="L130" i="8"/>
  <c r="O130" i="8" s="1"/>
  <c r="H121" i="7" s="1"/>
  <c r="N130" i="8"/>
  <c r="G121" i="7" s="1"/>
  <c r="K130" i="8"/>
  <c r="E121" i="7" s="1"/>
  <c r="J130" i="8"/>
  <c r="I130" i="8"/>
  <c r="D121" i="7" s="1"/>
  <c r="H130" i="8"/>
  <c r="G130" i="8"/>
  <c r="F130" i="8"/>
  <c r="E130" i="8"/>
  <c r="U129" i="8"/>
  <c r="Q129" i="8"/>
  <c r="T129" i="8" s="1"/>
  <c r="S129" i="8"/>
  <c r="P129" i="8"/>
  <c r="L129" i="8"/>
  <c r="N129" i="8"/>
  <c r="G122" i="7" s="1"/>
  <c r="K129" i="8"/>
  <c r="E122" i="7" s="1"/>
  <c r="J129" i="8"/>
  <c r="I129" i="8"/>
  <c r="D122" i="7" s="1"/>
  <c r="H129" i="8"/>
  <c r="G129" i="8"/>
  <c r="F129" i="8"/>
  <c r="E129" i="8"/>
  <c r="U128" i="8"/>
  <c r="Q128" i="8"/>
  <c r="S128" i="8"/>
  <c r="P128" i="8"/>
  <c r="O128" i="8"/>
  <c r="H124" i="7" s="1"/>
  <c r="M128" i="8"/>
  <c r="F124" i="7" s="1"/>
  <c r="L128" i="8"/>
  <c r="N128" i="8"/>
  <c r="G124" i="7" s="1"/>
  <c r="K128" i="8"/>
  <c r="E124" i="7" s="1"/>
  <c r="J128" i="8"/>
  <c r="I128" i="8"/>
  <c r="D124" i="7" s="1"/>
  <c r="H128" i="8"/>
  <c r="G128" i="8"/>
  <c r="F128" i="8"/>
  <c r="E128" i="8"/>
  <c r="U127" i="8"/>
  <c r="T127" i="8"/>
  <c r="R127" i="8"/>
  <c r="Q127" i="8"/>
  <c r="S127" i="8"/>
  <c r="P127" i="8"/>
  <c r="O127" i="8"/>
  <c r="H125" i="7" s="1"/>
  <c r="M127" i="8"/>
  <c r="F125" i="7" s="1"/>
  <c r="L127" i="8"/>
  <c r="N127" i="8"/>
  <c r="G125" i="7" s="1"/>
  <c r="K127" i="8"/>
  <c r="E125" i="7" s="1"/>
  <c r="J127" i="8"/>
  <c r="I127" i="8"/>
  <c r="D125" i="7" s="1"/>
  <c r="H127" i="8"/>
  <c r="G127" i="8"/>
  <c r="F127" i="8"/>
  <c r="E127" i="8"/>
  <c r="U126" i="8"/>
  <c r="T126" i="8"/>
  <c r="R126" i="8"/>
  <c r="Q126" i="8"/>
  <c r="S126" i="8"/>
  <c r="P126" i="8"/>
  <c r="L126" i="8"/>
  <c r="N126" i="8"/>
  <c r="G129" i="7" s="1"/>
  <c r="K126" i="8"/>
  <c r="E129" i="7" s="1"/>
  <c r="J126" i="8"/>
  <c r="I126" i="8"/>
  <c r="D129" i="7" s="1"/>
  <c r="H126" i="8"/>
  <c r="G126" i="8"/>
  <c r="F126" i="8"/>
  <c r="E126" i="8"/>
  <c r="U125" i="8"/>
  <c r="Q125" i="8"/>
  <c r="S125" i="8"/>
  <c r="P125" i="8"/>
  <c r="L125" i="8"/>
  <c r="O125" i="8" s="1"/>
  <c r="H132" i="7" s="1"/>
  <c r="N125" i="8"/>
  <c r="G132" i="7" s="1"/>
  <c r="K125" i="8"/>
  <c r="E132" i="7" s="1"/>
  <c r="J125" i="8"/>
  <c r="I125" i="8"/>
  <c r="D132" i="7" s="1"/>
  <c r="H125" i="8"/>
  <c r="G125" i="8"/>
  <c r="F125" i="8"/>
  <c r="E125" i="8"/>
  <c r="G124" i="8"/>
  <c r="A124" i="8"/>
  <c r="U123" i="8"/>
  <c r="T123" i="8"/>
  <c r="S123" i="8"/>
  <c r="P123" i="8"/>
  <c r="O123" i="8"/>
  <c r="H112" i="7" s="1"/>
  <c r="N123" i="8"/>
  <c r="G112" i="7" s="1"/>
  <c r="K123" i="8"/>
  <c r="I123" i="8"/>
  <c r="D112" i="7" s="1"/>
  <c r="H123" i="8"/>
  <c r="G123" i="8"/>
  <c r="F123" i="8"/>
  <c r="E123" i="8"/>
  <c r="D123" i="8"/>
  <c r="A123" i="8"/>
  <c r="U122" i="8"/>
  <c r="S122" i="8"/>
  <c r="P122" i="8"/>
  <c r="N122" i="8"/>
  <c r="K122" i="8"/>
  <c r="I122" i="8"/>
  <c r="D111" i="7" s="1"/>
  <c r="H122" i="8"/>
  <c r="G122" i="8"/>
  <c r="F122" i="8"/>
  <c r="E122" i="8"/>
  <c r="D122" i="8"/>
  <c r="A122" i="8"/>
  <c r="U121" i="8"/>
  <c r="T121" i="8"/>
  <c r="S121" i="8"/>
  <c r="P121" i="8"/>
  <c r="O121" i="8"/>
  <c r="H110" i="7" s="1"/>
  <c r="N121" i="8"/>
  <c r="G110" i="7" s="1"/>
  <c r="K121" i="8"/>
  <c r="I121" i="8"/>
  <c r="D110" i="7" s="1"/>
  <c r="H121" i="8"/>
  <c r="G121" i="8"/>
  <c r="F121" i="8"/>
  <c r="E121" i="8"/>
  <c r="D121" i="8"/>
  <c r="A121" i="8"/>
  <c r="U120" i="8"/>
  <c r="T120" i="8"/>
  <c r="R120" i="8"/>
  <c r="Q120" i="8"/>
  <c r="S120" i="8"/>
  <c r="P120" i="8"/>
  <c r="L120" i="8"/>
  <c r="N120" i="8"/>
  <c r="G106" i="7" s="1"/>
  <c r="K120" i="8"/>
  <c r="E106" i="7" s="1"/>
  <c r="J120" i="8"/>
  <c r="I120" i="8"/>
  <c r="D106" i="7" s="1"/>
  <c r="H120" i="8"/>
  <c r="G120" i="8"/>
  <c r="F120" i="8"/>
  <c r="E120" i="8"/>
  <c r="U119" i="8"/>
  <c r="Q119" i="8"/>
  <c r="S119" i="8"/>
  <c r="P119" i="8"/>
  <c r="M119" i="8"/>
  <c r="F86" i="7" s="1"/>
  <c r="L119" i="8"/>
  <c r="O119" i="8" s="1"/>
  <c r="H86" i="7" s="1"/>
  <c r="N119" i="8"/>
  <c r="G86" i="7" s="1"/>
  <c r="K119" i="8"/>
  <c r="E86" i="7" s="1"/>
  <c r="J119" i="8"/>
  <c r="I119" i="8"/>
  <c r="D86" i="7" s="1"/>
  <c r="H119" i="8"/>
  <c r="G119" i="8"/>
  <c r="F119" i="8"/>
  <c r="E119" i="8"/>
  <c r="U118" i="8"/>
  <c r="Q118" i="8"/>
  <c r="T118" i="8" s="1"/>
  <c r="S118" i="8"/>
  <c r="P118" i="8"/>
  <c r="O118" i="8"/>
  <c r="H105" i="7" s="1"/>
  <c r="M118" i="8"/>
  <c r="F105" i="7" s="1"/>
  <c r="L118" i="8"/>
  <c r="N118" i="8"/>
  <c r="G105" i="7" s="1"/>
  <c r="K118" i="8"/>
  <c r="E105" i="7" s="1"/>
  <c r="J118" i="8"/>
  <c r="I118" i="8"/>
  <c r="D105" i="7" s="1"/>
  <c r="H118" i="8"/>
  <c r="G118" i="8"/>
  <c r="F118" i="8"/>
  <c r="E118" i="8"/>
  <c r="U117" i="8"/>
  <c r="T117" i="8"/>
  <c r="R117" i="8"/>
  <c r="Q117" i="8"/>
  <c r="S117" i="8"/>
  <c r="P117" i="8"/>
  <c r="O117" i="8"/>
  <c r="H107" i="7" s="1"/>
  <c r="M117" i="8"/>
  <c r="F107" i="7" s="1"/>
  <c r="L117" i="8"/>
  <c r="N117" i="8"/>
  <c r="G107" i="7" s="1"/>
  <c r="K117" i="8"/>
  <c r="E107" i="7" s="1"/>
  <c r="J117" i="8"/>
  <c r="I117" i="8"/>
  <c r="D107" i="7" s="1"/>
  <c r="H117" i="8"/>
  <c r="G117" i="8"/>
  <c r="F117" i="8"/>
  <c r="E117" i="8"/>
  <c r="U116" i="8"/>
  <c r="T116" i="8"/>
  <c r="R116" i="8"/>
  <c r="Q116" i="8"/>
  <c r="S116" i="8"/>
  <c r="P116" i="8"/>
  <c r="L116" i="8"/>
  <c r="N116" i="8"/>
  <c r="G109" i="7" s="1"/>
  <c r="K116" i="8"/>
  <c r="E109" i="7" s="1"/>
  <c r="J116" i="8"/>
  <c r="I116" i="8"/>
  <c r="D109" i="7" s="1"/>
  <c r="H116" i="8"/>
  <c r="G116" i="8"/>
  <c r="F116" i="8"/>
  <c r="E116" i="8"/>
  <c r="U115" i="8"/>
  <c r="Q115" i="8"/>
  <c r="S115" i="8"/>
  <c r="P115" i="8"/>
  <c r="L115" i="8"/>
  <c r="O115" i="8" s="1"/>
  <c r="N115" i="8"/>
  <c r="K115" i="8"/>
  <c r="J115" i="8"/>
  <c r="I115" i="8"/>
  <c r="H115" i="8"/>
  <c r="G115" i="8"/>
  <c r="F115" i="8"/>
  <c r="E115" i="8"/>
  <c r="U114" i="8"/>
  <c r="R114" i="8"/>
  <c r="Q114" i="8"/>
  <c r="T114" i="8" s="1"/>
  <c r="S114" i="8"/>
  <c r="P114" i="8"/>
  <c r="O114" i="8"/>
  <c r="M114" i="8"/>
  <c r="L114" i="8"/>
  <c r="N114" i="8"/>
  <c r="K114" i="8"/>
  <c r="J114" i="8"/>
  <c r="I114" i="8"/>
  <c r="H114" i="8"/>
  <c r="G114" i="8"/>
  <c r="F114" i="8"/>
  <c r="E114" i="8"/>
  <c r="U113" i="8"/>
  <c r="T113" i="8"/>
  <c r="R113" i="8"/>
  <c r="Q113" i="8"/>
  <c r="S113" i="8"/>
  <c r="P113" i="8"/>
  <c r="O113" i="8"/>
  <c r="M113" i="8"/>
  <c r="L113" i="8"/>
  <c r="N113" i="8"/>
  <c r="K113" i="8"/>
  <c r="J113" i="8"/>
  <c r="I113" i="8"/>
  <c r="H113" i="8"/>
  <c r="G113" i="8"/>
  <c r="F113" i="8"/>
  <c r="E113" i="8"/>
  <c r="U112" i="8"/>
  <c r="T112" i="8"/>
  <c r="R112" i="8"/>
  <c r="Q112" i="8"/>
  <c r="S112" i="8"/>
  <c r="P112" i="8"/>
  <c r="L112" i="8"/>
  <c r="N112" i="8"/>
  <c r="K112" i="8"/>
  <c r="J112" i="8"/>
  <c r="I112" i="8"/>
  <c r="H112" i="8"/>
  <c r="G112" i="8"/>
  <c r="F112" i="8"/>
  <c r="E112" i="8"/>
  <c r="U111" i="8"/>
  <c r="Q111" i="8"/>
  <c r="S111" i="8"/>
  <c r="P111" i="8"/>
  <c r="M111" i="8"/>
  <c r="L111" i="8"/>
  <c r="O111" i="8" s="1"/>
  <c r="N111" i="8"/>
  <c r="K111" i="8"/>
  <c r="J111" i="8"/>
  <c r="I111" i="8"/>
  <c r="H111" i="8"/>
  <c r="G111" i="8"/>
  <c r="F111" i="8"/>
  <c r="E111" i="8"/>
  <c r="U110" i="8"/>
  <c r="Q110" i="8"/>
  <c r="T110" i="8" s="1"/>
  <c r="S110" i="8"/>
  <c r="P110" i="8"/>
  <c r="O110" i="8"/>
  <c r="H83" i="7" s="1"/>
  <c r="M110" i="8"/>
  <c r="L110" i="8"/>
  <c r="N110" i="8"/>
  <c r="G83" i="7" s="1"/>
  <c r="K110" i="8"/>
  <c r="E83" i="7" s="1"/>
  <c r="J110" i="8"/>
  <c r="I110" i="8"/>
  <c r="H110" i="8"/>
  <c r="G110" i="8"/>
  <c r="F110" i="8"/>
  <c r="E110" i="8"/>
  <c r="U109" i="8"/>
  <c r="T109" i="8"/>
  <c r="R109" i="8"/>
  <c r="Q109" i="8"/>
  <c r="S109" i="8"/>
  <c r="P109" i="8"/>
  <c r="O109" i="8"/>
  <c r="H85" i="7" s="1"/>
  <c r="M109" i="8"/>
  <c r="F85" i="7" s="1"/>
  <c r="L109" i="8"/>
  <c r="N109" i="8"/>
  <c r="G85" i="7" s="1"/>
  <c r="K109" i="8"/>
  <c r="E85" i="7" s="1"/>
  <c r="J109" i="8"/>
  <c r="I109" i="8"/>
  <c r="D85" i="7" s="1"/>
  <c r="H109" i="8"/>
  <c r="G109" i="8"/>
  <c r="F109" i="8"/>
  <c r="E109" i="8"/>
  <c r="U108" i="8"/>
  <c r="T108" i="8"/>
  <c r="R108" i="8"/>
  <c r="Q108" i="8"/>
  <c r="S108" i="8"/>
  <c r="P108" i="8"/>
  <c r="L108" i="8"/>
  <c r="N108" i="8"/>
  <c r="G87" i="7" s="1"/>
  <c r="K108" i="8"/>
  <c r="E87" i="7" s="1"/>
  <c r="J108" i="8"/>
  <c r="I108" i="8"/>
  <c r="D87" i="7" s="1"/>
  <c r="H108" i="8"/>
  <c r="G108" i="8"/>
  <c r="F108" i="8"/>
  <c r="E108" i="8"/>
  <c r="U107" i="8"/>
  <c r="Q107" i="8"/>
  <c r="S107" i="8"/>
  <c r="P107" i="8"/>
  <c r="L107" i="8"/>
  <c r="O107" i="8" s="1"/>
  <c r="H93" i="7" s="1"/>
  <c r="N107" i="8"/>
  <c r="G93" i="7" s="1"/>
  <c r="K107" i="8"/>
  <c r="E93" i="7" s="1"/>
  <c r="J107" i="8"/>
  <c r="I107" i="8"/>
  <c r="D93" i="7" s="1"/>
  <c r="H107" i="8"/>
  <c r="G107" i="8"/>
  <c r="F107" i="8"/>
  <c r="E107" i="8"/>
  <c r="U106" i="8"/>
  <c r="R106" i="8"/>
  <c r="Q106" i="8"/>
  <c r="T106" i="8" s="1"/>
  <c r="S106" i="8"/>
  <c r="P106" i="8"/>
  <c r="O106" i="8"/>
  <c r="H100" i="7" s="1"/>
  <c r="M106" i="8"/>
  <c r="F100" i="7" s="1"/>
  <c r="L106" i="8"/>
  <c r="N106" i="8"/>
  <c r="G100" i="7" s="1"/>
  <c r="K106" i="8"/>
  <c r="J106" i="8"/>
  <c r="I106" i="8"/>
  <c r="D100" i="7" s="1"/>
  <c r="H106" i="8"/>
  <c r="G106" i="8"/>
  <c r="F106" i="8"/>
  <c r="E106" i="8"/>
  <c r="U105" i="8"/>
  <c r="Q105" i="8"/>
  <c r="T105" i="8" s="1"/>
  <c r="S105" i="8"/>
  <c r="P105" i="8"/>
  <c r="O105" i="8"/>
  <c r="H101" i="7" s="1"/>
  <c r="M105" i="8"/>
  <c r="F101" i="7" s="1"/>
  <c r="L105" i="8"/>
  <c r="N105" i="8"/>
  <c r="G101" i="7" s="1"/>
  <c r="K105" i="8"/>
  <c r="E101" i="7" s="1"/>
  <c r="J105" i="8"/>
  <c r="I105" i="8"/>
  <c r="D101" i="7" s="1"/>
  <c r="H105" i="8"/>
  <c r="G105" i="8"/>
  <c r="F105" i="8"/>
  <c r="E105" i="8"/>
  <c r="U104" i="8"/>
  <c r="T104" i="8"/>
  <c r="R104" i="8"/>
  <c r="Q104" i="8"/>
  <c r="S104" i="8"/>
  <c r="P104" i="8"/>
  <c r="L104" i="8"/>
  <c r="M104" i="8" s="1"/>
  <c r="F102" i="7" s="1"/>
  <c r="N104" i="8"/>
  <c r="G102" i="7" s="1"/>
  <c r="K104" i="8"/>
  <c r="E102" i="7" s="1"/>
  <c r="J104" i="8"/>
  <c r="I104" i="8"/>
  <c r="D102" i="7" s="1"/>
  <c r="H104" i="8"/>
  <c r="G104" i="8"/>
  <c r="F104" i="8"/>
  <c r="E104" i="8"/>
  <c r="U103" i="8"/>
  <c r="Q103" i="8"/>
  <c r="R103" i="8" s="1"/>
  <c r="S103" i="8"/>
  <c r="P103" i="8"/>
  <c r="L103" i="8"/>
  <c r="O103" i="8" s="1"/>
  <c r="N103" i="8"/>
  <c r="G103" i="7" s="1"/>
  <c r="K103" i="8"/>
  <c r="E103" i="7" s="1"/>
  <c r="J103" i="8"/>
  <c r="I103" i="8"/>
  <c r="D103" i="7" s="1"/>
  <c r="H103" i="8"/>
  <c r="G103" i="8"/>
  <c r="F103" i="8"/>
  <c r="E103" i="8"/>
  <c r="U102" i="8"/>
  <c r="R102" i="8"/>
  <c r="Q102" i="8"/>
  <c r="T102" i="8" s="1"/>
  <c r="S102" i="8"/>
  <c r="P102" i="8"/>
  <c r="L102" i="8"/>
  <c r="O102" i="8" s="1"/>
  <c r="H104" i="7" s="1"/>
  <c r="N102" i="8"/>
  <c r="G104" i="7" s="1"/>
  <c r="K102" i="8"/>
  <c r="E104" i="7" s="1"/>
  <c r="J102" i="8"/>
  <c r="I102" i="8"/>
  <c r="D104" i="7" s="1"/>
  <c r="H102" i="8"/>
  <c r="G102" i="8"/>
  <c r="F102" i="8"/>
  <c r="E102" i="8"/>
  <c r="U101" i="8"/>
  <c r="Q101" i="8"/>
  <c r="T101" i="8" s="1"/>
  <c r="S101" i="8"/>
  <c r="P101" i="8"/>
  <c r="O101" i="8"/>
  <c r="M101" i="8"/>
  <c r="L101" i="8"/>
  <c r="N101" i="8"/>
  <c r="K101" i="8"/>
  <c r="J101" i="8"/>
  <c r="I101" i="8"/>
  <c r="H101" i="8"/>
  <c r="G101" i="8"/>
  <c r="F101" i="8"/>
  <c r="E101" i="8"/>
  <c r="U100" i="8"/>
  <c r="T100" i="8"/>
  <c r="R100" i="8"/>
  <c r="Q100" i="8"/>
  <c r="S100" i="8"/>
  <c r="P100" i="8"/>
  <c r="L100" i="8"/>
  <c r="M100" i="8" s="1"/>
  <c r="F98" i="7" s="1"/>
  <c r="N100" i="8"/>
  <c r="G98" i="7" s="1"/>
  <c r="K100" i="8"/>
  <c r="E98" i="7" s="1"/>
  <c r="J100" i="8"/>
  <c r="I100" i="8"/>
  <c r="D98" i="7" s="1"/>
  <c r="H100" i="8"/>
  <c r="G100" i="8"/>
  <c r="F100" i="8"/>
  <c r="E100" i="8"/>
  <c r="U99" i="8"/>
  <c r="Q99" i="8"/>
  <c r="R99" i="8" s="1"/>
  <c r="S99" i="8"/>
  <c r="P99" i="8"/>
  <c r="L99" i="8"/>
  <c r="O99" i="8" s="1"/>
  <c r="H108" i="7" s="1"/>
  <c r="N99" i="8"/>
  <c r="G108" i="7" s="1"/>
  <c r="K99" i="8"/>
  <c r="E108" i="7" s="1"/>
  <c r="J99" i="8"/>
  <c r="I99" i="8"/>
  <c r="D108" i="7" s="1"/>
  <c r="H99" i="8"/>
  <c r="G99" i="8"/>
  <c r="F99" i="8"/>
  <c r="E99" i="8"/>
  <c r="U98" i="8"/>
  <c r="S98" i="8"/>
  <c r="T98" i="8" s="1"/>
  <c r="P98" i="8"/>
  <c r="R98" i="8" s="1"/>
  <c r="N98" i="8"/>
  <c r="M98" i="8"/>
  <c r="F97" i="7" s="1"/>
  <c r="K98" i="8"/>
  <c r="E97" i="7" s="1"/>
  <c r="I98" i="8"/>
  <c r="D97" i="7" s="1"/>
  <c r="H98" i="8"/>
  <c r="G98" i="8"/>
  <c r="F98" i="8"/>
  <c r="E98" i="8"/>
  <c r="D98" i="8"/>
  <c r="A98" i="8"/>
  <c r="U97" i="8"/>
  <c r="Q97" i="8"/>
  <c r="T97" i="8" s="1"/>
  <c r="S97" i="8"/>
  <c r="P97" i="8"/>
  <c r="O97" i="8"/>
  <c r="M97" i="8"/>
  <c r="L97" i="8"/>
  <c r="N97" i="8"/>
  <c r="K97" i="8"/>
  <c r="J97" i="8"/>
  <c r="I97" i="8"/>
  <c r="H97" i="8"/>
  <c r="G97" i="8"/>
  <c r="F97" i="8"/>
  <c r="E97" i="8"/>
  <c r="U96" i="8"/>
  <c r="T96" i="8"/>
  <c r="R96" i="8"/>
  <c r="Q96" i="8"/>
  <c r="S96" i="8"/>
  <c r="P96" i="8"/>
  <c r="O96" i="8"/>
  <c r="H90" i="7" s="1"/>
  <c r="M96" i="8"/>
  <c r="L96" i="8"/>
  <c r="N96" i="8"/>
  <c r="G90" i="7" s="1"/>
  <c r="K96" i="8"/>
  <c r="E90" i="7" s="1"/>
  <c r="J96" i="8"/>
  <c r="I96" i="8"/>
  <c r="D90" i="7" s="1"/>
  <c r="H96" i="8"/>
  <c r="G96" i="8"/>
  <c r="F96" i="8"/>
  <c r="E96" i="8"/>
  <c r="U95" i="8"/>
  <c r="T95" i="8"/>
  <c r="R95" i="8"/>
  <c r="Q95" i="8"/>
  <c r="S95" i="8"/>
  <c r="P95" i="8"/>
  <c r="O95" i="8"/>
  <c r="L95" i="8"/>
  <c r="M95" i="8" s="1"/>
  <c r="N95" i="8"/>
  <c r="K95" i="8"/>
  <c r="J95" i="8"/>
  <c r="I95" i="8"/>
  <c r="H95" i="8"/>
  <c r="G95" i="8"/>
  <c r="F95" i="8"/>
  <c r="E95" i="8"/>
  <c r="U94" i="8"/>
  <c r="T94" i="8"/>
  <c r="Q94" i="8"/>
  <c r="R94" i="8" s="1"/>
  <c r="S94" i="8"/>
  <c r="P94" i="8"/>
  <c r="M94" i="8"/>
  <c r="F84" i="7" s="1"/>
  <c r="L94" i="8"/>
  <c r="O94" i="8" s="1"/>
  <c r="H84" i="7" s="1"/>
  <c r="N94" i="8"/>
  <c r="G84" i="7" s="1"/>
  <c r="K94" i="8"/>
  <c r="E84" i="7" s="1"/>
  <c r="J94" i="8"/>
  <c r="I94" i="8"/>
  <c r="D84" i="7" s="1"/>
  <c r="H94" i="8"/>
  <c r="G94" i="8"/>
  <c r="F94" i="8"/>
  <c r="E94" i="8"/>
  <c r="U93" i="8"/>
  <c r="Q93" i="8"/>
  <c r="T93" i="8" s="1"/>
  <c r="S93" i="8"/>
  <c r="P93" i="8"/>
  <c r="O93" i="8"/>
  <c r="H88" i="7" s="1"/>
  <c r="M93" i="8"/>
  <c r="F88" i="7" s="1"/>
  <c r="L93" i="8"/>
  <c r="N93" i="8"/>
  <c r="G88" i="7" s="1"/>
  <c r="K93" i="8"/>
  <c r="E88" i="7" s="1"/>
  <c r="J93" i="8"/>
  <c r="I93" i="8"/>
  <c r="D88" i="7" s="1"/>
  <c r="H93" i="8"/>
  <c r="G93" i="8"/>
  <c r="F93" i="8"/>
  <c r="E93" i="8"/>
  <c r="U92" i="8"/>
  <c r="T92" i="8"/>
  <c r="R92" i="8"/>
  <c r="Q92" i="8"/>
  <c r="S92" i="8"/>
  <c r="P92" i="8"/>
  <c r="O92" i="8"/>
  <c r="H89" i="7" s="1"/>
  <c r="M92" i="8"/>
  <c r="L92" i="8"/>
  <c r="N92" i="8"/>
  <c r="G89" i="7" s="1"/>
  <c r="K92" i="8"/>
  <c r="E89" i="7" s="1"/>
  <c r="J92" i="8"/>
  <c r="I92" i="8"/>
  <c r="H92" i="8"/>
  <c r="G92" i="8"/>
  <c r="F92" i="8"/>
  <c r="E92" i="8"/>
  <c r="U91" i="8"/>
  <c r="T91" i="8"/>
  <c r="R91" i="8"/>
  <c r="Q91" i="8"/>
  <c r="S91" i="8"/>
  <c r="P91" i="8"/>
  <c r="O91" i="8"/>
  <c r="H91" i="7" s="1"/>
  <c r="L91" i="8"/>
  <c r="M91" i="8" s="1"/>
  <c r="F91" i="7" s="1"/>
  <c r="N91" i="8"/>
  <c r="G91" i="7" s="1"/>
  <c r="K91" i="8"/>
  <c r="E91" i="7" s="1"/>
  <c r="J91" i="8"/>
  <c r="I91" i="8"/>
  <c r="D91" i="7" s="1"/>
  <c r="H91" i="8"/>
  <c r="G91" i="8"/>
  <c r="F91" i="8"/>
  <c r="E91" i="8"/>
  <c r="U90" i="8"/>
  <c r="T90" i="8"/>
  <c r="Q90" i="8"/>
  <c r="R90" i="8" s="1"/>
  <c r="S90" i="8"/>
  <c r="P90" i="8"/>
  <c r="M90" i="8"/>
  <c r="F92" i="7" s="1"/>
  <c r="L90" i="8"/>
  <c r="O90" i="8" s="1"/>
  <c r="H92" i="7" s="1"/>
  <c r="N90" i="8"/>
  <c r="G92" i="7" s="1"/>
  <c r="K90" i="8"/>
  <c r="E92" i="7" s="1"/>
  <c r="J90" i="8"/>
  <c r="I90" i="8"/>
  <c r="D92" i="7" s="1"/>
  <c r="H90" i="8"/>
  <c r="G90" i="8"/>
  <c r="F90" i="8"/>
  <c r="E90" i="8"/>
  <c r="U89" i="8"/>
  <c r="Q89" i="8"/>
  <c r="T89" i="8" s="1"/>
  <c r="S89" i="8"/>
  <c r="P89" i="8"/>
  <c r="O89" i="8"/>
  <c r="H96" i="7" s="1"/>
  <c r="M89" i="8"/>
  <c r="F96" i="7" s="1"/>
  <c r="L89" i="8"/>
  <c r="N89" i="8"/>
  <c r="G96" i="7" s="1"/>
  <c r="K89" i="8"/>
  <c r="E96" i="7" s="1"/>
  <c r="J89" i="8"/>
  <c r="I89" i="8"/>
  <c r="D96" i="7" s="1"/>
  <c r="H89" i="8"/>
  <c r="G89" i="8"/>
  <c r="F89" i="8"/>
  <c r="E89" i="8"/>
  <c r="U88" i="8"/>
  <c r="T88" i="8"/>
  <c r="R88" i="8"/>
  <c r="Q88" i="8"/>
  <c r="S88" i="8"/>
  <c r="P88" i="8"/>
  <c r="O88" i="8"/>
  <c r="H99" i="7" s="1"/>
  <c r="M88" i="8"/>
  <c r="F99" i="7" s="1"/>
  <c r="L88" i="8"/>
  <c r="N88" i="8"/>
  <c r="G99" i="7" s="1"/>
  <c r="K88" i="8"/>
  <c r="E99" i="7" s="1"/>
  <c r="J88" i="8"/>
  <c r="I88" i="8"/>
  <c r="H88" i="8"/>
  <c r="G88" i="8"/>
  <c r="F88" i="8"/>
  <c r="E88" i="8"/>
  <c r="G87" i="8"/>
  <c r="A87" i="8"/>
  <c r="U86" i="8"/>
  <c r="S86" i="8"/>
  <c r="T86" i="8" s="1"/>
  <c r="P86" i="8"/>
  <c r="R86" i="8" s="1"/>
  <c r="N86" i="8"/>
  <c r="K86" i="8"/>
  <c r="E79" i="7" s="1"/>
  <c r="I86" i="8"/>
  <c r="D79" i="7" s="1"/>
  <c r="H86" i="8"/>
  <c r="G86" i="8"/>
  <c r="F86" i="8"/>
  <c r="E86" i="8"/>
  <c r="D86" i="8"/>
  <c r="A86" i="8"/>
  <c r="U85" i="8"/>
  <c r="S85" i="8"/>
  <c r="T85" i="8" s="1"/>
  <c r="R85" i="8"/>
  <c r="P85" i="8"/>
  <c r="N85" i="8"/>
  <c r="M85" i="8"/>
  <c r="F78" i="7" s="1"/>
  <c r="K85" i="8"/>
  <c r="E78" i="7" s="1"/>
  <c r="I85" i="8"/>
  <c r="D78" i="7" s="1"/>
  <c r="H85" i="8"/>
  <c r="G85" i="8"/>
  <c r="F85" i="8"/>
  <c r="E85" i="8"/>
  <c r="D85" i="8"/>
  <c r="A85" i="8"/>
  <c r="U84" i="8"/>
  <c r="S84" i="8"/>
  <c r="T84" i="8" s="1"/>
  <c r="P84" i="8"/>
  <c r="R84" i="8" s="1"/>
  <c r="N84" i="8"/>
  <c r="K84" i="8"/>
  <c r="E77" i="7" s="1"/>
  <c r="I84" i="8"/>
  <c r="D77" i="7" s="1"/>
  <c r="H84" i="8"/>
  <c r="G84" i="8"/>
  <c r="F84" i="8"/>
  <c r="E84" i="8"/>
  <c r="D84" i="8"/>
  <c r="A84" i="8"/>
  <c r="U83" i="8"/>
  <c r="S83" i="8"/>
  <c r="T83" i="8" s="1"/>
  <c r="R83" i="8"/>
  <c r="P83" i="8"/>
  <c r="N83" i="8"/>
  <c r="M83" i="8"/>
  <c r="F76" i="7" s="1"/>
  <c r="K83" i="8"/>
  <c r="E76" i="7" s="1"/>
  <c r="I83" i="8"/>
  <c r="D76" i="7" s="1"/>
  <c r="H83" i="8"/>
  <c r="G83" i="8"/>
  <c r="F83" i="8"/>
  <c r="E83" i="8"/>
  <c r="D83" i="8"/>
  <c r="A83" i="8"/>
  <c r="U82" i="8"/>
  <c r="S82" i="8"/>
  <c r="P82" i="8"/>
  <c r="R82" i="8" s="1"/>
  <c r="N82" i="8"/>
  <c r="K82" i="8"/>
  <c r="E75" i="7" s="1"/>
  <c r="I82" i="8"/>
  <c r="D75" i="7" s="1"/>
  <c r="H82" i="8"/>
  <c r="G82" i="8"/>
  <c r="F82" i="8"/>
  <c r="E82" i="8"/>
  <c r="D82" i="8"/>
  <c r="A82" i="8"/>
  <c r="U81" i="8"/>
  <c r="T81" i="8"/>
  <c r="R81" i="8"/>
  <c r="Q81" i="8"/>
  <c r="S81" i="8"/>
  <c r="P81" i="8"/>
  <c r="L81" i="8"/>
  <c r="O81" i="8" s="1"/>
  <c r="H71" i="7" s="1"/>
  <c r="N81" i="8"/>
  <c r="G71" i="7" s="1"/>
  <c r="K81" i="8"/>
  <c r="E71" i="7" s="1"/>
  <c r="J81" i="8"/>
  <c r="I81" i="8"/>
  <c r="D71" i="7" s="1"/>
  <c r="H81" i="8"/>
  <c r="G81" i="8"/>
  <c r="F81" i="8"/>
  <c r="E81" i="8"/>
  <c r="U80" i="8"/>
  <c r="Q80" i="8"/>
  <c r="T80" i="8" s="1"/>
  <c r="S80" i="8"/>
  <c r="P80" i="8"/>
  <c r="L80" i="8"/>
  <c r="O80" i="8" s="1"/>
  <c r="H51" i="7" s="1"/>
  <c r="N80" i="8"/>
  <c r="G51" i="7" s="1"/>
  <c r="K80" i="8"/>
  <c r="E51" i="7" s="1"/>
  <c r="J80" i="8"/>
  <c r="I80" i="8"/>
  <c r="D51" i="7" s="1"/>
  <c r="H80" i="8"/>
  <c r="G80" i="8"/>
  <c r="F80" i="8"/>
  <c r="E80" i="8"/>
  <c r="U79" i="8"/>
  <c r="Q79" i="8"/>
  <c r="T79" i="8" s="1"/>
  <c r="S79" i="8"/>
  <c r="P79" i="8"/>
  <c r="O79" i="8"/>
  <c r="H70" i="7" s="1"/>
  <c r="M79" i="8"/>
  <c r="F70" i="7" s="1"/>
  <c r="L79" i="8"/>
  <c r="N79" i="8"/>
  <c r="G70" i="7" s="1"/>
  <c r="K79" i="8"/>
  <c r="E70" i="7" s="1"/>
  <c r="J79" i="8"/>
  <c r="I79" i="8"/>
  <c r="D70" i="7" s="1"/>
  <c r="H79" i="8"/>
  <c r="G79" i="8"/>
  <c r="F79" i="8"/>
  <c r="E79" i="8"/>
  <c r="U78" i="8"/>
  <c r="T78" i="8"/>
  <c r="R78" i="8"/>
  <c r="Q78" i="8"/>
  <c r="S78" i="8"/>
  <c r="P78" i="8"/>
  <c r="O78" i="8"/>
  <c r="H72" i="7" s="1"/>
  <c r="M78" i="8"/>
  <c r="F72" i="7" s="1"/>
  <c r="L78" i="8"/>
  <c r="N78" i="8"/>
  <c r="G72" i="7" s="1"/>
  <c r="K78" i="8"/>
  <c r="E72" i="7" s="1"/>
  <c r="J78" i="8"/>
  <c r="I78" i="8"/>
  <c r="D72" i="7" s="1"/>
  <c r="H78" i="8"/>
  <c r="G78" i="8"/>
  <c r="F78" i="8"/>
  <c r="E78" i="8"/>
  <c r="U77" i="8"/>
  <c r="T77" i="8"/>
  <c r="R77" i="8"/>
  <c r="Q77" i="8"/>
  <c r="S77" i="8"/>
  <c r="P77" i="8"/>
  <c r="L77" i="8"/>
  <c r="O77" i="8" s="1"/>
  <c r="H74" i="7" s="1"/>
  <c r="N77" i="8"/>
  <c r="G74" i="7" s="1"/>
  <c r="K77" i="8"/>
  <c r="E74" i="7" s="1"/>
  <c r="J77" i="8"/>
  <c r="I77" i="8"/>
  <c r="D74" i="7" s="1"/>
  <c r="H77" i="8"/>
  <c r="G77" i="8"/>
  <c r="F77" i="8"/>
  <c r="E77" i="8"/>
  <c r="U76" i="8"/>
  <c r="Q76" i="8"/>
  <c r="T76" i="8" s="1"/>
  <c r="S76" i="8"/>
  <c r="P76" i="8"/>
  <c r="L76" i="8"/>
  <c r="O76" i="8" s="1"/>
  <c r="N76" i="8"/>
  <c r="K76" i="8"/>
  <c r="J76" i="8"/>
  <c r="I76" i="8"/>
  <c r="H76" i="8"/>
  <c r="G76" i="8"/>
  <c r="F76" i="8"/>
  <c r="E76" i="8"/>
  <c r="U75" i="8"/>
  <c r="Q75" i="8"/>
  <c r="T75" i="8" s="1"/>
  <c r="S75" i="8"/>
  <c r="P75" i="8"/>
  <c r="O75" i="8"/>
  <c r="M75" i="8"/>
  <c r="L75" i="8"/>
  <c r="N75" i="8"/>
  <c r="K75" i="8"/>
  <c r="J75" i="8"/>
  <c r="I75" i="8"/>
  <c r="H75" i="8"/>
  <c r="G75" i="8"/>
  <c r="F75" i="8"/>
  <c r="E75" i="8"/>
  <c r="U74" i="8"/>
  <c r="T74" i="8"/>
  <c r="R74" i="8"/>
  <c r="Q74" i="8"/>
  <c r="S74" i="8"/>
  <c r="P74" i="8"/>
  <c r="O74" i="8"/>
  <c r="M74" i="8"/>
  <c r="L74" i="8"/>
  <c r="N74" i="8"/>
  <c r="K74" i="8"/>
  <c r="J74" i="8"/>
  <c r="I74" i="8"/>
  <c r="H74" i="8"/>
  <c r="G74" i="8"/>
  <c r="F74" i="8"/>
  <c r="E74" i="8"/>
  <c r="U73" i="8"/>
  <c r="T73" i="8"/>
  <c r="R73" i="8"/>
  <c r="Q73" i="8"/>
  <c r="S73" i="8"/>
  <c r="P73" i="8"/>
  <c r="L73" i="8"/>
  <c r="O73" i="8" s="1"/>
  <c r="N73" i="8"/>
  <c r="K73" i="8"/>
  <c r="J73" i="8"/>
  <c r="I73" i="8"/>
  <c r="H73" i="8"/>
  <c r="G73" i="8"/>
  <c r="F73" i="8"/>
  <c r="E73" i="8"/>
  <c r="U72" i="8"/>
  <c r="Q72" i="8"/>
  <c r="T72" i="8" s="1"/>
  <c r="S72" i="8"/>
  <c r="P72" i="8"/>
  <c r="L72" i="8"/>
  <c r="O72" i="8" s="1"/>
  <c r="N72" i="8"/>
  <c r="K72" i="8"/>
  <c r="J72" i="8"/>
  <c r="I72" i="8"/>
  <c r="H72" i="8"/>
  <c r="G72" i="8"/>
  <c r="F72" i="8"/>
  <c r="E72" i="8"/>
  <c r="U71" i="8"/>
  <c r="Q71" i="8"/>
  <c r="T71" i="8" s="1"/>
  <c r="S71" i="8"/>
  <c r="P71" i="8"/>
  <c r="O71" i="8"/>
  <c r="M71" i="8"/>
  <c r="L71" i="8"/>
  <c r="N71" i="8"/>
  <c r="G48" i="7" s="1"/>
  <c r="K71" i="8"/>
  <c r="E48" i="7" s="1"/>
  <c r="J71" i="8"/>
  <c r="I71" i="8"/>
  <c r="D48" i="7" s="1"/>
  <c r="H71" i="8"/>
  <c r="G71" i="8"/>
  <c r="F71" i="8"/>
  <c r="E71" i="8"/>
  <c r="U70" i="8"/>
  <c r="Q70" i="8"/>
  <c r="T70" i="8" s="1"/>
  <c r="S70" i="8"/>
  <c r="P70" i="8"/>
  <c r="O70" i="8"/>
  <c r="H50" i="7" s="1"/>
  <c r="M70" i="8"/>
  <c r="F50" i="7" s="1"/>
  <c r="L70" i="8"/>
  <c r="N70" i="8"/>
  <c r="G50" i="7" s="1"/>
  <c r="K70" i="8"/>
  <c r="E50" i="7" s="1"/>
  <c r="J70" i="8"/>
  <c r="I70" i="8"/>
  <c r="D50" i="7" s="1"/>
  <c r="H70" i="8"/>
  <c r="G70" i="8"/>
  <c r="F70" i="8"/>
  <c r="E70" i="8"/>
  <c r="U69" i="8"/>
  <c r="Q69" i="8"/>
  <c r="T69" i="8" s="1"/>
  <c r="S69" i="8"/>
  <c r="P69" i="8"/>
  <c r="O69" i="8"/>
  <c r="H52" i="7" s="1"/>
  <c r="M69" i="8"/>
  <c r="F52" i="7" s="1"/>
  <c r="L69" i="8"/>
  <c r="N69" i="8"/>
  <c r="G52" i="7" s="1"/>
  <c r="K69" i="8"/>
  <c r="E52" i="7" s="1"/>
  <c r="J69" i="8"/>
  <c r="I69" i="8"/>
  <c r="D52" i="7" s="1"/>
  <c r="H69" i="8"/>
  <c r="G69" i="8"/>
  <c r="F69" i="8"/>
  <c r="E69" i="8"/>
  <c r="U68" i="8"/>
  <c r="T68" i="8"/>
  <c r="R68" i="8"/>
  <c r="Q68" i="8"/>
  <c r="S68" i="8"/>
  <c r="P68" i="8"/>
  <c r="O68" i="8"/>
  <c r="H58" i="7" s="1"/>
  <c r="L68" i="8"/>
  <c r="M68" i="8" s="1"/>
  <c r="F58" i="7" s="1"/>
  <c r="N68" i="8"/>
  <c r="G58" i="7" s="1"/>
  <c r="K68" i="8"/>
  <c r="E58" i="7" s="1"/>
  <c r="J68" i="8"/>
  <c r="I68" i="8"/>
  <c r="D58" i="7" s="1"/>
  <c r="H68" i="8"/>
  <c r="G68" i="8"/>
  <c r="F68" i="8"/>
  <c r="E68" i="8"/>
  <c r="U67" i="8"/>
  <c r="T67" i="8"/>
  <c r="Q67" i="8"/>
  <c r="R67" i="8" s="1"/>
  <c r="S67" i="8"/>
  <c r="P67" i="8"/>
  <c r="L67" i="8"/>
  <c r="O67" i="8" s="1"/>
  <c r="H65" i="7" s="1"/>
  <c r="N67" i="8"/>
  <c r="G65" i="7" s="1"/>
  <c r="K67" i="8"/>
  <c r="E65" i="7" s="1"/>
  <c r="J67" i="8"/>
  <c r="I67" i="8"/>
  <c r="D65" i="7" s="1"/>
  <c r="H67" i="8"/>
  <c r="G67" i="8"/>
  <c r="F67" i="8"/>
  <c r="E67" i="8"/>
  <c r="U66" i="8"/>
  <c r="Q66" i="8"/>
  <c r="T66" i="8" s="1"/>
  <c r="S66" i="8"/>
  <c r="P66" i="8"/>
  <c r="L66" i="8"/>
  <c r="O66" i="8" s="1"/>
  <c r="H66" i="7" s="1"/>
  <c r="N66" i="8"/>
  <c r="G66" i="7" s="1"/>
  <c r="K66" i="8"/>
  <c r="E66" i="7" s="1"/>
  <c r="J66" i="8"/>
  <c r="I66" i="8"/>
  <c r="D66" i="7" s="1"/>
  <c r="H66" i="8"/>
  <c r="G66" i="8"/>
  <c r="F66" i="8"/>
  <c r="E66" i="8"/>
  <c r="U65" i="8"/>
  <c r="Q65" i="8"/>
  <c r="T65" i="8" s="1"/>
  <c r="S65" i="8"/>
  <c r="P65" i="8"/>
  <c r="O65" i="8"/>
  <c r="H67" i="7" s="1"/>
  <c r="M65" i="8"/>
  <c r="F67" i="7" s="1"/>
  <c r="L65" i="8"/>
  <c r="N65" i="8"/>
  <c r="G67" i="7" s="1"/>
  <c r="K65" i="8"/>
  <c r="E67" i="7" s="1"/>
  <c r="J65" i="8"/>
  <c r="I65" i="8"/>
  <c r="D67" i="7" s="1"/>
  <c r="H65" i="8"/>
  <c r="G65" i="8"/>
  <c r="F65" i="8"/>
  <c r="E65" i="8"/>
  <c r="U64" i="8"/>
  <c r="T64" i="8"/>
  <c r="R64" i="8"/>
  <c r="Q64" i="8"/>
  <c r="S64" i="8"/>
  <c r="P64" i="8"/>
  <c r="O64" i="8"/>
  <c r="H68" i="7" s="1"/>
  <c r="L64" i="8"/>
  <c r="M64" i="8" s="1"/>
  <c r="N64" i="8"/>
  <c r="G68" i="7" s="1"/>
  <c r="K64" i="8"/>
  <c r="E68" i="7" s="1"/>
  <c r="J64" i="8"/>
  <c r="I64" i="8"/>
  <c r="D68" i="7" s="1"/>
  <c r="H64" i="8"/>
  <c r="G64" i="8"/>
  <c r="F64" i="8"/>
  <c r="E64" i="8"/>
  <c r="U63" i="8"/>
  <c r="T63" i="8"/>
  <c r="Q63" i="8"/>
  <c r="R63" i="8" s="1"/>
  <c r="S63" i="8"/>
  <c r="P63" i="8"/>
  <c r="L63" i="8"/>
  <c r="O63" i="8" s="1"/>
  <c r="H69" i="7" s="1"/>
  <c r="N63" i="8"/>
  <c r="G69" i="7" s="1"/>
  <c r="K63" i="8"/>
  <c r="E69" i="7" s="1"/>
  <c r="J63" i="8"/>
  <c r="I63" i="8"/>
  <c r="D69" i="7" s="1"/>
  <c r="H63" i="8"/>
  <c r="G63" i="8"/>
  <c r="F63" i="8"/>
  <c r="E63" i="8"/>
  <c r="U62" i="8"/>
  <c r="Q62" i="8"/>
  <c r="T62" i="8" s="1"/>
  <c r="S62" i="8"/>
  <c r="P62" i="8"/>
  <c r="L62" i="8"/>
  <c r="M62" i="8" s="1"/>
  <c r="N62" i="8"/>
  <c r="K62" i="8"/>
  <c r="J62" i="8"/>
  <c r="I62" i="8"/>
  <c r="H62" i="8"/>
  <c r="G62" i="8"/>
  <c r="F62" i="8"/>
  <c r="E62" i="8"/>
  <c r="U61" i="8"/>
  <c r="Q61" i="8"/>
  <c r="R61" i="8" s="1"/>
  <c r="S61" i="8"/>
  <c r="P61" i="8"/>
  <c r="O61" i="8"/>
  <c r="H63" i="7" s="1"/>
  <c r="M61" i="8"/>
  <c r="F63" i="7" s="1"/>
  <c r="L61" i="8"/>
  <c r="N61" i="8"/>
  <c r="G63" i="7" s="1"/>
  <c r="K61" i="8"/>
  <c r="E63" i="7" s="1"/>
  <c r="J61" i="8"/>
  <c r="I61" i="8"/>
  <c r="D63" i="7" s="1"/>
  <c r="H61" i="8"/>
  <c r="G61" i="8"/>
  <c r="F61" i="8"/>
  <c r="E61" i="8"/>
  <c r="U60" i="8"/>
  <c r="T60" i="8"/>
  <c r="R60" i="8"/>
  <c r="Q60" i="8"/>
  <c r="S60" i="8"/>
  <c r="P60" i="8"/>
  <c r="O60" i="8"/>
  <c r="H73" i="7" s="1"/>
  <c r="L60" i="8"/>
  <c r="M60" i="8" s="1"/>
  <c r="F73" i="7" s="1"/>
  <c r="N60" i="8"/>
  <c r="G73" i="7" s="1"/>
  <c r="K60" i="8"/>
  <c r="E73" i="7" s="1"/>
  <c r="J60" i="8"/>
  <c r="I60" i="8"/>
  <c r="D73" i="7" s="1"/>
  <c r="H60" i="8"/>
  <c r="G60" i="8"/>
  <c r="F60" i="8"/>
  <c r="E60" i="8"/>
  <c r="U59" i="8"/>
  <c r="S59" i="8"/>
  <c r="P59" i="8"/>
  <c r="R59" i="8" s="1"/>
  <c r="N59" i="8"/>
  <c r="G62" i="7" s="1"/>
  <c r="K59" i="8"/>
  <c r="E62" i="7" s="1"/>
  <c r="I59" i="8"/>
  <c r="D62" i="7" s="1"/>
  <c r="H59" i="8"/>
  <c r="G59" i="8"/>
  <c r="F59" i="8"/>
  <c r="E59" i="8"/>
  <c r="D59" i="8"/>
  <c r="A59" i="8"/>
  <c r="U58" i="8"/>
  <c r="T58" i="8"/>
  <c r="Q58" i="8"/>
  <c r="R58" i="8" s="1"/>
  <c r="S58" i="8"/>
  <c r="P58" i="8"/>
  <c r="L58" i="8"/>
  <c r="O58" i="8" s="1"/>
  <c r="N58" i="8"/>
  <c r="K58" i="8"/>
  <c r="J58" i="8"/>
  <c r="I58" i="8"/>
  <c r="H58" i="8"/>
  <c r="G58" i="8"/>
  <c r="F58" i="8"/>
  <c r="E58" i="8"/>
  <c r="U57" i="8"/>
  <c r="Q57" i="8"/>
  <c r="T57" i="8" s="1"/>
  <c r="S57" i="8"/>
  <c r="P57" i="8"/>
  <c r="L57" i="8"/>
  <c r="O57" i="8" s="1"/>
  <c r="N57" i="8"/>
  <c r="G55" i="7" s="1"/>
  <c r="K57" i="8"/>
  <c r="E55" i="7" s="1"/>
  <c r="J57" i="8"/>
  <c r="I57" i="8"/>
  <c r="D55" i="7" s="1"/>
  <c r="H57" i="8"/>
  <c r="G57" i="8"/>
  <c r="F57" i="8"/>
  <c r="E57" i="8"/>
  <c r="U56" i="8"/>
  <c r="Q56" i="8"/>
  <c r="T56" i="8" s="1"/>
  <c r="S56" i="8"/>
  <c r="P56" i="8"/>
  <c r="O56" i="8"/>
  <c r="M56" i="8"/>
  <c r="L56" i="8"/>
  <c r="N56" i="8"/>
  <c r="K56" i="8"/>
  <c r="J56" i="8"/>
  <c r="I56" i="8"/>
  <c r="H56" i="8"/>
  <c r="G56" i="8"/>
  <c r="F56" i="8"/>
  <c r="E56" i="8"/>
  <c r="U55" i="8"/>
  <c r="T55" i="8"/>
  <c r="R55" i="8"/>
  <c r="Q55" i="8"/>
  <c r="S55" i="8"/>
  <c r="P55" i="8"/>
  <c r="O55" i="8"/>
  <c r="H49" i="7" s="1"/>
  <c r="L55" i="8"/>
  <c r="M55" i="8" s="1"/>
  <c r="F49" i="7" s="1"/>
  <c r="N55" i="8"/>
  <c r="G49" i="7" s="1"/>
  <c r="K55" i="8"/>
  <c r="E49" i="7" s="1"/>
  <c r="J55" i="8"/>
  <c r="I55" i="8"/>
  <c r="D49" i="7" s="1"/>
  <c r="H55" i="8"/>
  <c r="G55" i="8"/>
  <c r="F55" i="8"/>
  <c r="E55" i="8"/>
  <c r="U54" i="8"/>
  <c r="T54" i="8"/>
  <c r="Q54" i="8"/>
  <c r="R54" i="8" s="1"/>
  <c r="S54" i="8"/>
  <c r="P54" i="8"/>
  <c r="L54" i="8"/>
  <c r="O54" i="8" s="1"/>
  <c r="H53" i="7" s="1"/>
  <c r="N54" i="8"/>
  <c r="G53" i="7" s="1"/>
  <c r="K54" i="8"/>
  <c r="E53" i="7" s="1"/>
  <c r="J54" i="8"/>
  <c r="I54" i="8"/>
  <c r="D53" i="7" s="1"/>
  <c r="H54" i="8"/>
  <c r="G54" i="8"/>
  <c r="F54" i="8"/>
  <c r="E54" i="8"/>
  <c r="U53" i="8"/>
  <c r="Q53" i="8"/>
  <c r="T53" i="8" s="1"/>
  <c r="S53" i="8"/>
  <c r="P53" i="8"/>
  <c r="L53" i="8"/>
  <c r="M53" i="8" s="1"/>
  <c r="N53" i="8"/>
  <c r="G54" i="7" s="1"/>
  <c r="K53" i="8"/>
  <c r="E54" i="7" s="1"/>
  <c r="J53" i="8"/>
  <c r="I53" i="8"/>
  <c r="D54" i="7" s="1"/>
  <c r="H53" i="8"/>
  <c r="G53" i="8"/>
  <c r="F53" i="8"/>
  <c r="E53" i="8"/>
  <c r="U52" i="8"/>
  <c r="Q52" i="8"/>
  <c r="R52" i="8" s="1"/>
  <c r="S52" i="8"/>
  <c r="P52" i="8"/>
  <c r="O52" i="8"/>
  <c r="H56" i="7" s="1"/>
  <c r="M52" i="8"/>
  <c r="F56" i="7" s="1"/>
  <c r="L52" i="8"/>
  <c r="N52" i="8"/>
  <c r="G56" i="7" s="1"/>
  <c r="K52" i="8"/>
  <c r="E56" i="7" s="1"/>
  <c r="J52" i="8"/>
  <c r="I52" i="8"/>
  <c r="D56" i="7" s="1"/>
  <c r="H52" i="8"/>
  <c r="G52" i="8"/>
  <c r="F52" i="8"/>
  <c r="E52" i="8"/>
  <c r="U51" i="8"/>
  <c r="T51" i="8"/>
  <c r="R51" i="8"/>
  <c r="Q51" i="8"/>
  <c r="S51" i="8"/>
  <c r="P51" i="8"/>
  <c r="O51" i="8"/>
  <c r="H57" i="7" s="1"/>
  <c r="L51" i="8"/>
  <c r="M51" i="8" s="1"/>
  <c r="F57" i="7" s="1"/>
  <c r="N51" i="8"/>
  <c r="G57" i="7" s="1"/>
  <c r="K51" i="8"/>
  <c r="E57" i="7" s="1"/>
  <c r="J51" i="8"/>
  <c r="I51" i="8"/>
  <c r="D57" i="7" s="1"/>
  <c r="H51" i="8"/>
  <c r="G51" i="8"/>
  <c r="F51" i="8"/>
  <c r="E51" i="8"/>
  <c r="U50" i="8"/>
  <c r="T50" i="8"/>
  <c r="Q50" i="8"/>
  <c r="R50" i="8" s="1"/>
  <c r="S50" i="8"/>
  <c r="P50" i="8"/>
  <c r="L50" i="8"/>
  <c r="O50" i="8" s="1"/>
  <c r="H61" i="7" s="1"/>
  <c r="N50" i="8"/>
  <c r="G61" i="7" s="1"/>
  <c r="K50" i="8"/>
  <c r="E61" i="7" s="1"/>
  <c r="J50" i="8"/>
  <c r="I50" i="8"/>
  <c r="D61" i="7" s="1"/>
  <c r="H50" i="8"/>
  <c r="G50" i="8"/>
  <c r="F50" i="8"/>
  <c r="E50" i="8"/>
  <c r="U49" i="8"/>
  <c r="Q49" i="8"/>
  <c r="T49" i="8" s="1"/>
  <c r="S49" i="8"/>
  <c r="P49" i="8"/>
  <c r="L49" i="8"/>
  <c r="O49" i="8" s="1"/>
  <c r="H64" i="7" s="1"/>
  <c r="N49" i="8"/>
  <c r="G64" i="7" s="1"/>
  <c r="K49" i="8"/>
  <c r="E64" i="7" s="1"/>
  <c r="J49" i="8"/>
  <c r="I49" i="8"/>
  <c r="D64" i="7" s="1"/>
  <c r="H49" i="8"/>
  <c r="G49" i="8"/>
  <c r="F49" i="8"/>
  <c r="E49" i="8"/>
  <c r="G48" i="8"/>
  <c r="A48" i="8"/>
  <c r="U47" i="8"/>
  <c r="S47" i="8"/>
  <c r="P47" i="8"/>
  <c r="R47" i="8" s="1"/>
  <c r="N47" i="8"/>
  <c r="G44" i="7" s="1"/>
  <c r="K47" i="8"/>
  <c r="E44" i="7" s="1"/>
  <c r="I47" i="8"/>
  <c r="D44" i="7" s="1"/>
  <c r="H47" i="8"/>
  <c r="G47" i="8"/>
  <c r="F47" i="8"/>
  <c r="E47" i="8"/>
  <c r="D47" i="8"/>
  <c r="A47" i="8"/>
  <c r="U46" i="8"/>
  <c r="S46" i="8"/>
  <c r="P46" i="8"/>
  <c r="R46" i="8" s="1"/>
  <c r="N46" i="8"/>
  <c r="G43" i="7" s="1"/>
  <c r="K46" i="8"/>
  <c r="E43" i="7" s="1"/>
  <c r="I46" i="8"/>
  <c r="D43" i="7" s="1"/>
  <c r="H46" i="8"/>
  <c r="G46" i="8"/>
  <c r="F46" i="8"/>
  <c r="E46" i="8"/>
  <c r="D46" i="8"/>
  <c r="A46" i="8"/>
  <c r="U45" i="8"/>
  <c r="S45" i="8"/>
  <c r="P45" i="8"/>
  <c r="R45" i="8" s="1"/>
  <c r="N45" i="8"/>
  <c r="G42" i="7" s="1"/>
  <c r="K45" i="8"/>
  <c r="E42" i="7" s="1"/>
  <c r="I45" i="8"/>
  <c r="D42" i="7" s="1"/>
  <c r="H45" i="8"/>
  <c r="G45" i="8"/>
  <c r="F45" i="8"/>
  <c r="E45" i="8"/>
  <c r="D45" i="8"/>
  <c r="A45" i="8"/>
  <c r="U44" i="8"/>
  <c r="S44" i="8"/>
  <c r="P44" i="8"/>
  <c r="R44" i="8" s="1"/>
  <c r="N44" i="8"/>
  <c r="G41" i="7" s="1"/>
  <c r="K44" i="8"/>
  <c r="E41" i="7" s="1"/>
  <c r="I44" i="8"/>
  <c r="D41" i="7" s="1"/>
  <c r="H44" i="8"/>
  <c r="G44" i="8"/>
  <c r="F44" i="8"/>
  <c r="E44" i="8"/>
  <c r="D44" i="8"/>
  <c r="A44" i="8"/>
  <c r="U43" i="8"/>
  <c r="T43" i="8"/>
  <c r="Q43" i="8"/>
  <c r="R43" i="8" s="1"/>
  <c r="S43" i="8"/>
  <c r="P43" i="8"/>
  <c r="L43" i="8"/>
  <c r="O43" i="8" s="1"/>
  <c r="H37" i="7" s="1"/>
  <c r="N43" i="8"/>
  <c r="G37" i="7" s="1"/>
  <c r="K43" i="8"/>
  <c r="E37" i="7" s="1"/>
  <c r="J43" i="8"/>
  <c r="I43" i="8"/>
  <c r="D37" i="7" s="1"/>
  <c r="H43" i="8"/>
  <c r="G43" i="8"/>
  <c r="F43" i="8"/>
  <c r="E43" i="8"/>
  <c r="U42" i="8"/>
  <c r="Q42" i="8"/>
  <c r="T42" i="8" s="1"/>
  <c r="S42" i="8"/>
  <c r="P42" i="8"/>
  <c r="L42" i="8"/>
  <c r="O42" i="8" s="1"/>
  <c r="H17" i="7" s="1"/>
  <c r="N42" i="8"/>
  <c r="G17" i="7" s="1"/>
  <c r="K42" i="8"/>
  <c r="E17" i="7" s="1"/>
  <c r="J42" i="8"/>
  <c r="I42" i="8"/>
  <c r="D17" i="7" s="1"/>
  <c r="H42" i="8"/>
  <c r="G42" i="8"/>
  <c r="F42" i="8"/>
  <c r="E42" i="8"/>
  <c r="U41" i="8"/>
  <c r="Q41" i="8"/>
  <c r="T41" i="8" s="1"/>
  <c r="S41" i="8"/>
  <c r="P41" i="8"/>
  <c r="O41" i="8"/>
  <c r="H36" i="7" s="1"/>
  <c r="M41" i="8"/>
  <c r="F36" i="7" s="1"/>
  <c r="L41" i="8"/>
  <c r="N41" i="8"/>
  <c r="G36" i="7" s="1"/>
  <c r="K41" i="8"/>
  <c r="E36" i="7" s="1"/>
  <c r="J41" i="8"/>
  <c r="I41" i="8"/>
  <c r="D36" i="7" s="1"/>
  <c r="H41" i="8"/>
  <c r="G41" i="8"/>
  <c r="F41" i="8"/>
  <c r="E41" i="8"/>
  <c r="U40" i="8"/>
  <c r="T40" i="8"/>
  <c r="R40" i="8"/>
  <c r="Q40" i="8"/>
  <c r="S40" i="8"/>
  <c r="P40" i="8"/>
  <c r="O40" i="8"/>
  <c r="H38" i="7" s="1"/>
  <c r="L40" i="8"/>
  <c r="M40" i="8" s="1"/>
  <c r="F38" i="7" s="1"/>
  <c r="N40" i="8"/>
  <c r="G38" i="7" s="1"/>
  <c r="K40" i="8"/>
  <c r="E38" i="7" s="1"/>
  <c r="J40" i="8"/>
  <c r="I40" i="8"/>
  <c r="D38" i="7" s="1"/>
  <c r="H40" i="8"/>
  <c r="G40" i="8"/>
  <c r="F40" i="8"/>
  <c r="E40" i="8"/>
  <c r="U39" i="8"/>
  <c r="T39" i="8"/>
  <c r="Q39" i="8"/>
  <c r="R39" i="8" s="1"/>
  <c r="S39" i="8"/>
  <c r="P39" i="8"/>
  <c r="L39" i="8"/>
  <c r="O39" i="8" s="1"/>
  <c r="H40" i="7" s="1"/>
  <c r="N39" i="8"/>
  <c r="G40" i="7" s="1"/>
  <c r="K39" i="8"/>
  <c r="E40" i="7" s="1"/>
  <c r="J39" i="8"/>
  <c r="I39" i="8"/>
  <c r="D40" i="7" s="1"/>
  <c r="H39" i="8"/>
  <c r="G39" i="8"/>
  <c r="F39" i="8"/>
  <c r="E39" i="8"/>
  <c r="U38" i="8"/>
  <c r="Q38" i="8"/>
  <c r="T38" i="8" s="1"/>
  <c r="S38" i="8"/>
  <c r="P38" i="8"/>
  <c r="L38" i="8"/>
  <c r="O38" i="8" s="1"/>
  <c r="N38" i="8"/>
  <c r="K38" i="8"/>
  <c r="J38" i="8"/>
  <c r="I38" i="8"/>
  <c r="H38" i="8"/>
  <c r="G38" i="8"/>
  <c r="F38" i="8"/>
  <c r="E38" i="8"/>
  <c r="U37" i="8"/>
  <c r="Q37" i="8"/>
  <c r="T37" i="8" s="1"/>
  <c r="S37" i="8"/>
  <c r="P37" i="8"/>
  <c r="O37" i="8"/>
  <c r="M37" i="8"/>
  <c r="L37" i="8"/>
  <c r="N37" i="8"/>
  <c r="K37" i="8"/>
  <c r="J37" i="8"/>
  <c r="I37" i="8"/>
  <c r="H37" i="8"/>
  <c r="G37" i="8"/>
  <c r="F37" i="8"/>
  <c r="E37" i="8"/>
  <c r="U36" i="8"/>
  <c r="T36" i="8"/>
  <c r="R36" i="8"/>
  <c r="Q36" i="8"/>
  <c r="S36" i="8"/>
  <c r="P36" i="8"/>
  <c r="O36" i="8"/>
  <c r="L36" i="8"/>
  <c r="M36" i="8" s="1"/>
  <c r="N36" i="8"/>
  <c r="K36" i="8"/>
  <c r="J36" i="8"/>
  <c r="I36" i="8"/>
  <c r="H36" i="8"/>
  <c r="G36" i="8"/>
  <c r="F36" i="8"/>
  <c r="E36" i="8"/>
  <c r="U35" i="8"/>
  <c r="T35" i="8"/>
  <c r="Q35" i="8"/>
  <c r="R35" i="8" s="1"/>
  <c r="S35" i="8"/>
  <c r="P35" i="8"/>
  <c r="L35" i="8"/>
  <c r="O35" i="8" s="1"/>
  <c r="N35" i="8"/>
  <c r="K35" i="8"/>
  <c r="J35" i="8"/>
  <c r="I35" i="8"/>
  <c r="H35" i="8"/>
  <c r="G35" i="8"/>
  <c r="F35" i="8"/>
  <c r="E35" i="8"/>
  <c r="U34" i="8"/>
  <c r="Q34" i="8"/>
  <c r="T34" i="8" s="1"/>
  <c r="S34" i="8"/>
  <c r="P34" i="8"/>
  <c r="L34" i="8"/>
  <c r="O34" i="8" s="1"/>
  <c r="N34" i="8"/>
  <c r="K34" i="8"/>
  <c r="J34" i="8"/>
  <c r="I34" i="8"/>
  <c r="H34" i="8"/>
  <c r="G34" i="8"/>
  <c r="F34" i="8"/>
  <c r="E34" i="8"/>
  <c r="U33" i="8"/>
  <c r="Q33" i="8"/>
  <c r="T33" i="8" s="1"/>
  <c r="S33" i="8"/>
  <c r="P33" i="8"/>
  <c r="O33" i="8"/>
  <c r="M33" i="8"/>
  <c r="L33" i="8"/>
  <c r="N33" i="8"/>
  <c r="G12" i="7" s="1"/>
  <c r="K33" i="8"/>
  <c r="E12" i="7" s="1"/>
  <c r="J33" i="8"/>
  <c r="I33" i="8"/>
  <c r="H33" i="8"/>
  <c r="G33" i="8"/>
  <c r="F33" i="8"/>
  <c r="E33" i="8"/>
  <c r="U32" i="8"/>
  <c r="T32" i="8"/>
  <c r="R32" i="8"/>
  <c r="Q32" i="8"/>
  <c r="S32" i="8"/>
  <c r="P32" i="8"/>
  <c r="O32" i="8"/>
  <c r="H14" i="7" s="1"/>
  <c r="L32" i="8"/>
  <c r="M32" i="8" s="1"/>
  <c r="F14" i="7" s="1"/>
  <c r="N32" i="8"/>
  <c r="G14" i="7" s="1"/>
  <c r="K32" i="8"/>
  <c r="E14" i="7" s="1"/>
  <c r="J32" i="8"/>
  <c r="I32" i="8"/>
  <c r="D14" i="7" s="1"/>
  <c r="H32" i="8"/>
  <c r="G32" i="8"/>
  <c r="F32" i="8"/>
  <c r="E32" i="8"/>
  <c r="U31" i="8"/>
  <c r="T31" i="8"/>
  <c r="Q31" i="8"/>
  <c r="R31" i="8" s="1"/>
  <c r="S31" i="8"/>
  <c r="P31" i="8"/>
  <c r="L31" i="8"/>
  <c r="O31" i="8" s="1"/>
  <c r="H18" i="7" s="1"/>
  <c r="N31" i="8"/>
  <c r="G18" i="7" s="1"/>
  <c r="K31" i="8"/>
  <c r="E18" i="7" s="1"/>
  <c r="J31" i="8"/>
  <c r="I31" i="8"/>
  <c r="D18" i="7" s="1"/>
  <c r="H31" i="8"/>
  <c r="G31" i="8"/>
  <c r="F31" i="8"/>
  <c r="E31" i="8"/>
  <c r="U30" i="8"/>
  <c r="Q30" i="8"/>
  <c r="T30" i="8" s="1"/>
  <c r="S30" i="8"/>
  <c r="P30" i="8"/>
  <c r="L30" i="8"/>
  <c r="O30" i="8" s="1"/>
  <c r="H24" i="7" s="1"/>
  <c r="N30" i="8"/>
  <c r="G24" i="7" s="1"/>
  <c r="K30" i="8"/>
  <c r="E24" i="7" s="1"/>
  <c r="J30" i="8"/>
  <c r="I30" i="8"/>
  <c r="D24" i="7" s="1"/>
  <c r="H30" i="8"/>
  <c r="G30" i="8"/>
  <c r="F30" i="8"/>
  <c r="E30" i="8"/>
  <c r="U29" i="8"/>
  <c r="Q29" i="8"/>
  <c r="T29" i="8" s="1"/>
  <c r="S29" i="8"/>
  <c r="P29" i="8"/>
  <c r="O29" i="8"/>
  <c r="H31" i="7" s="1"/>
  <c r="M29" i="8"/>
  <c r="F31" i="7" s="1"/>
  <c r="L29" i="8"/>
  <c r="N29" i="8"/>
  <c r="G31" i="7" s="1"/>
  <c r="K29" i="8"/>
  <c r="E31" i="7" s="1"/>
  <c r="J29" i="8"/>
  <c r="I29" i="8"/>
  <c r="D31" i="7" s="1"/>
  <c r="H29" i="8"/>
  <c r="G29" i="8"/>
  <c r="F29" i="8"/>
  <c r="E29" i="8"/>
  <c r="U28" i="8"/>
  <c r="T28" i="8"/>
  <c r="R28" i="8"/>
  <c r="Q28" i="8"/>
  <c r="S28" i="8"/>
  <c r="P28" i="8"/>
  <c r="O28" i="8"/>
  <c r="H32" i="7" s="1"/>
  <c r="L28" i="8"/>
  <c r="M28" i="8" s="1"/>
  <c r="F32" i="7" s="1"/>
  <c r="N28" i="8"/>
  <c r="G32" i="7" s="1"/>
  <c r="K28" i="8"/>
  <c r="E32" i="7" s="1"/>
  <c r="J28" i="8"/>
  <c r="I28" i="8"/>
  <c r="D32" i="7" s="1"/>
  <c r="H28" i="8"/>
  <c r="G28" i="8"/>
  <c r="F28" i="8"/>
  <c r="E28" i="8"/>
  <c r="U27" i="8"/>
  <c r="T27" i="8"/>
  <c r="Q27" i="8"/>
  <c r="R27" i="8" s="1"/>
  <c r="S27" i="8"/>
  <c r="P27" i="8"/>
  <c r="L27" i="8"/>
  <c r="O27" i="8" s="1"/>
  <c r="H33" i="7" s="1"/>
  <c r="N27" i="8"/>
  <c r="G33" i="7" s="1"/>
  <c r="K27" i="8"/>
  <c r="E33" i="7" s="1"/>
  <c r="J27" i="8"/>
  <c r="I27" i="8"/>
  <c r="D33" i="7" s="1"/>
  <c r="H27" i="8"/>
  <c r="G27" i="8"/>
  <c r="F27" i="8"/>
  <c r="E27" i="8"/>
  <c r="U26" i="8"/>
  <c r="Q26" i="8"/>
  <c r="T26" i="8" s="1"/>
  <c r="S26" i="8"/>
  <c r="P26" i="8"/>
  <c r="L26" i="8"/>
  <c r="O26" i="8" s="1"/>
  <c r="H34" i="7" s="1"/>
  <c r="N26" i="8"/>
  <c r="G34" i="7" s="1"/>
  <c r="K26" i="8"/>
  <c r="E34" i="7" s="1"/>
  <c r="J26" i="8"/>
  <c r="I26" i="8"/>
  <c r="D34" i="7" s="1"/>
  <c r="H26" i="8"/>
  <c r="G26" i="8"/>
  <c r="F26" i="8"/>
  <c r="E26" i="8"/>
  <c r="U25" i="8"/>
  <c r="Q25" i="8"/>
  <c r="T25" i="8" s="1"/>
  <c r="S25" i="8"/>
  <c r="P25" i="8"/>
  <c r="O25" i="8"/>
  <c r="M25" i="8"/>
  <c r="L25" i="8"/>
  <c r="N25" i="8"/>
  <c r="G35" i="7" s="1"/>
  <c r="K25" i="8"/>
  <c r="E35" i="7" s="1"/>
  <c r="J25" i="8"/>
  <c r="I25" i="8"/>
  <c r="H25" i="8"/>
  <c r="G25" i="8"/>
  <c r="F25" i="8"/>
  <c r="E25" i="8"/>
  <c r="U24" i="8"/>
  <c r="T24" i="8"/>
  <c r="R24" i="8"/>
  <c r="Q24" i="8"/>
  <c r="S24" i="8"/>
  <c r="P24" i="8"/>
  <c r="O24" i="8"/>
  <c r="L24" i="8"/>
  <c r="M24" i="8" s="1"/>
  <c r="N24" i="8"/>
  <c r="K24" i="8"/>
  <c r="J24" i="8"/>
  <c r="I24" i="8"/>
  <c r="H24" i="8"/>
  <c r="G24" i="8"/>
  <c r="F24" i="8"/>
  <c r="E24" i="8"/>
  <c r="U23" i="8"/>
  <c r="T23" i="8"/>
  <c r="Q23" i="8"/>
  <c r="R23" i="8" s="1"/>
  <c r="S23" i="8"/>
  <c r="P23" i="8"/>
  <c r="L23" i="8"/>
  <c r="O23" i="8" s="1"/>
  <c r="H29" i="7" s="1"/>
  <c r="N23" i="8"/>
  <c r="G29" i="7" s="1"/>
  <c r="K23" i="8"/>
  <c r="E29" i="7" s="1"/>
  <c r="J23" i="8"/>
  <c r="I23" i="8"/>
  <c r="D29" i="7" s="1"/>
  <c r="H23" i="8"/>
  <c r="G23" i="8"/>
  <c r="F23" i="8"/>
  <c r="E23" i="8"/>
  <c r="U22" i="8"/>
  <c r="Q22" i="8"/>
  <c r="T22" i="8" s="1"/>
  <c r="S22" i="8"/>
  <c r="P22" i="8"/>
  <c r="L22" i="8"/>
  <c r="O22" i="8" s="1"/>
  <c r="H39" i="7" s="1"/>
  <c r="N22" i="8"/>
  <c r="G39" i="7" s="1"/>
  <c r="K22" i="8"/>
  <c r="E39" i="7" s="1"/>
  <c r="J22" i="8"/>
  <c r="I22" i="8"/>
  <c r="D39" i="7" s="1"/>
  <c r="H22" i="8"/>
  <c r="G22" i="8"/>
  <c r="F22" i="8"/>
  <c r="E22" i="8"/>
  <c r="U21" i="8"/>
  <c r="S21" i="8"/>
  <c r="T21" i="8" s="1"/>
  <c r="R21" i="8"/>
  <c r="P21" i="8"/>
  <c r="N21" i="8"/>
  <c r="O21" i="8" s="1"/>
  <c r="H28" i="7" s="1"/>
  <c r="M21" i="8"/>
  <c r="F28" i="7" s="1"/>
  <c r="K21" i="8"/>
  <c r="E28" i="7" s="1"/>
  <c r="I21" i="8"/>
  <c r="D28" i="7" s="1"/>
  <c r="H21" i="8"/>
  <c r="G21" i="8"/>
  <c r="F21" i="8"/>
  <c r="E21" i="8"/>
  <c r="D21" i="8"/>
  <c r="A21" i="8"/>
  <c r="U20" i="8"/>
  <c r="Q20" i="8"/>
  <c r="T20" i="8" s="1"/>
  <c r="S20" i="8"/>
  <c r="P20" i="8"/>
  <c r="O20" i="8"/>
  <c r="M20" i="8"/>
  <c r="L20" i="8"/>
  <c r="N20" i="8"/>
  <c r="K20" i="8"/>
  <c r="J20" i="8"/>
  <c r="I20" i="8"/>
  <c r="H20" i="8"/>
  <c r="G20" i="8"/>
  <c r="F20" i="8"/>
  <c r="E20" i="8"/>
  <c r="U19" i="8"/>
  <c r="T19" i="8"/>
  <c r="R19" i="8"/>
  <c r="Q19" i="8"/>
  <c r="S19" i="8"/>
  <c r="P19" i="8"/>
  <c r="O19" i="8"/>
  <c r="H21" i="7" s="1"/>
  <c r="L19" i="8"/>
  <c r="M19" i="8" s="1"/>
  <c r="F21" i="7" s="1"/>
  <c r="N19" i="8"/>
  <c r="G21" i="7" s="1"/>
  <c r="K19" i="8"/>
  <c r="E21" i="7" s="1"/>
  <c r="J19" i="8"/>
  <c r="I19" i="8"/>
  <c r="D21" i="7" s="1"/>
  <c r="H19" i="8"/>
  <c r="G19" i="8"/>
  <c r="F19" i="8"/>
  <c r="E19" i="8"/>
  <c r="U18" i="8"/>
  <c r="T18" i="8"/>
  <c r="Q18" i="8"/>
  <c r="R18" i="8" s="1"/>
  <c r="S18" i="8"/>
  <c r="P18" i="8"/>
  <c r="L18" i="8"/>
  <c r="O18" i="8" s="1"/>
  <c r="N18" i="8"/>
  <c r="K18" i="8"/>
  <c r="J18" i="8"/>
  <c r="I18" i="8"/>
  <c r="H18" i="8"/>
  <c r="G18" i="8"/>
  <c r="F18" i="8"/>
  <c r="E18" i="8"/>
  <c r="U17" i="8"/>
  <c r="Q17" i="8"/>
  <c r="T17" i="8" s="1"/>
  <c r="S17" i="8"/>
  <c r="P17" i="8"/>
  <c r="L17" i="8"/>
  <c r="O17" i="8" s="1"/>
  <c r="H13" i="7" s="1"/>
  <c r="N17" i="8"/>
  <c r="G13" i="7" s="1"/>
  <c r="K17" i="8"/>
  <c r="E13" i="7" s="1"/>
  <c r="J17" i="8"/>
  <c r="I17" i="8"/>
  <c r="D13" i="7" s="1"/>
  <c r="H17" i="8"/>
  <c r="G17" i="8"/>
  <c r="F17" i="8"/>
  <c r="E17" i="8"/>
  <c r="U16" i="8"/>
  <c r="Q16" i="8"/>
  <c r="T16" i="8" s="1"/>
  <c r="S16" i="8"/>
  <c r="P16" i="8"/>
  <c r="O16" i="8"/>
  <c r="H19" i="7" s="1"/>
  <c r="M16" i="8"/>
  <c r="F19" i="7" s="1"/>
  <c r="L16" i="8"/>
  <c r="N16" i="8"/>
  <c r="G19" i="7" s="1"/>
  <c r="K16" i="8"/>
  <c r="E19" i="7" s="1"/>
  <c r="J16" i="8"/>
  <c r="I16" i="8"/>
  <c r="D19" i="7" s="1"/>
  <c r="H16" i="8"/>
  <c r="G16" i="8"/>
  <c r="F16" i="8"/>
  <c r="E16" i="8"/>
  <c r="U15" i="8"/>
  <c r="T15" i="8"/>
  <c r="R15" i="8"/>
  <c r="Q15" i="8"/>
  <c r="S15" i="8"/>
  <c r="P15" i="8"/>
  <c r="O15" i="8"/>
  <c r="H20" i="7" s="1"/>
  <c r="L15" i="8"/>
  <c r="M15" i="8" s="1"/>
  <c r="F20" i="7" s="1"/>
  <c r="N15" i="8"/>
  <c r="G20" i="7" s="1"/>
  <c r="K15" i="8"/>
  <c r="E20" i="7" s="1"/>
  <c r="J15" i="8"/>
  <c r="I15" i="8"/>
  <c r="D20" i="7" s="1"/>
  <c r="H15" i="8"/>
  <c r="G15" i="8"/>
  <c r="F15" i="8"/>
  <c r="E15" i="8"/>
  <c r="U14" i="8"/>
  <c r="T14" i="8"/>
  <c r="Q14" i="8"/>
  <c r="R14" i="8" s="1"/>
  <c r="S14" i="8"/>
  <c r="P14" i="8"/>
  <c r="L14" i="8"/>
  <c r="O14" i="8" s="1"/>
  <c r="H22" i="7" s="1"/>
  <c r="N14" i="8"/>
  <c r="G22" i="7" s="1"/>
  <c r="K14" i="8"/>
  <c r="E22" i="7" s="1"/>
  <c r="J14" i="8"/>
  <c r="I14" i="8"/>
  <c r="D22" i="7" s="1"/>
  <c r="H14" i="8"/>
  <c r="G14" i="8"/>
  <c r="F14" i="8"/>
  <c r="E14" i="8"/>
  <c r="U13" i="8"/>
  <c r="Q13" i="8"/>
  <c r="T13" i="8" s="1"/>
  <c r="S13" i="8"/>
  <c r="P13" i="8"/>
  <c r="L13" i="8"/>
  <c r="O13" i="8" s="1"/>
  <c r="H23" i="7" s="1"/>
  <c r="N13" i="8"/>
  <c r="G23" i="7" s="1"/>
  <c r="K13" i="8"/>
  <c r="E23" i="7" s="1"/>
  <c r="J13" i="8"/>
  <c r="I13" i="8"/>
  <c r="D23" i="7" s="1"/>
  <c r="H13" i="8"/>
  <c r="G13" i="8"/>
  <c r="F13" i="8"/>
  <c r="E13" i="8"/>
  <c r="U12" i="8"/>
  <c r="Q12" i="8"/>
  <c r="T12" i="8" s="1"/>
  <c r="S12" i="8"/>
  <c r="P12" i="8"/>
  <c r="O12" i="8"/>
  <c r="H27" i="7" s="1"/>
  <c r="M12" i="8"/>
  <c r="F27" i="7" s="1"/>
  <c r="L12" i="8"/>
  <c r="N12" i="8"/>
  <c r="G27" i="7" s="1"/>
  <c r="K12" i="8"/>
  <c r="E27" i="7" s="1"/>
  <c r="J12" i="8"/>
  <c r="I12" i="8"/>
  <c r="D27" i="7" s="1"/>
  <c r="H12" i="8"/>
  <c r="G12" i="8"/>
  <c r="F12" i="8"/>
  <c r="E12" i="8"/>
  <c r="U11" i="8"/>
  <c r="T11" i="8"/>
  <c r="R11" i="8"/>
  <c r="Q11" i="8"/>
  <c r="S11" i="8"/>
  <c r="P11" i="8"/>
  <c r="O11" i="8"/>
  <c r="L11" i="8"/>
  <c r="M11" i="8" s="1"/>
  <c r="N11" i="8"/>
  <c r="G30" i="7" s="1"/>
  <c r="K11" i="8"/>
  <c r="E30" i="7" s="1"/>
  <c r="J11" i="8"/>
  <c r="I11" i="8"/>
  <c r="H11" i="8"/>
  <c r="G11" i="8"/>
  <c r="F11" i="8"/>
  <c r="E11" i="8"/>
  <c r="U10" i="8"/>
  <c r="T10" i="8"/>
  <c r="Q10" i="8"/>
  <c r="R10" i="8" s="1"/>
  <c r="S10" i="8"/>
  <c r="P10" i="8"/>
  <c r="L10" i="8"/>
  <c r="O10" i="8" s="1"/>
  <c r="H15" i="7" s="1"/>
  <c r="N10" i="8"/>
  <c r="G15" i="7" s="1"/>
  <c r="K10" i="8"/>
  <c r="E15" i="7" s="1"/>
  <c r="J10" i="8"/>
  <c r="I10" i="8"/>
  <c r="D15" i="7" s="1"/>
  <c r="H10" i="8"/>
  <c r="G10" i="8"/>
  <c r="F10" i="8"/>
  <c r="E10" i="8"/>
  <c r="U9" i="8"/>
  <c r="Q9" i="8"/>
  <c r="T9" i="8" s="1"/>
  <c r="S9" i="8"/>
  <c r="P9" i="8"/>
  <c r="L9" i="8"/>
  <c r="N9" i="8"/>
  <c r="G16" i="7" s="1"/>
  <c r="K9" i="8"/>
  <c r="E16" i="7" s="1"/>
  <c r="J9" i="8"/>
  <c r="I9" i="8"/>
  <c r="D16" i="7" s="1"/>
  <c r="H9" i="8"/>
  <c r="G9" i="8"/>
  <c r="F9" i="8"/>
  <c r="E9" i="8"/>
  <c r="G8" i="8"/>
  <c r="A8" i="8"/>
  <c r="G7" i="8"/>
  <c r="A7" i="8"/>
  <c r="G6" i="8"/>
  <c r="A6" i="8"/>
  <c r="D174" i="6"/>
  <c r="C174" i="6"/>
  <c r="B174" i="6"/>
  <c r="A174" i="6"/>
  <c r="D173" i="6"/>
  <c r="C173" i="6"/>
  <c r="B173" i="6"/>
  <c r="A173" i="6"/>
  <c r="D172" i="6"/>
  <c r="C172" i="6"/>
  <c r="B172" i="6"/>
  <c r="A172" i="6"/>
  <c r="D171" i="6"/>
  <c r="C171" i="6"/>
  <c r="B171" i="6"/>
  <c r="A171" i="6"/>
  <c r="D170" i="6"/>
  <c r="C170" i="6"/>
  <c r="B170" i="6"/>
  <c r="A170" i="6"/>
  <c r="D169" i="6"/>
  <c r="C169" i="6"/>
  <c r="B169" i="6"/>
  <c r="A169" i="6"/>
  <c r="A168" i="6"/>
  <c r="D167" i="6"/>
  <c r="C167" i="6"/>
  <c r="B167" i="6"/>
  <c r="A167" i="6"/>
  <c r="D166" i="6"/>
  <c r="C166" i="6"/>
  <c r="B166" i="6"/>
  <c r="A166" i="6"/>
  <c r="D165" i="6"/>
  <c r="C165" i="6"/>
  <c r="B165" i="6"/>
  <c r="A165" i="6"/>
  <c r="D164" i="6"/>
  <c r="C164" i="6"/>
  <c r="B164" i="6"/>
  <c r="A164" i="6"/>
  <c r="D163" i="6"/>
  <c r="C163" i="6"/>
  <c r="B163" i="6"/>
  <c r="A163" i="6"/>
  <c r="D162" i="6"/>
  <c r="C162" i="6"/>
  <c r="B162" i="6"/>
  <c r="A162" i="6"/>
  <c r="D161" i="6"/>
  <c r="C161" i="6"/>
  <c r="B161" i="6"/>
  <c r="A161" i="6"/>
  <c r="D160" i="6"/>
  <c r="C160" i="6"/>
  <c r="B160" i="6"/>
  <c r="A160" i="6"/>
  <c r="D159" i="6"/>
  <c r="C159" i="6"/>
  <c r="B159" i="6"/>
  <c r="A159" i="6"/>
  <c r="D158" i="6"/>
  <c r="C158" i="6"/>
  <c r="B158" i="6"/>
  <c r="A158" i="6"/>
  <c r="D157" i="6"/>
  <c r="C157" i="6"/>
  <c r="B157" i="6"/>
  <c r="A157" i="6"/>
  <c r="A156" i="6"/>
  <c r="D155" i="6"/>
  <c r="C155" i="6"/>
  <c r="B155" i="6"/>
  <c r="A155" i="6"/>
  <c r="D154" i="6"/>
  <c r="C154" i="6"/>
  <c r="B154" i="6"/>
  <c r="A154" i="6"/>
  <c r="D153" i="6"/>
  <c r="C153" i="6"/>
  <c r="B153" i="6"/>
  <c r="A153" i="6"/>
  <c r="D152" i="6"/>
  <c r="C152" i="6"/>
  <c r="B152" i="6"/>
  <c r="A152" i="6"/>
  <c r="D151" i="6"/>
  <c r="C151" i="6"/>
  <c r="B151" i="6"/>
  <c r="A151" i="6"/>
  <c r="D150" i="6"/>
  <c r="C150" i="6"/>
  <c r="B150" i="6"/>
  <c r="A150" i="6"/>
  <c r="D149" i="6"/>
  <c r="C149" i="6"/>
  <c r="B149" i="6"/>
  <c r="A149" i="6"/>
  <c r="D148" i="6"/>
  <c r="C148" i="6"/>
  <c r="B148" i="6"/>
  <c r="A148" i="6"/>
  <c r="D147" i="6"/>
  <c r="C147" i="6"/>
  <c r="B147" i="6"/>
  <c r="A147" i="6"/>
  <c r="D146" i="6"/>
  <c r="C146" i="6"/>
  <c r="B146" i="6"/>
  <c r="A146" i="6"/>
  <c r="A145" i="6"/>
  <c r="D144" i="6"/>
  <c r="C144" i="6"/>
  <c r="B144" i="6"/>
  <c r="A144" i="6"/>
  <c r="D143" i="6"/>
  <c r="C143" i="6"/>
  <c r="B143" i="6"/>
  <c r="A143" i="6"/>
  <c r="D142" i="6"/>
  <c r="C142" i="6"/>
  <c r="B142" i="6"/>
  <c r="A142" i="6"/>
  <c r="D141" i="6"/>
  <c r="C141" i="6"/>
  <c r="B141" i="6"/>
  <c r="A141" i="6"/>
  <c r="D140" i="6"/>
  <c r="C140" i="6"/>
  <c r="B140" i="6"/>
  <c r="A140" i="6"/>
  <c r="D139" i="6"/>
  <c r="C139" i="6"/>
  <c r="B139" i="6"/>
  <c r="A139" i="6"/>
  <c r="D138" i="6"/>
  <c r="C138" i="6"/>
  <c r="B138" i="6"/>
  <c r="A138" i="6"/>
  <c r="D137" i="6"/>
  <c r="C137" i="6"/>
  <c r="B137" i="6"/>
  <c r="A137" i="6"/>
  <c r="D136" i="6"/>
  <c r="C136" i="6"/>
  <c r="B136" i="6"/>
  <c r="A136" i="6"/>
  <c r="D135" i="6"/>
  <c r="C135" i="6"/>
  <c r="B135" i="6"/>
  <c r="A135" i="6"/>
  <c r="D134" i="6"/>
  <c r="C134" i="6"/>
  <c r="B134" i="6"/>
  <c r="A134" i="6"/>
  <c r="A133" i="6"/>
  <c r="D132" i="6"/>
  <c r="C132" i="6"/>
  <c r="B132" i="6"/>
  <c r="A132" i="6"/>
  <c r="D131" i="6"/>
  <c r="C131" i="6"/>
  <c r="B131" i="6"/>
  <c r="A131" i="6"/>
  <c r="D130" i="6"/>
  <c r="C130" i="6"/>
  <c r="B130" i="6"/>
  <c r="A130" i="6"/>
  <c r="A129" i="6"/>
  <c r="D128" i="6"/>
  <c r="C128" i="6"/>
  <c r="B128" i="6"/>
  <c r="A128" i="6"/>
  <c r="D127" i="6"/>
  <c r="C127" i="6"/>
  <c r="B127" i="6"/>
  <c r="A127" i="6"/>
  <c r="D126" i="6"/>
  <c r="C126" i="6"/>
  <c r="B126" i="6"/>
  <c r="A126" i="6"/>
  <c r="D125" i="6"/>
  <c r="C125" i="6"/>
  <c r="B125" i="6"/>
  <c r="A125" i="6"/>
  <c r="D124" i="6"/>
  <c r="C124" i="6"/>
  <c r="B124" i="6"/>
  <c r="A124" i="6"/>
  <c r="D123" i="6"/>
  <c r="C123" i="6"/>
  <c r="B123" i="6"/>
  <c r="A123" i="6"/>
  <c r="D122" i="6"/>
  <c r="C122" i="6"/>
  <c r="B122" i="6"/>
  <c r="A122" i="6"/>
  <c r="D121" i="6"/>
  <c r="C121" i="6"/>
  <c r="B121" i="6"/>
  <c r="A121" i="6"/>
  <c r="D120" i="6"/>
  <c r="C120" i="6"/>
  <c r="B120" i="6"/>
  <c r="A120" i="6"/>
  <c r="D119" i="6"/>
  <c r="C119" i="6"/>
  <c r="B119" i="6"/>
  <c r="A119" i="6"/>
  <c r="D118" i="6"/>
  <c r="C118" i="6"/>
  <c r="B118" i="6"/>
  <c r="A118" i="6"/>
  <c r="D117" i="6"/>
  <c r="C117" i="6"/>
  <c r="B117" i="6"/>
  <c r="A117" i="6"/>
  <c r="D116" i="6"/>
  <c r="C116" i="6"/>
  <c r="B116" i="6"/>
  <c r="A116" i="6"/>
  <c r="D115" i="6"/>
  <c r="C115" i="6"/>
  <c r="B115" i="6"/>
  <c r="A115" i="6"/>
  <c r="D114" i="6"/>
  <c r="C114" i="6"/>
  <c r="B114" i="6"/>
  <c r="A114" i="6"/>
  <c r="D113" i="6"/>
  <c r="C113" i="6"/>
  <c r="B113" i="6"/>
  <c r="A113" i="6"/>
  <c r="D112" i="6"/>
  <c r="C112" i="6"/>
  <c r="B112" i="6"/>
  <c r="A112" i="6"/>
  <c r="D111" i="6"/>
  <c r="C111" i="6"/>
  <c r="B111" i="6"/>
  <c r="A111" i="6"/>
  <c r="D110" i="6"/>
  <c r="C110" i="6"/>
  <c r="B110" i="6"/>
  <c r="A110" i="6"/>
  <c r="D109" i="6"/>
  <c r="C109" i="6"/>
  <c r="B109" i="6"/>
  <c r="A109" i="6"/>
  <c r="D108" i="6"/>
  <c r="C108" i="6"/>
  <c r="B108" i="6"/>
  <c r="A108" i="6"/>
  <c r="D107" i="6"/>
  <c r="C107" i="6"/>
  <c r="B107" i="6"/>
  <c r="A107" i="6"/>
  <c r="D106" i="6"/>
  <c r="C106" i="6"/>
  <c r="B106" i="6"/>
  <c r="A106" i="6"/>
  <c r="A105" i="6"/>
  <c r="D104" i="6"/>
  <c r="C104" i="6"/>
  <c r="B104" i="6"/>
  <c r="A104" i="6"/>
  <c r="D103" i="6"/>
  <c r="C103" i="6"/>
  <c r="B103" i="6"/>
  <c r="A103" i="6"/>
  <c r="D102" i="6"/>
  <c r="C102" i="6"/>
  <c r="B102" i="6"/>
  <c r="A102" i="6"/>
  <c r="D101" i="6"/>
  <c r="C101" i="6"/>
  <c r="B101" i="6"/>
  <c r="A101" i="6"/>
  <c r="D100" i="6"/>
  <c r="C100" i="6"/>
  <c r="B100" i="6"/>
  <c r="A100" i="6"/>
  <c r="D99" i="6"/>
  <c r="C99" i="6"/>
  <c r="B99" i="6"/>
  <c r="A99" i="6"/>
  <c r="D98" i="6"/>
  <c r="C98" i="6"/>
  <c r="B98" i="6"/>
  <c r="A98" i="6"/>
  <c r="D97" i="6"/>
  <c r="C97" i="6"/>
  <c r="B97" i="6"/>
  <c r="A97" i="6"/>
  <c r="D96" i="6"/>
  <c r="C96" i="6"/>
  <c r="B96" i="6"/>
  <c r="A96" i="6"/>
  <c r="D95" i="6"/>
  <c r="C95" i="6"/>
  <c r="B95" i="6"/>
  <c r="A95" i="6"/>
  <c r="D94" i="6"/>
  <c r="C94" i="6"/>
  <c r="B94" i="6"/>
  <c r="A94" i="6"/>
  <c r="D93" i="6"/>
  <c r="C93" i="6"/>
  <c r="B93" i="6"/>
  <c r="A93" i="6"/>
  <c r="D92" i="6"/>
  <c r="C92" i="6"/>
  <c r="B92" i="6"/>
  <c r="A92" i="6"/>
  <c r="D91" i="6"/>
  <c r="C91" i="6"/>
  <c r="B91" i="6"/>
  <c r="A91" i="6"/>
  <c r="D90" i="6"/>
  <c r="C90" i="6"/>
  <c r="B90" i="6"/>
  <c r="A90" i="6"/>
  <c r="D89" i="6"/>
  <c r="C89" i="6"/>
  <c r="B89" i="6"/>
  <c r="A89" i="6"/>
  <c r="D88" i="6"/>
  <c r="C88" i="6"/>
  <c r="B88" i="6"/>
  <c r="A88" i="6"/>
  <c r="D87" i="6"/>
  <c r="C87" i="6"/>
  <c r="B87" i="6"/>
  <c r="A87" i="6"/>
  <c r="D86" i="6"/>
  <c r="C86" i="6"/>
  <c r="B86" i="6"/>
  <c r="A86" i="6"/>
  <c r="A85" i="6"/>
  <c r="D84" i="6"/>
  <c r="C84" i="6"/>
  <c r="B84" i="6"/>
  <c r="A84" i="6"/>
  <c r="D83" i="6"/>
  <c r="C83" i="6"/>
  <c r="B83" i="6"/>
  <c r="A83" i="6"/>
  <c r="D82" i="6"/>
  <c r="C82" i="6"/>
  <c r="B82" i="6"/>
  <c r="A82" i="6"/>
  <c r="D81" i="6"/>
  <c r="C81" i="6"/>
  <c r="B81" i="6"/>
  <c r="A81" i="6"/>
  <c r="D80" i="6"/>
  <c r="C80" i="6"/>
  <c r="B80" i="6"/>
  <c r="A80" i="6"/>
  <c r="D79" i="6"/>
  <c r="C79" i="6"/>
  <c r="B79" i="6"/>
  <c r="A79" i="6"/>
  <c r="D78" i="6"/>
  <c r="C78" i="6"/>
  <c r="B78" i="6"/>
  <c r="A78" i="6"/>
  <c r="D77" i="6"/>
  <c r="C77" i="6"/>
  <c r="B77" i="6"/>
  <c r="A77" i="6"/>
  <c r="D76" i="6"/>
  <c r="C76" i="6"/>
  <c r="B76" i="6"/>
  <c r="A76" i="6"/>
  <c r="D75" i="6"/>
  <c r="C75" i="6"/>
  <c r="B75" i="6"/>
  <c r="A75" i="6"/>
  <c r="D74" i="6"/>
  <c r="C74" i="6"/>
  <c r="B74" i="6"/>
  <c r="A74" i="6"/>
  <c r="D73" i="6"/>
  <c r="C73" i="6"/>
  <c r="B73" i="6"/>
  <c r="A73" i="6"/>
  <c r="D72" i="6"/>
  <c r="C72" i="6"/>
  <c r="B72" i="6"/>
  <c r="A72" i="6"/>
  <c r="D71" i="6"/>
  <c r="C71" i="6"/>
  <c r="B71" i="6"/>
  <c r="A71" i="6"/>
  <c r="D70" i="6"/>
  <c r="C70" i="6"/>
  <c r="B70" i="6"/>
  <c r="A70" i="6"/>
  <c r="D69" i="6"/>
  <c r="C69" i="6"/>
  <c r="B69" i="6"/>
  <c r="A69" i="6"/>
  <c r="D68" i="6"/>
  <c r="C68" i="6"/>
  <c r="B68" i="6"/>
  <c r="A68" i="6"/>
  <c r="D67" i="6"/>
  <c r="C67" i="6"/>
  <c r="B67" i="6"/>
  <c r="A67" i="6"/>
  <c r="D66" i="6"/>
  <c r="C66" i="6"/>
  <c r="B66" i="6"/>
  <c r="A66" i="6"/>
  <c r="A65" i="6"/>
  <c r="D64" i="6"/>
  <c r="C64" i="6"/>
  <c r="B64" i="6"/>
  <c r="A64" i="6"/>
  <c r="D63" i="6"/>
  <c r="C63" i="6"/>
  <c r="B63" i="6"/>
  <c r="A63" i="6"/>
  <c r="D62" i="6"/>
  <c r="C62" i="6"/>
  <c r="B62" i="6"/>
  <c r="A62" i="6"/>
  <c r="D61" i="6"/>
  <c r="C61" i="6"/>
  <c r="B61" i="6"/>
  <c r="A61" i="6"/>
  <c r="D60" i="6"/>
  <c r="C60" i="6"/>
  <c r="B60" i="6"/>
  <c r="A60" i="6"/>
  <c r="D59" i="6"/>
  <c r="C59" i="6"/>
  <c r="B59" i="6"/>
  <c r="A59" i="6"/>
  <c r="D58" i="6"/>
  <c r="C58" i="6"/>
  <c r="B58" i="6"/>
  <c r="A58" i="6"/>
  <c r="D57" i="6"/>
  <c r="C57" i="6"/>
  <c r="B57" i="6"/>
  <c r="A57" i="6"/>
  <c r="D56" i="6"/>
  <c r="C56" i="6"/>
  <c r="B56" i="6"/>
  <c r="A56" i="6"/>
  <c r="D55" i="6"/>
  <c r="C55" i="6"/>
  <c r="B55" i="6"/>
  <c r="A55" i="6"/>
  <c r="D54" i="6"/>
  <c r="C54" i="6"/>
  <c r="B54" i="6"/>
  <c r="A54" i="6"/>
  <c r="D53" i="6"/>
  <c r="C53" i="6"/>
  <c r="B53" i="6"/>
  <c r="A53" i="6"/>
  <c r="D52" i="6"/>
  <c r="C52" i="6"/>
  <c r="B52" i="6"/>
  <c r="A52" i="6"/>
  <c r="D51" i="6"/>
  <c r="C51" i="6"/>
  <c r="B51" i="6"/>
  <c r="A51" i="6"/>
  <c r="D50" i="6"/>
  <c r="C50" i="6"/>
  <c r="B50" i="6"/>
  <c r="A50" i="6"/>
  <c r="D49" i="6"/>
  <c r="C49" i="6"/>
  <c r="B49" i="6"/>
  <c r="A49" i="6"/>
  <c r="D48" i="6"/>
  <c r="C48" i="6"/>
  <c r="B48" i="6"/>
  <c r="A48" i="6"/>
  <c r="D47" i="6"/>
  <c r="C47" i="6"/>
  <c r="B47" i="6"/>
  <c r="A47" i="6"/>
  <c r="D46" i="6"/>
  <c r="C46" i="6"/>
  <c r="B46" i="6"/>
  <c r="A46" i="6"/>
  <c r="D45" i="6"/>
  <c r="C45" i="6"/>
  <c r="B45" i="6"/>
  <c r="A45" i="6"/>
  <c r="D44" i="6"/>
  <c r="C44" i="6"/>
  <c r="B44" i="6"/>
  <c r="A44" i="6"/>
  <c r="A43" i="6"/>
  <c r="D42" i="6"/>
  <c r="C42" i="6"/>
  <c r="B42" i="6"/>
  <c r="A42" i="6"/>
  <c r="D41" i="6"/>
  <c r="C41" i="6"/>
  <c r="B41" i="6"/>
  <c r="A41" i="6"/>
  <c r="D40" i="6"/>
  <c r="C40" i="6"/>
  <c r="B40" i="6"/>
  <c r="A40" i="6"/>
  <c r="D39" i="6"/>
  <c r="C39" i="6"/>
  <c r="B39" i="6"/>
  <c r="A39" i="6"/>
  <c r="D38" i="6"/>
  <c r="C38" i="6"/>
  <c r="B38" i="6"/>
  <c r="A38" i="6"/>
  <c r="D37" i="6"/>
  <c r="C37" i="6"/>
  <c r="B37" i="6"/>
  <c r="A37" i="6"/>
  <c r="D36" i="6"/>
  <c r="C36" i="6"/>
  <c r="B36" i="6"/>
  <c r="A36" i="6"/>
  <c r="D35" i="6"/>
  <c r="C35" i="6"/>
  <c r="B35" i="6"/>
  <c r="A35" i="6"/>
  <c r="D34" i="6"/>
  <c r="C34" i="6"/>
  <c r="B34" i="6"/>
  <c r="A34" i="6"/>
  <c r="D33" i="6"/>
  <c r="C33" i="6"/>
  <c r="B33" i="6"/>
  <c r="A33" i="6"/>
  <c r="D32" i="6"/>
  <c r="C32" i="6"/>
  <c r="B32" i="6"/>
  <c r="A32" i="6"/>
  <c r="D31" i="6"/>
  <c r="C31" i="6"/>
  <c r="B31" i="6"/>
  <c r="A31" i="6"/>
  <c r="D30" i="6"/>
  <c r="C30" i="6"/>
  <c r="B30" i="6"/>
  <c r="A30" i="6"/>
  <c r="D29" i="6"/>
  <c r="C29" i="6"/>
  <c r="B29" i="6"/>
  <c r="A29" i="6"/>
  <c r="D28" i="6"/>
  <c r="C28" i="6"/>
  <c r="B28" i="6"/>
  <c r="A28" i="6"/>
  <c r="D27" i="6"/>
  <c r="C27" i="6"/>
  <c r="B27" i="6"/>
  <c r="A27" i="6"/>
  <c r="D26" i="6"/>
  <c r="C26" i="6"/>
  <c r="B26" i="6"/>
  <c r="A26" i="6"/>
  <c r="D25" i="6"/>
  <c r="C25" i="6"/>
  <c r="B25" i="6"/>
  <c r="A25" i="6"/>
  <c r="D24" i="6"/>
  <c r="C24" i="6"/>
  <c r="B24" i="6"/>
  <c r="A24" i="6"/>
  <c r="D23" i="6"/>
  <c r="C23" i="6"/>
  <c r="B23" i="6"/>
  <c r="A23" i="6"/>
  <c r="D22" i="6"/>
  <c r="C22" i="6"/>
  <c r="B22" i="6"/>
  <c r="A22" i="6"/>
  <c r="A21" i="6"/>
  <c r="A20" i="6"/>
  <c r="A19" i="6"/>
  <c r="AD12" i="6"/>
  <c r="A12" i="6"/>
  <c r="A11" i="6"/>
  <c r="A1" i="6"/>
  <c r="H747" i="5"/>
  <c r="H744" i="5"/>
  <c r="C747" i="5"/>
  <c r="C744" i="5"/>
  <c r="I741" i="5"/>
  <c r="C741" i="5"/>
  <c r="I740" i="5"/>
  <c r="C740" i="5"/>
  <c r="I739" i="5"/>
  <c r="C739" i="5"/>
  <c r="I25" i="5"/>
  <c r="I24" i="5"/>
  <c r="I23" i="5"/>
  <c r="I22" i="5"/>
  <c r="I21" i="5"/>
  <c r="I20" i="5"/>
  <c r="AF738" i="5"/>
  <c r="A738" i="5"/>
  <c r="I736" i="5"/>
  <c r="C736" i="5"/>
  <c r="I735" i="5"/>
  <c r="C735" i="5"/>
  <c r="I734" i="5"/>
  <c r="C734" i="5"/>
  <c r="A732" i="5"/>
  <c r="I730" i="5"/>
  <c r="C730" i="5"/>
  <c r="I729" i="5"/>
  <c r="C729" i="5"/>
  <c r="I728" i="5"/>
  <c r="C728" i="5"/>
  <c r="A726" i="5"/>
  <c r="A723" i="5"/>
  <c r="I721" i="5"/>
  <c r="K721" i="5" s="1"/>
  <c r="J720" i="5"/>
  <c r="I720" i="5"/>
  <c r="H720" i="5"/>
  <c r="G720" i="5"/>
  <c r="F720" i="5"/>
  <c r="J719" i="5"/>
  <c r="I719" i="5"/>
  <c r="H719" i="5"/>
  <c r="G719" i="5"/>
  <c r="F719" i="5"/>
  <c r="V718" i="5"/>
  <c r="T718" i="5"/>
  <c r="R718" i="5"/>
  <c r="U718" i="5"/>
  <c r="S718" i="5"/>
  <c r="Q718" i="5"/>
  <c r="E718" i="5"/>
  <c r="D718" i="5"/>
  <c r="C718" i="5"/>
  <c r="B718" i="5"/>
  <c r="A718" i="5"/>
  <c r="I717" i="5"/>
  <c r="K717" i="5" s="1"/>
  <c r="J716" i="5"/>
  <c r="I716" i="5"/>
  <c r="H716" i="5"/>
  <c r="G716" i="5"/>
  <c r="F716" i="5"/>
  <c r="J715" i="5"/>
  <c r="I715" i="5"/>
  <c r="H715" i="5"/>
  <c r="G715" i="5"/>
  <c r="F715" i="5"/>
  <c r="V714" i="5"/>
  <c r="T714" i="5"/>
  <c r="R714" i="5"/>
  <c r="U714" i="5"/>
  <c r="S714" i="5"/>
  <c r="Q714" i="5"/>
  <c r="E714" i="5"/>
  <c r="D714" i="5"/>
  <c r="C714" i="5"/>
  <c r="B714" i="5"/>
  <c r="A714" i="5"/>
  <c r="E712" i="5"/>
  <c r="J711" i="5"/>
  <c r="I711" i="5"/>
  <c r="H711" i="5"/>
  <c r="G711" i="5"/>
  <c r="F711" i="5"/>
  <c r="J710" i="5"/>
  <c r="I713" i="5" s="1"/>
  <c r="I710" i="5"/>
  <c r="H710" i="5"/>
  <c r="G710" i="5"/>
  <c r="F710" i="5"/>
  <c r="V709" i="5"/>
  <c r="J712" i="5" s="1"/>
  <c r="T709" i="5"/>
  <c r="R709" i="5"/>
  <c r="U709" i="5"/>
  <c r="S709" i="5"/>
  <c r="Q709" i="5"/>
  <c r="E709" i="5"/>
  <c r="D709" i="5"/>
  <c r="C709" i="5"/>
  <c r="B709" i="5"/>
  <c r="A709" i="5"/>
  <c r="J707" i="5"/>
  <c r="I707" i="5"/>
  <c r="H707" i="5"/>
  <c r="G707" i="5"/>
  <c r="F707" i="5"/>
  <c r="J706" i="5"/>
  <c r="I708" i="5" s="1"/>
  <c r="I706" i="5"/>
  <c r="H706" i="5"/>
  <c r="G706" i="5"/>
  <c r="F706" i="5"/>
  <c r="V705" i="5"/>
  <c r="T705" i="5"/>
  <c r="R705" i="5"/>
  <c r="U705" i="5"/>
  <c r="S705" i="5"/>
  <c r="Q705" i="5"/>
  <c r="E705" i="5"/>
  <c r="D705" i="5"/>
  <c r="C705" i="5"/>
  <c r="B705" i="5"/>
  <c r="A705" i="5"/>
  <c r="K704" i="5"/>
  <c r="J703" i="5"/>
  <c r="I703" i="5"/>
  <c r="H703" i="5"/>
  <c r="G703" i="5"/>
  <c r="F703" i="5"/>
  <c r="J702" i="5"/>
  <c r="I704" i="5" s="1"/>
  <c r="P704" i="5" s="1"/>
  <c r="I702" i="5"/>
  <c r="H702" i="5"/>
  <c r="G702" i="5"/>
  <c r="F702" i="5"/>
  <c r="V701" i="5"/>
  <c r="T701" i="5"/>
  <c r="R701" i="5"/>
  <c r="U701" i="5"/>
  <c r="S701" i="5"/>
  <c r="Q701" i="5"/>
  <c r="E701" i="5"/>
  <c r="D701" i="5"/>
  <c r="C701" i="5"/>
  <c r="B701" i="5"/>
  <c r="A701" i="5"/>
  <c r="K699" i="5"/>
  <c r="H699" i="5"/>
  <c r="G699" i="5"/>
  <c r="E699" i="5"/>
  <c r="E698" i="5"/>
  <c r="J697" i="5"/>
  <c r="E697" i="5"/>
  <c r="E696" i="5"/>
  <c r="J695" i="5"/>
  <c r="I695" i="5"/>
  <c r="H695" i="5"/>
  <c r="G695" i="5"/>
  <c r="F695" i="5"/>
  <c r="J694" i="5"/>
  <c r="I694" i="5"/>
  <c r="H694" i="5"/>
  <c r="G694" i="5"/>
  <c r="F694" i="5"/>
  <c r="J693" i="5"/>
  <c r="I693" i="5"/>
  <c r="H693" i="5"/>
  <c r="G693" i="5"/>
  <c r="F693" i="5"/>
  <c r="C692" i="5"/>
  <c r="V691" i="5"/>
  <c r="J698" i="5" s="1"/>
  <c r="T691" i="5"/>
  <c r="R691" i="5"/>
  <c r="J696" i="5" s="1"/>
  <c r="U691" i="5"/>
  <c r="S691" i="5"/>
  <c r="Q691" i="5"/>
  <c r="E691" i="5"/>
  <c r="D691" i="5"/>
  <c r="C691" i="5"/>
  <c r="B691" i="5"/>
  <c r="A691" i="5"/>
  <c r="A690" i="5"/>
  <c r="A687" i="5"/>
  <c r="K684" i="5"/>
  <c r="H684" i="5"/>
  <c r="G684" i="5"/>
  <c r="E684" i="5"/>
  <c r="E683" i="5"/>
  <c r="E682" i="5"/>
  <c r="E681" i="5"/>
  <c r="J680" i="5"/>
  <c r="I680" i="5"/>
  <c r="H680" i="5"/>
  <c r="F680" i="5"/>
  <c r="V680" i="5"/>
  <c r="T680" i="5"/>
  <c r="R680" i="5"/>
  <c r="U680" i="5"/>
  <c r="S680" i="5"/>
  <c r="Q680" i="5"/>
  <c r="E680" i="5"/>
  <c r="D680" i="5"/>
  <c r="B680" i="5"/>
  <c r="A680" i="5"/>
  <c r="J679" i="5"/>
  <c r="I679" i="5"/>
  <c r="H679" i="5"/>
  <c r="F679" i="5"/>
  <c r="V679" i="5"/>
  <c r="T679" i="5"/>
  <c r="R679" i="5"/>
  <c r="U679" i="5"/>
  <c r="S679" i="5"/>
  <c r="Q679" i="5"/>
  <c r="E679" i="5"/>
  <c r="D679" i="5"/>
  <c r="B679" i="5"/>
  <c r="A679" i="5"/>
  <c r="J678" i="5"/>
  <c r="I678" i="5"/>
  <c r="H678" i="5"/>
  <c r="F678" i="5"/>
  <c r="V678" i="5"/>
  <c r="T678" i="5"/>
  <c r="R678" i="5"/>
  <c r="U678" i="5"/>
  <c r="S678" i="5"/>
  <c r="Q678" i="5"/>
  <c r="E678" i="5"/>
  <c r="D678" i="5"/>
  <c r="B678" i="5"/>
  <c r="A678" i="5"/>
  <c r="J677" i="5"/>
  <c r="I677" i="5"/>
  <c r="H677" i="5"/>
  <c r="F677" i="5"/>
  <c r="V677" i="5"/>
  <c r="T677" i="5"/>
  <c r="R677" i="5"/>
  <c r="U677" i="5"/>
  <c r="S677" i="5"/>
  <c r="Q677" i="5"/>
  <c r="E677" i="5"/>
  <c r="D677" i="5"/>
  <c r="B677" i="5"/>
  <c r="A677" i="5"/>
  <c r="J676" i="5"/>
  <c r="I676" i="5"/>
  <c r="H676" i="5"/>
  <c r="F676" i="5"/>
  <c r="V676" i="5"/>
  <c r="T676" i="5"/>
  <c r="R676" i="5"/>
  <c r="U676" i="5"/>
  <c r="S676" i="5"/>
  <c r="Q676" i="5"/>
  <c r="E676" i="5"/>
  <c r="D676" i="5"/>
  <c r="C676" i="5"/>
  <c r="B676" i="5"/>
  <c r="A676" i="5"/>
  <c r="J675" i="5"/>
  <c r="I675" i="5"/>
  <c r="H675" i="5"/>
  <c r="F675" i="5"/>
  <c r="V675" i="5"/>
  <c r="T675" i="5"/>
  <c r="R675" i="5"/>
  <c r="U675" i="5"/>
  <c r="S675" i="5"/>
  <c r="Q675" i="5"/>
  <c r="E675" i="5"/>
  <c r="D675" i="5"/>
  <c r="C675" i="5"/>
  <c r="B675" i="5"/>
  <c r="A675" i="5"/>
  <c r="J674" i="5"/>
  <c r="I674" i="5"/>
  <c r="H674" i="5"/>
  <c r="F674" i="5"/>
  <c r="V674" i="5"/>
  <c r="T674" i="5"/>
  <c r="R674" i="5"/>
  <c r="U674" i="5"/>
  <c r="S674" i="5"/>
  <c r="Q674" i="5"/>
  <c r="E674" i="5"/>
  <c r="D674" i="5"/>
  <c r="C674" i="5"/>
  <c r="B674" i="5"/>
  <c r="A674" i="5"/>
  <c r="J673" i="5"/>
  <c r="I673" i="5"/>
  <c r="H673" i="5"/>
  <c r="F673" i="5"/>
  <c r="V673" i="5"/>
  <c r="T673" i="5"/>
  <c r="R673" i="5"/>
  <c r="U673" i="5"/>
  <c r="S673" i="5"/>
  <c r="Q673" i="5"/>
  <c r="E673" i="5"/>
  <c r="D673" i="5"/>
  <c r="C673" i="5"/>
  <c r="B673" i="5"/>
  <c r="A673" i="5"/>
  <c r="J672" i="5"/>
  <c r="I672" i="5"/>
  <c r="H672" i="5"/>
  <c r="F672" i="5"/>
  <c r="V672" i="5"/>
  <c r="T672" i="5"/>
  <c r="R672" i="5"/>
  <c r="U672" i="5"/>
  <c r="S672" i="5"/>
  <c r="Q672" i="5"/>
  <c r="E672" i="5"/>
  <c r="D672" i="5"/>
  <c r="C672" i="5"/>
  <c r="B672" i="5"/>
  <c r="A672" i="5"/>
  <c r="J671" i="5"/>
  <c r="I671" i="5"/>
  <c r="H671" i="5"/>
  <c r="F671" i="5"/>
  <c r="V671" i="5"/>
  <c r="T671" i="5"/>
  <c r="R671" i="5"/>
  <c r="U671" i="5"/>
  <c r="S671" i="5"/>
  <c r="Q671" i="5"/>
  <c r="E671" i="5"/>
  <c r="D671" i="5"/>
  <c r="C671" i="5"/>
  <c r="B671" i="5"/>
  <c r="A671" i="5"/>
  <c r="J670" i="5"/>
  <c r="I670" i="5"/>
  <c r="H670" i="5"/>
  <c r="G670" i="5"/>
  <c r="F670" i="5"/>
  <c r="J669" i="5"/>
  <c r="I669" i="5"/>
  <c r="H669" i="5"/>
  <c r="G669" i="5"/>
  <c r="F669" i="5"/>
  <c r="J668" i="5"/>
  <c r="I668" i="5"/>
  <c r="H668" i="5"/>
  <c r="G668" i="5"/>
  <c r="F668" i="5"/>
  <c r="J667" i="5"/>
  <c r="I667" i="5"/>
  <c r="H667" i="5"/>
  <c r="G667" i="5"/>
  <c r="F667" i="5"/>
  <c r="C666" i="5"/>
  <c r="V665" i="5"/>
  <c r="T665" i="5"/>
  <c r="J682" i="5" s="1"/>
  <c r="R665" i="5"/>
  <c r="U665" i="5"/>
  <c r="S665" i="5"/>
  <c r="Q665" i="5"/>
  <c r="E665" i="5"/>
  <c r="D665" i="5"/>
  <c r="C665" i="5"/>
  <c r="B665" i="5"/>
  <c r="A665" i="5"/>
  <c r="A664" i="5"/>
  <c r="A661" i="5"/>
  <c r="K658" i="5"/>
  <c r="H658" i="5"/>
  <c r="G658" i="5"/>
  <c r="E658" i="5"/>
  <c r="J657" i="5"/>
  <c r="E657" i="5"/>
  <c r="E656" i="5"/>
  <c r="E655" i="5"/>
  <c r="J654" i="5"/>
  <c r="I654" i="5"/>
  <c r="H654" i="5"/>
  <c r="F654" i="5"/>
  <c r="V654" i="5"/>
  <c r="T654" i="5"/>
  <c r="R654" i="5"/>
  <c r="U654" i="5"/>
  <c r="S654" i="5"/>
  <c r="Q654" i="5"/>
  <c r="E654" i="5"/>
  <c r="D654" i="5"/>
  <c r="B654" i="5"/>
  <c r="A654" i="5"/>
  <c r="J653" i="5"/>
  <c r="I653" i="5"/>
  <c r="H653" i="5"/>
  <c r="F653" i="5"/>
  <c r="V653" i="5"/>
  <c r="T653" i="5"/>
  <c r="R653" i="5"/>
  <c r="U653" i="5"/>
  <c r="S653" i="5"/>
  <c r="Q653" i="5"/>
  <c r="E653" i="5"/>
  <c r="D653" i="5"/>
  <c r="B653" i="5"/>
  <c r="A653" i="5"/>
  <c r="J652" i="5"/>
  <c r="I652" i="5"/>
  <c r="H652" i="5"/>
  <c r="F652" i="5"/>
  <c r="V652" i="5"/>
  <c r="T652" i="5"/>
  <c r="R652" i="5"/>
  <c r="U652" i="5"/>
  <c r="S652" i="5"/>
  <c r="Q652" i="5"/>
  <c r="E652" i="5"/>
  <c r="D652" i="5"/>
  <c r="B652" i="5"/>
  <c r="A652" i="5"/>
  <c r="J651" i="5"/>
  <c r="I651" i="5"/>
  <c r="H651" i="5"/>
  <c r="F651" i="5"/>
  <c r="V651" i="5"/>
  <c r="T651" i="5"/>
  <c r="R651" i="5"/>
  <c r="U651" i="5"/>
  <c r="S651" i="5"/>
  <c r="Q651" i="5"/>
  <c r="E651" i="5"/>
  <c r="D651" i="5"/>
  <c r="C651" i="5"/>
  <c r="B651" i="5"/>
  <c r="A651" i="5"/>
  <c r="J650" i="5"/>
  <c r="I650" i="5"/>
  <c r="H650" i="5"/>
  <c r="F650" i="5"/>
  <c r="V650" i="5"/>
  <c r="T650" i="5"/>
  <c r="R650" i="5"/>
  <c r="U650" i="5"/>
  <c r="S650" i="5"/>
  <c r="Q650" i="5"/>
  <c r="E650" i="5"/>
  <c r="D650" i="5"/>
  <c r="C650" i="5"/>
  <c r="B650" i="5"/>
  <c r="A650" i="5"/>
  <c r="J649" i="5"/>
  <c r="I649" i="5"/>
  <c r="H649" i="5"/>
  <c r="F649" i="5"/>
  <c r="V649" i="5"/>
  <c r="T649" i="5"/>
  <c r="R649" i="5"/>
  <c r="J655" i="5" s="1"/>
  <c r="U649" i="5"/>
  <c r="S649" i="5"/>
  <c r="Q649" i="5"/>
  <c r="E649" i="5"/>
  <c r="D649" i="5"/>
  <c r="C649" i="5"/>
  <c r="B649" i="5"/>
  <c r="A649" i="5"/>
  <c r="J648" i="5"/>
  <c r="I648" i="5"/>
  <c r="H648" i="5"/>
  <c r="F648" i="5"/>
  <c r="V648" i="5"/>
  <c r="T648" i="5"/>
  <c r="R648" i="5"/>
  <c r="U648" i="5"/>
  <c r="S648" i="5"/>
  <c r="Q648" i="5"/>
  <c r="E648" i="5"/>
  <c r="D648" i="5"/>
  <c r="C648" i="5"/>
  <c r="B648" i="5"/>
  <c r="A648" i="5"/>
  <c r="J647" i="5"/>
  <c r="I647" i="5"/>
  <c r="H647" i="5"/>
  <c r="F647" i="5"/>
  <c r="V647" i="5"/>
  <c r="T647" i="5"/>
  <c r="R647" i="5"/>
  <c r="U647" i="5"/>
  <c r="S647" i="5"/>
  <c r="Q647" i="5"/>
  <c r="E647" i="5"/>
  <c r="D647" i="5"/>
  <c r="C647" i="5"/>
  <c r="B647" i="5"/>
  <c r="A647" i="5"/>
  <c r="J646" i="5"/>
  <c r="I646" i="5"/>
  <c r="H646" i="5"/>
  <c r="F646" i="5"/>
  <c r="V646" i="5"/>
  <c r="T646" i="5"/>
  <c r="R646" i="5"/>
  <c r="U646" i="5"/>
  <c r="S646" i="5"/>
  <c r="Q646" i="5"/>
  <c r="E646" i="5"/>
  <c r="D646" i="5"/>
  <c r="C646" i="5"/>
  <c r="B646" i="5"/>
  <c r="A646" i="5"/>
  <c r="J645" i="5"/>
  <c r="I645" i="5"/>
  <c r="H645" i="5"/>
  <c r="G645" i="5"/>
  <c r="F645" i="5"/>
  <c r="J644" i="5"/>
  <c r="I644" i="5"/>
  <c r="H644" i="5"/>
  <c r="G644" i="5"/>
  <c r="F644" i="5"/>
  <c r="J643" i="5"/>
  <c r="I643" i="5"/>
  <c r="H643" i="5"/>
  <c r="G643" i="5"/>
  <c r="F643" i="5"/>
  <c r="J642" i="5"/>
  <c r="I642" i="5"/>
  <c r="H642" i="5"/>
  <c r="G642" i="5"/>
  <c r="F642" i="5"/>
  <c r="C641" i="5"/>
  <c r="V640" i="5"/>
  <c r="T640" i="5"/>
  <c r="J656" i="5" s="1"/>
  <c r="R640" i="5"/>
  <c r="U640" i="5"/>
  <c r="S640" i="5"/>
  <c r="Q640" i="5"/>
  <c r="E640" i="5"/>
  <c r="D640" i="5"/>
  <c r="C640" i="5"/>
  <c r="B640" i="5"/>
  <c r="A640" i="5"/>
  <c r="A639" i="5"/>
  <c r="A636" i="5"/>
  <c r="K633" i="5"/>
  <c r="H633" i="5"/>
  <c r="G633" i="5"/>
  <c r="E633" i="5"/>
  <c r="J632" i="5"/>
  <c r="E632" i="5"/>
  <c r="E631" i="5"/>
  <c r="E630" i="5"/>
  <c r="J629" i="5"/>
  <c r="I629" i="5"/>
  <c r="H629" i="5"/>
  <c r="F629" i="5"/>
  <c r="V629" i="5"/>
  <c r="T629" i="5"/>
  <c r="R629" i="5"/>
  <c r="U629" i="5"/>
  <c r="S629" i="5"/>
  <c r="Q629" i="5"/>
  <c r="E629" i="5"/>
  <c r="D629" i="5"/>
  <c r="B629" i="5"/>
  <c r="A629" i="5"/>
  <c r="J628" i="5"/>
  <c r="I628" i="5"/>
  <c r="H628" i="5"/>
  <c r="F628" i="5"/>
  <c r="V628" i="5"/>
  <c r="T628" i="5"/>
  <c r="R628" i="5"/>
  <c r="U628" i="5"/>
  <c r="S628" i="5"/>
  <c r="Q628" i="5"/>
  <c r="E628" i="5"/>
  <c r="D628" i="5"/>
  <c r="B628" i="5"/>
  <c r="A628" i="5"/>
  <c r="J627" i="5"/>
  <c r="I627" i="5"/>
  <c r="H627" i="5"/>
  <c r="F627" i="5"/>
  <c r="V627" i="5"/>
  <c r="T627" i="5"/>
  <c r="R627" i="5"/>
  <c r="U627" i="5"/>
  <c r="S627" i="5"/>
  <c r="Q627" i="5"/>
  <c r="E627" i="5"/>
  <c r="D627" i="5"/>
  <c r="B627" i="5"/>
  <c r="A627" i="5"/>
  <c r="J626" i="5"/>
  <c r="I626" i="5"/>
  <c r="H626" i="5"/>
  <c r="F626" i="5"/>
  <c r="V626" i="5"/>
  <c r="T626" i="5"/>
  <c r="R626" i="5"/>
  <c r="U626" i="5"/>
  <c r="S626" i="5"/>
  <c r="Q626" i="5"/>
  <c r="E626" i="5"/>
  <c r="D626" i="5"/>
  <c r="B626" i="5"/>
  <c r="A626" i="5"/>
  <c r="J625" i="5"/>
  <c r="I625" i="5"/>
  <c r="H625" i="5"/>
  <c r="F625" i="5"/>
  <c r="V625" i="5"/>
  <c r="T625" i="5"/>
  <c r="R625" i="5"/>
  <c r="U625" i="5"/>
  <c r="S625" i="5"/>
  <c r="Q625" i="5"/>
  <c r="E625" i="5"/>
  <c r="D625" i="5"/>
  <c r="C625" i="5"/>
  <c r="B625" i="5"/>
  <c r="A625" i="5"/>
  <c r="J624" i="5"/>
  <c r="I624" i="5"/>
  <c r="H624" i="5"/>
  <c r="F624" i="5"/>
  <c r="V624" i="5"/>
  <c r="T624" i="5"/>
  <c r="R624" i="5"/>
  <c r="U624" i="5"/>
  <c r="S624" i="5"/>
  <c r="Q624" i="5"/>
  <c r="E624" i="5"/>
  <c r="D624" i="5"/>
  <c r="C624" i="5"/>
  <c r="B624" i="5"/>
  <c r="A624" i="5"/>
  <c r="J623" i="5"/>
  <c r="I623" i="5"/>
  <c r="H623" i="5"/>
  <c r="F623" i="5"/>
  <c r="V623" i="5"/>
  <c r="T623" i="5"/>
  <c r="R623" i="5"/>
  <c r="U623" i="5"/>
  <c r="S623" i="5"/>
  <c r="Q623" i="5"/>
  <c r="E623" i="5"/>
  <c r="D623" i="5"/>
  <c r="C623" i="5"/>
  <c r="B623" i="5"/>
  <c r="A623" i="5"/>
  <c r="J622" i="5"/>
  <c r="I622" i="5"/>
  <c r="H622" i="5"/>
  <c r="F622" i="5"/>
  <c r="V622" i="5"/>
  <c r="T622" i="5"/>
  <c r="R622" i="5"/>
  <c r="U622" i="5"/>
  <c r="S622" i="5"/>
  <c r="Q622" i="5"/>
  <c r="E622" i="5"/>
  <c r="D622" i="5"/>
  <c r="C622" i="5"/>
  <c r="B622" i="5"/>
  <c r="A622" i="5"/>
  <c r="J621" i="5"/>
  <c r="I621" i="5"/>
  <c r="H621" i="5"/>
  <c r="F621" i="5"/>
  <c r="V621" i="5"/>
  <c r="T621" i="5"/>
  <c r="R621" i="5"/>
  <c r="J630" i="5" s="1"/>
  <c r="U621" i="5"/>
  <c r="S621" i="5"/>
  <c r="Q621" i="5"/>
  <c r="E621" i="5"/>
  <c r="D621" i="5"/>
  <c r="C621" i="5"/>
  <c r="B621" i="5"/>
  <c r="A621" i="5"/>
  <c r="J620" i="5"/>
  <c r="I620" i="5"/>
  <c r="H620" i="5"/>
  <c r="F620" i="5"/>
  <c r="V620" i="5"/>
  <c r="T620" i="5"/>
  <c r="R620" i="5"/>
  <c r="U620" i="5"/>
  <c r="S620" i="5"/>
  <c r="Q620" i="5"/>
  <c r="E620" i="5"/>
  <c r="D620" i="5"/>
  <c r="C620" i="5"/>
  <c r="B620" i="5"/>
  <c r="A620" i="5"/>
  <c r="J619" i="5"/>
  <c r="I619" i="5"/>
  <c r="H619" i="5"/>
  <c r="G619" i="5"/>
  <c r="F619" i="5"/>
  <c r="J618" i="5"/>
  <c r="I618" i="5"/>
  <c r="H618" i="5"/>
  <c r="G618" i="5"/>
  <c r="F618" i="5"/>
  <c r="J617" i="5"/>
  <c r="I617" i="5"/>
  <c r="H617" i="5"/>
  <c r="G617" i="5"/>
  <c r="F617" i="5"/>
  <c r="J616" i="5"/>
  <c r="I616" i="5"/>
  <c r="H616" i="5"/>
  <c r="G616" i="5"/>
  <c r="F616" i="5"/>
  <c r="C615" i="5"/>
  <c r="V614" i="5"/>
  <c r="T614" i="5"/>
  <c r="R614" i="5"/>
  <c r="U614" i="5"/>
  <c r="S614" i="5"/>
  <c r="Q614" i="5"/>
  <c r="E614" i="5"/>
  <c r="D614" i="5"/>
  <c r="C614" i="5"/>
  <c r="B614" i="5"/>
  <c r="A614" i="5"/>
  <c r="A613" i="5"/>
  <c r="A610" i="5"/>
  <c r="K607" i="5"/>
  <c r="H607" i="5"/>
  <c r="G607" i="5"/>
  <c r="E607" i="5"/>
  <c r="E606" i="5"/>
  <c r="J605" i="5"/>
  <c r="E605" i="5"/>
  <c r="E604" i="5"/>
  <c r="J603" i="5"/>
  <c r="I603" i="5"/>
  <c r="H603" i="5"/>
  <c r="G603" i="5"/>
  <c r="F603" i="5"/>
  <c r="J602" i="5"/>
  <c r="I602" i="5"/>
  <c r="H602" i="5"/>
  <c r="G602" i="5"/>
  <c r="F602" i="5"/>
  <c r="J601" i="5"/>
  <c r="I601" i="5"/>
  <c r="H601" i="5"/>
  <c r="G601" i="5"/>
  <c r="F601" i="5"/>
  <c r="J600" i="5"/>
  <c r="I600" i="5"/>
  <c r="H600" i="5"/>
  <c r="G600" i="5"/>
  <c r="F600" i="5"/>
  <c r="V599" i="5"/>
  <c r="J606" i="5" s="1"/>
  <c r="T599" i="5"/>
  <c r="R599" i="5"/>
  <c r="J604" i="5" s="1"/>
  <c r="U599" i="5"/>
  <c r="S599" i="5"/>
  <c r="Q599" i="5"/>
  <c r="E599" i="5"/>
  <c r="D599" i="5"/>
  <c r="C599" i="5"/>
  <c r="B599" i="5"/>
  <c r="A599" i="5"/>
  <c r="K597" i="5"/>
  <c r="H597" i="5"/>
  <c r="G597" i="5"/>
  <c r="E597" i="5"/>
  <c r="E596" i="5"/>
  <c r="J595" i="5"/>
  <c r="E595" i="5"/>
  <c r="E594" i="5"/>
  <c r="J593" i="5"/>
  <c r="I593" i="5"/>
  <c r="H593" i="5"/>
  <c r="G593" i="5"/>
  <c r="F593" i="5"/>
  <c r="J592" i="5"/>
  <c r="I592" i="5"/>
  <c r="H592" i="5"/>
  <c r="G592" i="5"/>
  <c r="F592" i="5"/>
  <c r="J591" i="5"/>
  <c r="I591" i="5"/>
  <c r="H591" i="5"/>
  <c r="G591" i="5"/>
  <c r="F591" i="5"/>
  <c r="J590" i="5"/>
  <c r="I590" i="5"/>
  <c r="H590" i="5"/>
  <c r="G590" i="5"/>
  <c r="F590" i="5"/>
  <c r="V589" i="5"/>
  <c r="J596" i="5" s="1"/>
  <c r="T589" i="5"/>
  <c r="R589" i="5"/>
  <c r="J594" i="5" s="1"/>
  <c r="U589" i="5"/>
  <c r="S589" i="5"/>
  <c r="Q589" i="5"/>
  <c r="E589" i="5"/>
  <c r="D589" i="5"/>
  <c r="C589" i="5"/>
  <c r="B589" i="5"/>
  <c r="A589" i="5"/>
  <c r="K587" i="5"/>
  <c r="H587" i="5"/>
  <c r="G587" i="5"/>
  <c r="E587" i="5"/>
  <c r="E586" i="5"/>
  <c r="J585" i="5"/>
  <c r="E585" i="5"/>
  <c r="E584" i="5"/>
  <c r="J583" i="5"/>
  <c r="I583" i="5"/>
  <c r="H583" i="5"/>
  <c r="G583" i="5"/>
  <c r="F583" i="5"/>
  <c r="J582" i="5"/>
  <c r="I582" i="5"/>
  <c r="H582" i="5"/>
  <c r="G582" i="5"/>
  <c r="F582" i="5"/>
  <c r="J581" i="5"/>
  <c r="I581" i="5"/>
  <c r="H581" i="5"/>
  <c r="G581" i="5"/>
  <c r="F581" i="5"/>
  <c r="J580" i="5"/>
  <c r="I580" i="5"/>
  <c r="H580" i="5"/>
  <c r="G580" i="5"/>
  <c r="F580" i="5"/>
  <c r="V579" i="5"/>
  <c r="J586" i="5" s="1"/>
  <c r="T579" i="5"/>
  <c r="R579" i="5"/>
  <c r="J584" i="5" s="1"/>
  <c r="U579" i="5"/>
  <c r="S579" i="5"/>
  <c r="Q579" i="5"/>
  <c r="E579" i="5"/>
  <c r="D579" i="5"/>
  <c r="C579" i="5"/>
  <c r="B579" i="5"/>
  <c r="A579" i="5"/>
  <c r="A578" i="5"/>
  <c r="A575" i="5"/>
  <c r="K572" i="5"/>
  <c r="H572" i="5"/>
  <c r="G572" i="5"/>
  <c r="E572" i="5"/>
  <c r="E571" i="5"/>
  <c r="E570" i="5"/>
  <c r="E569" i="5"/>
  <c r="J568" i="5"/>
  <c r="I568" i="5"/>
  <c r="H568" i="5"/>
  <c r="F568" i="5"/>
  <c r="V568" i="5"/>
  <c r="T568" i="5"/>
  <c r="R568" i="5"/>
  <c r="U568" i="5"/>
  <c r="S568" i="5"/>
  <c r="Q568" i="5"/>
  <c r="E568" i="5"/>
  <c r="D568" i="5"/>
  <c r="B568" i="5"/>
  <c r="A568" i="5"/>
  <c r="J567" i="5"/>
  <c r="I567" i="5"/>
  <c r="H567" i="5"/>
  <c r="F567" i="5"/>
  <c r="V567" i="5"/>
  <c r="T567" i="5"/>
  <c r="R567" i="5"/>
  <c r="U567" i="5"/>
  <c r="S567" i="5"/>
  <c r="Q567" i="5"/>
  <c r="E567" i="5"/>
  <c r="D567" i="5"/>
  <c r="B567" i="5"/>
  <c r="A567" i="5"/>
  <c r="J566" i="5"/>
  <c r="I566" i="5"/>
  <c r="H566" i="5"/>
  <c r="F566" i="5"/>
  <c r="V566" i="5"/>
  <c r="T566" i="5"/>
  <c r="R566" i="5"/>
  <c r="U566" i="5"/>
  <c r="S566" i="5"/>
  <c r="Q566" i="5"/>
  <c r="E566" i="5"/>
  <c r="D566" i="5"/>
  <c r="B566" i="5"/>
  <c r="A566" i="5"/>
  <c r="J565" i="5"/>
  <c r="I565" i="5"/>
  <c r="H565" i="5"/>
  <c r="F565" i="5"/>
  <c r="V565" i="5"/>
  <c r="T565" i="5"/>
  <c r="R565" i="5"/>
  <c r="U565" i="5"/>
  <c r="S565" i="5"/>
  <c r="Q565" i="5"/>
  <c r="E565" i="5"/>
  <c r="D565" i="5"/>
  <c r="B565" i="5"/>
  <c r="A565" i="5"/>
  <c r="J564" i="5"/>
  <c r="I564" i="5"/>
  <c r="H564" i="5"/>
  <c r="F564" i="5"/>
  <c r="V564" i="5"/>
  <c r="T564" i="5"/>
  <c r="R564" i="5"/>
  <c r="U564" i="5"/>
  <c r="S564" i="5"/>
  <c r="Q564" i="5"/>
  <c r="E564" i="5"/>
  <c r="D564" i="5"/>
  <c r="C564" i="5"/>
  <c r="B564" i="5"/>
  <c r="A564" i="5"/>
  <c r="J563" i="5"/>
  <c r="I563" i="5"/>
  <c r="H563" i="5"/>
  <c r="F563" i="5"/>
  <c r="V563" i="5"/>
  <c r="T563" i="5"/>
  <c r="R563" i="5"/>
  <c r="U563" i="5"/>
  <c r="S563" i="5"/>
  <c r="Q563" i="5"/>
  <c r="E563" i="5"/>
  <c r="D563" i="5"/>
  <c r="C563" i="5"/>
  <c r="B563" i="5"/>
  <c r="A563" i="5"/>
  <c r="J562" i="5"/>
  <c r="I562" i="5"/>
  <c r="H562" i="5"/>
  <c r="F562" i="5"/>
  <c r="V562" i="5"/>
  <c r="T562" i="5"/>
  <c r="R562" i="5"/>
  <c r="U562" i="5"/>
  <c r="S562" i="5"/>
  <c r="Q562" i="5"/>
  <c r="E562" i="5"/>
  <c r="D562" i="5"/>
  <c r="C562" i="5"/>
  <c r="B562" i="5"/>
  <c r="A562" i="5"/>
  <c r="J561" i="5"/>
  <c r="I561" i="5"/>
  <c r="H561" i="5"/>
  <c r="F561" i="5"/>
  <c r="V561" i="5"/>
  <c r="T561" i="5"/>
  <c r="R561" i="5"/>
  <c r="U561" i="5"/>
  <c r="S561" i="5"/>
  <c r="Q561" i="5"/>
  <c r="E561" i="5"/>
  <c r="D561" i="5"/>
  <c r="C561" i="5"/>
  <c r="B561" i="5"/>
  <c r="A561" i="5"/>
  <c r="J560" i="5"/>
  <c r="I560" i="5"/>
  <c r="H560" i="5"/>
  <c r="F560" i="5"/>
  <c r="V560" i="5"/>
  <c r="T560" i="5"/>
  <c r="R560" i="5"/>
  <c r="U560" i="5"/>
  <c r="S560" i="5"/>
  <c r="Q560" i="5"/>
  <c r="E560" i="5"/>
  <c r="D560" i="5"/>
  <c r="C560" i="5"/>
  <c r="B560" i="5"/>
  <c r="A560" i="5"/>
  <c r="J559" i="5"/>
  <c r="I559" i="5"/>
  <c r="H559" i="5"/>
  <c r="F559" i="5"/>
  <c r="V559" i="5"/>
  <c r="T559" i="5"/>
  <c r="R559" i="5"/>
  <c r="U559" i="5"/>
  <c r="S559" i="5"/>
  <c r="Q559" i="5"/>
  <c r="E559" i="5"/>
  <c r="D559" i="5"/>
  <c r="C559" i="5"/>
  <c r="B559" i="5"/>
  <c r="A559" i="5"/>
  <c r="J558" i="5"/>
  <c r="I558" i="5"/>
  <c r="H558" i="5"/>
  <c r="G558" i="5"/>
  <c r="F558" i="5"/>
  <c r="J557" i="5"/>
  <c r="I557" i="5"/>
  <c r="H557" i="5"/>
  <c r="G557" i="5"/>
  <c r="F557" i="5"/>
  <c r="J556" i="5"/>
  <c r="I556" i="5"/>
  <c r="H556" i="5"/>
  <c r="G556" i="5"/>
  <c r="F556" i="5"/>
  <c r="J555" i="5"/>
  <c r="I555" i="5"/>
  <c r="H555" i="5"/>
  <c r="G555" i="5"/>
  <c r="F555" i="5"/>
  <c r="C554" i="5"/>
  <c r="V553" i="5"/>
  <c r="J571" i="5" s="1"/>
  <c r="T553" i="5"/>
  <c r="R553" i="5"/>
  <c r="J569" i="5" s="1"/>
  <c r="U553" i="5"/>
  <c r="S553" i="5"/>
  <c r="Q553" i="5"/>
  <c r="E553" i="5"/>
  <c r="D553" i="5"/>
  <c r="C553" i="5"/>
  <c r="B553" i="5"/>
  <c r="A553" i="5"/>
  <c r="K551" i="5"/>
  <c r="H551" i="5"/>
  <c r="G551" i="5"/>
  <c r="E551" i="5"/>
  <c r="J550" i="5"/>
  <c r="E550" i="5"/>
  <c r="E549" i="5"/>
  <c r="J548" i="5"/>
  <c r="E548" i="5"/>
  <c r="J547" i="5"/>
  <c r="I547" i="5"/>
  <c r="H547" i="5"/>
  <c r="G547" i="5"/>
  <c r="F547" i="5"/>
  <c r="J546" i="5"/>
  <c r="I546" i="5"/>
  <c r="H546" i="5"/>
  <c r="G546" i="5"/>
  <c r="F546" i="5"/>
  <c r="J545" i="5"/>
  <c r="I545" i="5"/>
  <c r="H545" i="5"/>
  <c r="G545" i="5"/>
  <c r="F545" i="5"/>
  <c r="J544" i="5"/>
  <c r="I544" i="5"/>
  <c r="H544" i="5"/>
  <c r="G544" i="5"/>
  <c r="F544" i="5"/>
  <c r="C543" i="5"/>
  <c r="V542" i="5"/>
  <c r="T542" i="5"/>
  <c r="J549" i="5" s="1"/>
  <c r="R542" i="5"/>
  <c r="U542" i="5"/>
  <c r="S542" i="5"/>
  <c r="Q542" i="5"/>
  <c r="E542" i="5"/>
  <c r="D542" i="5"/>
  <c r="C542" i="5"/>
  <c r="B542" i="5"/>
  <c r="A542" i="5"/>
  <c r="K540" i="5"/>
  <c r="H540" i="5"/>
  <c r="G540" i="5"/>
  <c r="E540" i="5"/>
  <c r="E539" i="5"/>
  <c r="E538" i="5"/>
  <c r="J537" i="5"/>
  <c r="E537" i="5"/>
  <c r="J536" i="5"/>
  <c r="I536" i="5"/>
  <c r="H536" i="5"/>
  <c r="G536" i="5"/>
  <c r="F536" i="5"/>
  <c r="J535" i="5"/>
  <c r="I535" i="5"/>
  <c r="H535" i="5"/>
  <c r="G535" i="5"/>
  <c r="F535" i="5"/>
  <c r="J534" i="5"/>
  <c r="I534" i="5"/>
  <c r="H534" i="5"/>
  <c r="G534" i="5"/>
  <c r="F534" i="5"/>
  <c r="J533" i="5"/>
  <c r="I533" i="5"/>
  <c r="H533" i="5"/>
  <c r="G533" i="5"/>
  <c r="F533" i="5"/>
  <c r="C532" i="5"/>
  <c r="V531" i="5"/>
  <c r="J539" i="5" s="1"/>
  <c r="I541" i="5" s="1"/>
  <c r="T531" i="5"/>
  <c r="J538" i="5" s="1"/>
  <c r="R531" i="5"/>
  <c r="U531" i="5"/>
  <c r="S531" i="5"/>
  <c r="Q531" i="5"/>
  <c r="E531" i="5"/>
  <c r="D531" i="5"/>
  <c r="C531" i="5"/>
  <c r="B531" i="5"/>
  <c r="A531" i="5"/>
  <c r="K529" i="5"/>
  <c r="H529" i="5"/>
  <c r="G529" i="5"/>
  <c r="E529" i="5"/>
  <c r="E528" i="5"/>
  <c r="J527" i="5"/>
  <c r="E527" i="5"/>
  <c r="E526" i="5"/>
  <c r="J525" i="5"/>
  <c r="I530" i="5" s="1"/>
  <c r="K530" i="5" s="1"/>
  <c r="I525" i="5"/>
  <c r="H525" i="5"/>
  <c r="G525" i="5"/>
  <c r="F525" i="5"/>
  <c r="J524" i="5"/>
  <c r="I524" i="5"/>
  <c r="H524" i="5"/>
  <c r="G524" i="5"/>
  <c r="F524" i="5"/>
  <c r="J523" i="5"/>
  <c r="I523" i="5"/>
  <c r="H523" i="5"/>
  <c r="G523" i="5"/>
  <c r="F523" i="5"/>
  <c r="J522" i="5"/>
  <c r="I522" i="5"/>
  <c r="H522" i="5"/>
  <c r="G522" i="5"/>
  <c r="F522" i="5"/>
  <c r="C521" i="5"/>
  <c r="V520" i="5"/>
  <c r="J528" i="5" s="1"/>
  <c r="T520" i="5"/>
  <c r="R520" i="5"/>
  <c r="J526" i="5" s="1"/>
  <c r="U520" i="5"/>
  <c r="S520" i="5"/>
  <c r="Q520" i="5"/>
  <c r="E520" i="5"/>
  <c r="D520" i="5"/>
  <c r="C520" i="5"/>
  <c r="B520" i="5"/>
  <c r="A520" i="5"/>
  <c r="K518" i="5"/>
  <c r="H518" i="5"/>
  <c r="G518" i="5"/>
  <c r="E518" i="5"/>
  <c r="E517" i="5"/>
  <c r="J516" i="5"/>
  <c r="E516" i="5"/>
  <c r="E515" i="5"/>
  <c r="J514" i="5"/>
  <c r="I514" i="5"/>
  <c r="H514" i="5"/>
  <c r="G514" i="5"/>
  <c r="F514" i="5"/>
  <c r="J513" i="5"/>
  <c r="I513" i="5"/>
  <c r="H513" i="5"/>
  <c r="G513" i="5"/>
  <c r="F513" i="5"/>
  <c r="J512" i="5"/>
  <c r="I512" i="5"/>
  <c r="H512" i="5"/>
  <c r="G512" i="5"/>
  <c r="F512" i="5"/>
  <c r="J511" i="5"/>
  <c r="I511" i="5"/>
  <c r="H511" i="5"/>
  <c r="G511" i="5"/>
  <c r="F511" i="5"/>
  <c r="C510" i="5"/>
  <c r="V509" i="5"/>
  <c r="J517" i="5" s="1"/>
  <c r="T509" i="5"/>
  <c r="R509" i="5"/>
  <c r="J515" i="5" s="1"/>
  <c r="U509" i="5"/>
  <c r="S509" i="5"/>
  <c r="Q509" i="5"/>
  <c r="E509" i="5"/>
  <c r="D509" i="5"/>
  <c r="C509" i="5"/>
  <c r="B509" i="5"/>
  <c r="A509" i="5"/>
  <c r="K507" i="5"/>
  <c r="H507" i="5"/>
  <c r="G507" i="5"/>
  <c r="E507" i="5"/>
  <c r="J506" i="5"/>
  <c r="E506" i="5"/>
  <c r="E505" i="5"/>
  <c r="E504" i="5"/>
  <c r="J503" i="5"/>
  <c r="I503" i="5"/>
  <c r="H503" i="5"/>
  <c r="F503" i="5"/>
  <c r="V503" i="5"/>
  <c r="T503" i="5"/>
  <c r="R503" i="5"/>
  <c r="J504" i="5" s="1"/>
  <c r="U503" i="5"/>
  <c r="S503" i="5"/>
  <c r="Q503" i="5"/>
  <c r="E503" i="5"/>
  <c r="D503" i="5"/>
  <c r="C503" i="5"/>
  <c r="B503" i="5"/>
  <c r="A503" i="5"/>
  <c r="J502" i="5"/>
  <c r="I502" i="5"/>
  <c r="H502" i="5"/>
  <c r="F502" i="5"/>
  <c r="V502" i="5"/>
  <c r="T502" i="5"/>
  <c r="R502" i="5"/>
  <c r="U502" i="5"/>
  <c r="S502" i="5"/>
  <c r="Q502" i="5"/>
  <c r="E502" i="5"/>
  <c r="D502" i="5"/>
  <c r="C502" i="5"/>
  <c r="B502" i="5"/>
  <c r="A502" i="5"/>
  <c r="J501" i="5"/>
  <c r="I501" i="5"/>
  <c r="H501" i="5"/>
  <c r="G501" i="5"/>
  <c r="F501" i="5"/>
  <c r="J500" i="5"/>
  <c r="I500" i="5"/>
  <c r="H500" i="5"/>
  <c r="G500" i="5"/>
  <c r="F500" i="5"/>
  <c r="J499" i="5"/>
  <c r="I499" i="5"/>
  <c r="H499" i="5"/>
  <c r="G499" i="5"/>
  <c r="F499" i="5"/>
  <c r="J498" i="5"/>
  <c r="I498" i="5"/>
  <c r="H498" i="5"/>
  <c r="G498" i="5"/>
  <c r="F498" i="5"/>
  <c r="C497" i="5"/>
  <c r="V496" i="5"/>
  <c r="T496" i="5"/>
  <c r="J505" i="5" s="1"/>
  <c r="R496" i="5"/>
  <c r="U496" i="5"/>
  <c r="S496" i="5"/>
  <c r="Q496" i="5"/>
  <c r="E496" i="5"/>
  <c r="D496" i="5"/>
  <c r="C496" i="5"/>
  <c r="B496" i="5"/>
  <c r="A496" i="5"/>
  <c r="K494" i="5"/>
  <c r="H494" i="5"/>
  <c r="G494" i="5"/>
  <c r="E494" i="5"/>
  <c r="E493" i="5"/>
  <c r="J492" i="5"/>
  <c r="E492" i="5"/>
  <c r="E491" i="5"/>
  <c r="J490" i="5"/>
  <c r="I490" i="5"/>
  <c r="H490" i="5"/>
  <c r="G490" i="5"/>
  <c r="F490" i="5"/>
  <c r="J489" i="5"/>
  <c r="I489" i="5"/>
  <c r="H489" i="5"/>
  <c r="G489" i="5"/>
  <c r="F489" i="5"/>
  <c r="J488" i="5"/>
  <c r="I488" i="5"/>
  <c r="H488" i="5"/>
  <c r="G488" i="5"/>
  <c r="F488" i="5"/>
  <c r="J487" i="5"/>
  <c r="I487" i="5"/>
  <c r="H487" i="5"/>
  <c r="G487" i="5"/>
  <c r="F487" i="5"/>
  <c r="C486" i="5"/>
  <c r="V485" i="5"/>
  <c r="J493" i="5" s="1"/>
  <c r="T485" i="5"/>
  <c r="R485" i="5"/>
  <c r="J491" i="5" s="1"/>
  <c r="U485" i="5"/>
  <c r="S485" i="5"/>
  <c r="Q485" i="5"/>
  <c r="E485" i="5"/>
  <c r="D485" i="5"/>
  <c r="C485" i="5"/>
  <c r="B485" i="5"/>
  <c r="A485" i="5"/>
  <c r="K483" i="5"/>
  <c r="H483" i="5"/>
  <c r="G483" i="5"/>
  <c r="E483" i="5"/>
  <c r="J482" i="5"/>
  <c r="E482" i="5"/>
  <c r="J481" i="5"/>
  <c r="E481" i="5"/>
  <c r="E480" i="5"/>
  <c r="J479" i="5"/>
  <c r="I479" i="5"/>
  <c r="H479" i="5"/>
  <c r="G479" i="5"/>
  <c r="F479" i="5"/>
  <c r="J478" i="5"/>
  <c r="I478" i="5"/>
  <c r="H478" i="5"/>
  <c r="G478" i="5"/>
  <c r="F478" i="5"/>
  <c r="J477" i="5"/>
  <c r="I477" i="5"/>
  <c r="H477" i="5"/>
  <c r="G477" i="5"/>
  <c r="F477" i="5"/>
  <c r="C476" i="5"/>
  <c r="V475" i="5"/>
  <c r="T475" i="5"/>
  <c r="R475" i="5"/>
  <c r="J480" i="5" s="1"/>
  <c r="U475" i="5"/>
  <c r="S475" i="5"/>
  <c r="Q475" i="5"/>
  <c r="E475" i="5"/>
  <c r="D475" i="5"/>
  <c r="C475" i="5"/>
  <c r="B475" i="5"/>
  <c r="A475" i="5"/>
  <c r="K473" i="5"/>
  <c r="H473" i="5"/>
  <c r="G473" i="5"/>
  <c r="E473" i="5"/>
  <c r="J472" i="5"/>
  <c r="E472" i="5"/>
  <c r="J471" i="5"/>
  <c r="E471" i="5"/>
  <c r="E470" i="5"/>
  <c r="J469" i="5"/>
  <c r="I469" i="5"/>
  <c r="H469" i="5"/>
  <c r="G469" i="5"/>
  <c r="F469" i="5"/>
  <c r="J468" i="5"/>
  <c r="I468" i="5"/>
  <c r="H468" i="5"/>
  <c r="G468" i="5"/>
  <c r="F468" i="5"/>
  <c r="J467" i="5"/>
  <c r="I467" i="5"/>
  <c r="H467" i="5"/>
  <c r="G467" i="5"/>
  <c r="F467" i="5"/>
  <c r="C466" i="5"/>
  <c r="V465" i="5"/>
  <c r="T465" i="5"/>
  <c r="R465" i="5"/>
  <c r="J470" i="5" s="1"/>
  <c r="U465" i="5"/>
  <c r="S465" i="5"/>
  <c r="Q465" i="5"/>
  <c r="E465" i="5"/>
  <c r="D465" i="5"/>
  <c r="C465" i="5"/>
  <c r="B465" i="5"/>
  <c r="A465" i="5"/>
  <c r="K463" i="5"/>
  <c r="H463" i="5"/>
  <c r="G463" i="5"/>
  <c r="E463" i="5"/>
  <c r="J462" i="5"/>
  <c r="E462" i="5"/>
  <c r="J461" i="5"/>
  <c r="E461" i="5"/>
  <c r="E460" i="5"/>
  <c r="J459" i="5"/>
  <c r="I459" i="5"/>
  <c r="H459" i="5"/>
  <c r="G459" i="5"/>
  <c r="F459" i="5"/>
  <c r="J458" i="5"/>
  <c r="I458" i="5"/>
  <c r="H458" i="5"/>
  <c r="G458" i="5"/>
  <c r="F458" i="5"/>
  <c r="J457" i="5"/>
  <c r="I457" i="5"/>
  <c r="H457" i="5"/>
  <c r="G457" i="5"/>
  <c r="F457" i="5"/>
  <c r="C456" i="5"/>
  <c r="V455" i="5"/>
  <c r="T455" i="5"/>
  <c r="R455" i="5"/>
  <c r="J460" i="5" s="1"/>
  <c r="U455" i="5"/>
  <c r="S455" i="5"/>
  <c r="Q455" i="5"/>
  <c r="E455" i="5"/>
  <c r="D455" i="5"/>
  <c r="C455" i="5"/>
  <c r="B455" i="5"/>
  <c r="A455" i="5"/>
  <c r="K453" i="5"/>
  <c r="H453" i="5"/>
  <c r="G453" i="5"/>
  <c r="E453" i="5"/>
  <c r="J452" i="5"/>
  <c r="E452" i="5"/>
  <c r="E451" i="5"/>
  <c r="J450" i="5"/>
  <c r="I450" i="5"/>
  <c r="H450" i="5"/>
  <c r="G450" i="5"/>
  <c r="F450" i="5"/>
  <c r="C449" i="5"/>
  <c r="V448" i="5"/>
  <c r="T448" i="5"/>
  <c r="R448" i="5"/>
  <c r="J451" i="5" s="1"/>
  <c r="U448" i="5"/>
  <c r="S448" i="5"/>
  <c r="Q448" i="5"/>
  <c r="E448" i="5"/>
  <c r="D448" i="5"/>
  <c r="C448" i="5"/>
  <c r="B448" i="5"/>
  <c r="A448" i="5"/>
  <c r="A447" i="5"/>
  <c r="A444" i="5"/>
  <c r="K441" i="5"/>
  <c r="H441" i="5"/>
  <c r="G441" i="5"/>
  <c r="E441" i="5"/>
  <c r="E440" i="5"/>
  <c r="E439" i="5"/>
  <c r="E438" i="5"/>
  <c r="J437" i="5"/>
  <c r="I437" i="5"/>
  <c r="H437" i="5"/>
  <c r="F437" i="5"/>
  <c r="V437" i="5"/>
  <c r="T437" i="5"/>
  <c r="R437" i="5"/>
  <c r="U437" i="5"/>
  <c r="S437" i="5"/>
  <c r="Q437" i="5"/>
  <c r="E437" i="5"/>
  <c r="D437" i="5"/>
  <c r="B437" i="5"/>
  <c r="A437" i="5"/>
  <c r="J436" i="5"/>
  <c r="I436" i="5"/>
  <c r="H436" i="5"/>
  <c r="F436" i="5"/>
  <c r="V436" i="5"/>
  <c r="T436" i="5"/>
  <c r="R436" i="5"/>
  <c r="U436" i="5"/>
  <c r="S436" i="5"/>
  <c r="Q436" i="5"/>
  <c r="E436" i="5"/>
  <c r="D436" i="5"/>
  <c r="B436" i="5"/>
  <c r="A436" i="5"/>
  <c r="J435" i="5"/>
  <c r="I435" i="5"/>
  <c r="H435" i="5"/>
  <c r="F435" i="5"/>
  <c r="V435" i="5"/>
  <c r="T435" i="5"/>
  <c r="R435" i="5"/>
  <c r="U435" i="5"/>
  <c r="S435" i="5"/>
  <c r="Q435" i="5"/>
  <c r="E435" i="5"/>
  <c r="D435" i="5"/>
  <c r="B435" i="5"/>
  <c r="A435" i="5"/>
  <c r="J434" i="5"/>
  <c r="I434" i="5"/>
  <c r="H434" i="5"/>
  <c r="F434" i="5"/>
  <c r="V434" i="5"/>
  <c r="T434" i="5"/>
  <c r="R434" i="5"/>
  <c r="U434" i="5"/>
  <c r="S434" i="5"/>
  <c r="Q434" i="5"/>
  <c r="E434" i="5"/>
  <c r="D434" i="5"/>
  <c r="C434" i="5"/>
  <c r="B434" i="5"/>
  <c r="A434" i="5"/>
  <c r="J433" i="5"/>
  <c r="I433" i="5"/>
  <c r="H433" i="5"/>
  <c r="F433" i="5"/>
  <c r="V433" i="5"/>
  <c r="T433" i="5"/>
  <c r="R433" i="5"/>
  <c r="U433" i="5"/>
  <c r="S433" i="5"/>
  <c r="Q433" i="5"/>
  <c r="E433" i="5"/>
  <c r="D433" i="5"/>
  <c r="C433" i="5"/>
  <c r="B433" i="5"/>
  <c r="A433" i="5"/>
  <c r="J432" i="5"/>
  <c r="I432" i="5"/>
  <c r="H432" i="5"/>
  <c r="F432" i="5"/>
  <c r="V432" i="5"/>
  <c r="T432" i="5"/>
  <c r="R432" i="5"/>
  <c r="U432" i="5"/>
  <c r="S432" i="5"/>
  <c r="Q432" i="5"/>
  <c r="E432" i="5"/>
  <c r="D432" i="5"/>
  <c r="C432" i="5"/>
  <c r="B432" i="5"/>
  <c r="A432" i="5"/>
  <c r="J431" i="5"/>
  <c r="I431" i="5"/>
  <c r="H431" i="5"/>
  <c r="F431" i="5"/>
  <c r="V431" i="5"/>
  <c r="T431" i="5"/>
  <c r="R431" i="5"/>
  <c r="U431" i="5"/>
  <c r="S431" i="5"/>
  <c r="Q431" i="5"/>
  <c r="E431" i="5"/>
  <c r="D431" i="5"/>
  <c r="C431" i="5"/>
  <c r="B431" i="5"/>
  <c r="A431" i="5"/>
  <c r="J430" i="5"/>
  <c r="I430" i="5"/>
  <c r="H430" i="5"/>
  <c r="F430" i="5"/>
  <c r="V430" i="5"/>
  <c r="T430" i="5"/>
  <c r="J439" i="5" s="1"/>
  <c r="R430" i="5"/>
  <c r="U430" i="5"/>
  <c r="S430" i="5"/>
  <c r="Q430" i="5"/>
  <c r="E430" i="5"/>
  <c r="D430" i="5"/>
  <c r="C430" i="5"/>
  <c r="B430" i="5"/>
  <c r="A430" i="5"/>
  <c r="J429" i="5"/>
  <c r="I429" i="5"/>
  <c r="H429" i="5"/>
  <c r="F429" i="5"/>
  <c r="V429" i="5"/>
  <c r="T429" i="5"/>
  <c r="R429" i="5"/>
  <c r="U429" i="5"/>
  <c r="S429" i="5"/>
  <c r="Q429" i="5"/>
  <c r="E429" i="5"/>
  <c r="D429" i="5"/>
  <c r="C429" i="5"/>
  <c r="B429" i="5"/>
  <c r="A429" i="5"/>
  <c r="J428" i="5"/>
  <c r="I428" i="5"/>
  <c r="H428" i="5"/>
  <c r="G428" i="5"/>
  <c r="F428" i="5"/>
  <c r="J427" i="5"/>
  <c r="I427" i="5"/>
  <c r="H427" i="5"/>
  <c r="G427" i="5"/>
  <c r="F427" i="5"/>
  <c r="J426" i="5"/>
  <c r="I426" i="5"/>
  <c r="H426" i="5"/>
  <c r="G426" i="5"/>
  <c r="F426" i="5"/>
  <c r="J425" i="5"/>
  <c r="I425" i="5"/>
  <c r="H425" i="5"/>
  <c r="G425" i="5"/>
  <c r="F425" i="5"/>
  <c r="C424" i="5"/>
  <c r="V423" i="5"/>
  <c r="T423" i="5"/>
  <c r="R423" i="5"/>
  <c r="J438" i="5" s="1"/>
  <c r="U423" i="5"/>
  <c r="S423" i="5"/>
  <c r="Q423" i="5"/>
  <c r="E423" i="5"/>
  <c r="D423" i="5"/>
  <c r="C423" i="5"/>
  <c r="B423" i="5"/>
  <c r="A423" i="5"/>
  <c r="K421" i="5"/>
  <c r="H421" i="5"/>
  <c r="G421" i="5"/>
  <c r="E421" i="5"/>
  <c r="J420" i="5"/>
  <c r="E420" i="5"/>
  <c r="E419" i="5"/>
  <c r="J418" i="5"/>
  <c r="E418" i="5"/>
  <c r="J417" i="5"/>
  <c r="I417" i="5"/>
  <c r="H417" i="5"/>
  <c r="G417" i="5"/>
  <c r="F417" i="5"/>
  <c r="J416" i="5"/>
  <c r="I416" i="5"/>
  <c r="H416" i="5"/>
  <c r="G416" i="5"/>
  <c r="F416" i="5"/>
  <c r="J415" i="5"/>
  <c r="I415" i="5"/>
  <c r="H415" i="5"/>
  <c r="G415" i="5"/>
  <c r="F415" i="5"/>
  <c r="J414" i="5"/>
  <c r="I414" i="5"/>
  <c r="H414" i="5"/>
  <c r="G414" i="5"/>
  <c r="F414" i="5"/>
  <c r="C413" i="5"/>
  <c r="V412" i="5"/>
  <c r="T412" i="5"/>
  <c r="J419" i="5" s="1"/>
  <c r="R412" i="5"/>
  <c r="U412" i="5"/>
  <c r="S412" i="5"/>
  <c r="Q412" i="5"/>
  <c r="E412" i="5"/>
  <c r="D412" i="5"/>
  <c r="C412" i="5"/>
  <c r="B412" i="5"/>
  <c r="A412" i="5"/>
  <c r="K410" i="5"/>
  <c r="H410" i="5"/>
  <c r="G410" i="5"/>
  <c r="E410" i="5"/>
  <c r="E409" i="5"/>
  <c r="E408" i="5"/>
  <c r="J407" i="5"/>
  <c r="E407" i="5"/>
  <c r="J406" i="5"/>
  <c r="I406" i="5"/>
  <c r="H406" i="5"/>
  <c r="G406" i="5"/>
  <c r="F406" i="5"/>
  <c r="J405" i="5"/>
  <c r="I405" i="5"/>
  <c r="H405" i="5"/>
  <c r="G405" i="5"/>
  <c r="F405" i="5"/>
  <c r="J404" i="5"/>
  <c r="I404" i="5"/>
  <c r="H404" i="5"/>
  <c r="G404" i="5"/>
  <c r="F404" i="5"/>
  <c r="J403" i="5"/>
  <c r="I403" i="5"/>
  <c r="H403" i="5"/>
  <c r="G403" i="5"/>
  <c r="F403" i="5"/>
  <c r="C402" i="5"/>
  <c r="V401" i="5"/>
  <c r="J409" i="5" s="1"/>
  <c r="T401" i="5"/>
  <c r="J408" i="5" s="1"/>
  <c r="I411" i="5" s="1"/>
  <c r="R401" i="5"/>
  <c r="U401" i="5"/>
  <c r="S401" i="5"/>
  <c r="Q401" i="5"/>
  <c r="E401" i="5"/>
  <c r="D401" i="5"/>
  <c r="C401" i="5"/>
  <c r="B401" i="5"/>
  <c r="A401" i="5"/>
  <c r="K399" i="5"/>
  <c r="H399" i="5"/>
  <c r="G399" i="5"/>
  <c r="E399" i="5"/>
  <c r="E398" i="5"/>
  <c r="J397" i="5"/>
  <c r="E397" i="5"/>
  <c r="E396" i="5"/>
  <c r="J395" i="5"/>
  <c r="I395" i="5"/>
  <c r="H395" i="5"/>
  <c r="G395" i="5"/>
  <c r="F395" i="5"/>
  <c r="J394" i="5"/>
  <c r="I394" i="5"/>
  <c r="H394" i="5"/>
  <c r="G394" i="5"/>
  <c r="F394" i="5"/>
  <c r="J393" i="5"/>
  <c r="I393" i="5"/>
  <c r="H393" i="5"/>
  <c r="G393" i="5"/>
  <c r="F393" i="5"/>
  <c r="J392" i="5"/>
  <c r="I392" i="5"/>
  <c r="H392" i="5"/>
  <c r="G392" i="5"/>
  <c r="F392" i="5"/>
  <c r="C391" i="5"/>
  <c r="V390" i="5"/>
  <c r="J398" i="5" s="1"/>
  <c r="T390" i="5"/>
  <c r="R390" i="5"/>
  <c r="J396" i="5" s="1"/>
  <c r="U390" i="5"/>
  <c r="S390" i="5"/>
  <c r="Q390" i="5"/>
  <c r="E390" i="5"/>
  <c r="D390" i="5"/>
  <c r="C390" i="5"/>
  <c r="B390" i="5"/>
  <c r="A390" i="5"/>
  <c r="K388" i="5"/>
  <c r="H388" i="5"/>
  <c r="G388" i="5"/>
  <c r="E388" i="5"/>
  <c r="E387" i="5"/>
  <c r="J386" i="5"/>
  <c r="E386" i="5"/>
  <c r="E385" i="5"/>
  <c r="J384" i="5"/>
  <c r="I384" i="5"/>
  <c r="H384" i="5"/>
  <c r="G384" i="5"/>
  <c r="F384" i="5"/>
  <c r="J383" i="5"/>
  <c r="I383" i="5"/>
  <c r="H383" i="5"/>
  <c r="G383" i="5"/>
  <c r="F383" i="5"/>
  <c r="J382" i="5"/>
  <c r="I382" i="5"/>
  <c r="H382" i="5"/>
  <c r="G382" i="5"/>
  <c r="F382" i="5"/>
  <c r="J381" i="5"/>
  <c r="I381" i="5"/>
  <c r="H381" i="5"/>
  <c r="G381" i="5"/>
  <c r="F381" i="5"/>
  <c r="C380" i="5"/>
  <c r="V379" i="5"/>
  <c r="J387" i="5" s="1"/>
  <c r="T379" i="5"/>
  <c r="R379" i="5"/>
  <c r="J385" i="5" s="1"/>
  <c r="U379" i="5"/>
  <c r="S379" i="5"/>
  <c r="Q379" i="5"/>
  <c r="E379" i="5"/>
  <c r="D379" i="5"/>
  <c r="C379" i="5"/>
  <c r="B379" i="5"/>
  <c r="A379" i="5"/>
  <c r="K377" i="5"/>
  <c r="H377" i="5"/>
  <c r="G377" i="5"/>
  <c r="E377" i="5"/>
  <c r="J376" i="5"/>
  <c r="E376" i="5"/>
  <c r="E375" i="5"/>
  <c r="E374" i="5"/>
  <c r="J373" i="5"/>
  <c r="I373" i="5"/>
  <c r="H373" i="5"/>
  <c r="F373" i="5"/>
  <c r="V373" i="5"/>
  <c r="T373" i="5"/>
  <c r="R373" i="5"/>
  <c r="J374" i="5" s="1"/>
  <c r="U373" i="5"/>
  <c r="S373" i="5"/>
  <c r="Q373" i="5"/>
  <c r="E373" i="5"/>
  <c r="D373" i="5"/>
  <c r="C373" i="5"/>
  <c r="B373" i="5"/>
  <c r="A373" i="5"/>
  <c r="J372" i="5"/>
  <c r="I372" i="5"/>
  <c r="H372" i="5"/>
  <c r="F372" i="5"/>
  <c r="V372" i="5"/>
  <c r="T372" i="5"/>
  <c r="R372" i="5"/>
  <c r="U372" i="5"/>
  <c r="S372" i="5"/>
  <c r="Q372" i="5"/>
  <c r="E372" i="5"/>
  <c r="D372" i="5"/>
  <c r="C372" i="5"/>
  <c r="B372" i="5"/>
  <c r="A372" i="5"/>
  <c r="J371" i="5"/>
  <c r="I371" i="5"/>
  <c r="H371" i="5"/>
  <c r="G371" i="5"/>
  <c r="F371" i="5"/>
  <c r="J370" i="5"/>
  <c r="I370" i="5"/>
  <c r="H370" i="5"/>
  <c r="G370" i="5"/>
  <c r="F370" i="5"/>
  <c r="J369" i="5"/>
  <c r="I369" i="5"/>
  <c r="H369" i="5"/>
  <c r="G369" i="5"/>
  <c r="F369" i="5"/>
  <c r="J368" i="5"/>
  <c r="I368" i="5"/>
  <c r="H368" i="5"/>
  <c r="G368" i="5"/>
  <c r="F368" i="5"/>
  <c r="C367" i="5"/>
  <c r="V366" i="5"/>
  <c r="T366" i="5"/>
  <c r="J375" i="5" s="1"/>
  <c r="R366" i="5"/>
  <c r="U366" i="5"/>
  <c r="S366" i="5"/>
  <c r="Q366" i="5"/>
  <c r="E366" i="5"/>
  <c r="D366" i="5"/>
  <c r="C366" i="5"/>
  <c r="B366" i="5"/>
  <c r="A366" i="5"/>
  <c r="K364" i="5"/>
  <c r="H364" i="5"/>
  <c r="G364" i="5"/>
  <c r="E364" i="5"/>
  <c r="E363" i="5"/>
  <c r="J362" i="5"/>
  <c r="E362" i="5"/>
  <c r="E361" i="5"/>
  <c r="J360" i="5"/>
  <c r="I360" i="5"/>
  <c r="H360" i="5"/>
  <c r="G360" i="5"/>
  <c r="F360" i="5"/>
  <c r="J359" i="5"/>
  <c r="I359" i="5"/>
  <c r="H359" i="5"/>
  <c r="G359" i="5"/>
  <c r="F359" i="5"/>
  <c r="J358" i="5"/>
  <c r="I358" i="5"/>
  <c r="H358" i="5"/>
  <c r="G358" i="5"/>
  <c r="F358" i="5"/>
  <c r="J357" i="5"/>
  <c r="I357" i="5"/>
  <c r="H357" i="5"/>
  <c r="G357" i="5"/>
  <c r="F357" i="5"/>
  <c r="C356" i="5"/>
  <c r="V355" i="5"/>
  <c r="J363" i="5" s="1"/>
  <c r="T355" i="5"/>
  <c r="R355" i="5"/>
  <c r="J361" i="5" s="1"/>
  <c r="U355" i="5"/>
  <c r="S355" i="5"/>
  <c r="Q355" i="5"/>
  <c r="E355" i="5"/>
  <c r="D355" i="5"/>
  <c r="C355" i="5"/>
  <c r="B355" i="5"/>
  <c r="A355" i="5"/>
  <c r="K353" i="5"/>
  <c r="H353" i="5"/>
  <c r="G353" i="5"/>
  <c r="E353" i="5"/>
  <c r="J352" i="5"/>
  <c r="E352" i="5"/>
  <c r="J351" i="5"/>
  <c r="E351" i="5"/>
  <c r="J350" i="5"/>
  <c r="I354" i="5" s="1"/>
  <c r="I350" i="5"/>
  <c r="H350" i="5"/>
  <c r="G350" i="5"/>
  <c r="F350" i="5"/>
  <c r="V349" i="5"/>
  <c r="T349" i="5"/>
  <c r="R349" i="5"/>
  <c r="U349" i="5"/>
  <c r="S349" i="5"/>
  <c r="Q349" i="5"/>
  <c r="E349" i="5"/>
  <c r="D349" i="5"/>
  <c r="C349" i="5"/>
  <c r="B349" i="5"/>
  <c r="A349" i="5"/>
  <c r="A348" i="5"/>
  <c r="A345" i="5"/>
  <c r="K342" i="5"/>
  <c r="H342" i="5"/>
  <c r="G342" i="5"/>
  <c r="E342" i="5"/>
  <c r="E341" i="5"/>
  <c r="E340" i="5"/>
  <c r="E339" i="5"/>
  <c r="J338" i="5"/>
  <c r="I338" i="5"/>
  <c r="H338" i="5"/>
  <c r="F338" i="5"/>
  <c r="V338" i="5"/>
  <c r="T338" i="5"/>
  <c r="R338" i="5"/>
  <c r="U338" i="5"/>
  <c r="S338" i="5"/>
  <c r="Q338" i="5"/>
  <c r="E338" i="5"/>
  <c r="D338" i="5"/>
  <c r="B338" i="5"/>
  <c r="A338" i="5"/>
  <c r="J337" i="5"/>
  <c r="I337" i="5"/>
  <c r="H337" i="5"/>
  <c r="F337" i="5"/>
  <c r="V337" i="5"/>
  <c r="T337" i="5"/>
  <c r="R337" i="5"/>
  <c r="U337" i="5"/>
  <c r="S337" i="5"/>
  <c r="Q337" i="5"/>
  <c r="E337" i="5"/>
  <c r="D337" i="5"/>
  <c r="B337" i="5"/>
  <c r="A337" i="5"/>
  <c r="J336" i="5"/>
  <c r="I336" i="5"/>
  <c r="H336" i="5"/>
  <c r="F336" i="5"/>
  <c r="V336" i="5"/>
  <c r="T336" i="5"/>
  <c r="R336" i="5"/>
  <c r="U336" i="5"/>
  <c r="S336" i="5"/>
  <c r="Q336" i="5"/>
  <c r="E336" i="5"/>
  <c r="D336" i="5"/>
  <c r="B336" i="5"/>
  <c r="A336" i="5"/>
  <c r="J335" i="5"/>
  <c r="I335" i="5"/>
  <c r="H335" i="5"/>
  <c r="F335" i="5"/>
  <c r="V335" i="5"/>
  <c r="T335" i="5"/>
  <c r="R335" i="5"/>
  <c r="U335" i="5"/>
  <c r="S335" i="5"/>
  <c r="Q335" i="5"/>
  <c r="E335" i="5"/>
  <c r="D335" i="5"/>
  <c r="C335" i="5"/>
  <c r="B335" i="5"/>
  <c r="A335" i="5"/>
  <c r="J334" i="5"/>
  <c r="I334" i="5"/>
  <c r="H334" i="5"/>
  <c r="F334" i="5"/>
  <c r="V334" i="5"/>
  <c r="T334" i="5"/>
  <c r="R334" i="5"/>
  <c r="U334" i="5"/>
  <c r="S334" i="5"/>
  <c r="Q334" i="5"/>
  <c r="E334" i="5"/>
  <c r="D334" i="5"/>
  <c r="C334" i="5"/>
  <c r="B334" i="5"/>
  <c r="A334" i="5"/>
  <c r="J333" i="5"/>
  <c r="I333" i="5"/>
  <c r="H333" i="5"/>
  <c r="F333" i="5"/>
  <c r="V333" i="5"/>
  <c r="T333" i="5"/>
  <c r="R333" i="5"/>
  <c r="U333" i="5"/>
  <c r="S333" i="5"/>
  <c r="Q333" i="5"/>
  <c r="E333" i="5"/>
  <c r="D333" i="5"/>
  <c r="C333" i="5"/>
  <c r="B333" i="5"/>
  <c r="A333" i="5"/>
  <c r="J332" i="5"/>
  <c r="I332" i="5"/>
  <c r="H332" i="5"/>
  <c r="F332" i="5"/>
  <c r="V332" i="5"/>
  <c r="T332" i="5"/>
  <c r="J340" i="5" s="1"/>
  <c r="R332" i="5"/>
  <c r="U332" i="5"/>
  <c r="S332" i="5"/>
  <c r="Q332" i="5"/>
  <c r="E332" i="5"/>
  <c r="D332" i="5"/>
  <c r="C332" i="5"/>
  <c r="B332" i="5"/>
  <c r="A332" i="5"/>
  <c r="J331" i="5"/>
  <c r="I331" i="5"/>
  <c r="H331" i="5"/>
  <c r="F331" i="5"/>
  <c r="V331" i="5"/>
  <c r="T331" i="5"/>
  <c r="R331" i="5"/>
  <c r="U331" i="5"/>
  <c r="S331" i="5"/>
  <c r="Q331" i="5"/>
  <c r="E331" i="5"/>
  <c r="D331" i="5"/>
  <c r="C331" i="5"/>
  <c r="B331" i="5"/>
  <c r="A331" i="5"/>
  <c r="J330" i="5"/>
  <c r="I330" i="5"/>
  <c r="H330" i="5"/>
  <c r="F330" i="5"/>
  <c r="V330" i="5"/>
  <c r="T330" i="5"/>
  <c r="R330" i="5"/>
  <c r="U330" i="5"/>
  <c r="S330" i="5"/>
  <c r="Q330" i="5"/>
  <c r="E330" i="5"/>
  <c r="D330" i="5"/>
  <c r="C330" i="5"/>
  <c r="B330" i="5"/>
  <c r="A330" i="5"/>
  <c r="J329" i="5"/>
  <c r="I329" i="5"/>
  <c r="H329" i="5"/>
  <c r="G329" i="5"/>
  <c r="F329" i="5"/>
  <c r="J328" i="5"/>
  <c r="I328" i="5"/>
  <c r="H328" i="5"/>
  <c r="G328" i="5"/>
  <c r="F328" i="5"/>
  <c r="J327" i="5"/>
  <c r="I327" i="5"/>
  <c r="H327" i="5"/>
  <c r="G327" i="5"/>
  <c r="F327" i="5"/>
  <c r="J326" i="5"/>
  <c r="I326" i="5"/>
  <c r="H326" i="5"/>
  <c r="G326" i="5"/>
  <c r="F326" i="5"/>
  <c r="C325" i="5"/>
  <c r="V324" i="5"/>
  <c r="T324" i="5"/>
  <c r="R324" i="5"/>
  <c r="U324" i="5"/>
  <c r="S324" i="5"/>
  <c r="Q324" i="5"/>
  <c r="E324" i="5"/>
  <c r="D324" i="5"/>
  <c r="C324" i="5"/>
  <c r="B324" i="5"/>
  <c r="A324" i="5"/>
  <c r="K322" i="5"/>
  <c r="H322" i="5"/>
  <c r="G322" i="5"/>
  <c r="E322" i="5"/>
  <c r="E321" i="5"/>
  <c r="J320" i="5"/>
  <c r="E320" i="5"/>
  <c r="E319" i="5"/>
  <c r="J318" i="5"/>
  <c r="I318" i="5"/>
  <c r="H318" i="5"/>
  <c r="G318" i="5"/>
  <c r="F318" i="5"/>
  <c r="J317" i="5"/>
  <c r="I317" i="5"/>
  <c r="H317" i="5"/>
  <c r="G317" i="5"/>
  <c r="F317" i="5"/>
  <c r="J316" i="5"/>
  <c r="I316" i="5"/>
  <c r="H316" i="5"/>
  <c r="G316" i="5"/>
  <c r="F316" i="5"/>
  <c r="J315" i="5"/>
  <c r="I315" i="5"/>
  <c r="H315" i="5"/>
  <c r="G315" i="5"/>
  <c r="F315" i="5"/>
  <c r="C314" i="5"/>
  <c r="V313" i="5"/>
  <c r="J321" i="5" s="1"/>
  <c r="T313" i="5"/>
  <c r="R313" i="5"/>
  <c r="J319" i="5" s="1"/>
  <c r="U313" i="5"/>
  <c r="S313" i="5"/>
  <c r="Q313" i="5"/>
  <c r="E313" i="5"/>
  <c r="D313" i="5"/>
  <c r="C313" i="5"/>
  <c r="B313" i="5"/>
  <c r="A313" i="5"/>
  <c r="K311" i="5"/>
  <c r="H311" i="5"/>
  <c r="G311" i="5"/>
  <c r="E311" i="5"/>
  <c r="J310" i="5"/>
  <c r="E310" i="5"/>
  <c r="E309" i="5"/>
  <c r="J308" i="5"/>
  <c r="E308" i="5"/>
  <c r="J307" i="5"/>
  <c r="I307" i="5"/>
  <c r="H307" i="5"/>
  <c r="G307" i="5"/>
  <c r="F307" i="5"/>
  <c r="J306" i="5"/>
  <c r="I306" i="5"/>
  <c r="H306" i="5"/>
  <c r="G306" i="5"/>
  <c r="F306" i="5"/>
  <c r="J305" i="5"/>
  <c r="I305" i="5"/>
  <c r="H305" i="5"/>
  <c r="G305" i="5"/>
  <c r="F305" i="5"/>
  <c r="J304" i="5"/>
  <c r="I304" i="5"/>
  <c r="H304" i="5"/>
  <c r="G304" i="5"/>
  <c r="F304" i="5"/>
  <c r="C303" i="5"/>
  <c r="V302" i="5"/>
  <c r="T302" i="5"/>
  <c r="J309" i="5" s="1"/>
  <c r="R302" i="5"/>
  <c r="U302" i="5"/>
  <c r="S302" i="5"/>
  <c r="Q302" i="5"/>
  <c r="E302" i="5"/>
  <c r="D302" i="5"/>
  <c r="C302" i="5"/>
  <c r="B302" i="5"/>
  <c r="A302" i="5"/>
  <c r="K300" i="5"/>
  <c r="H300" i="5"/>
  <c r="G300" i="5"/>
  <c r="E300" i="5"/>
  <c r="E299" i="5"/>
  <c r="E298" i="5"/>
  <c r="J297" i="5"/>
  <c r="E297" i="5"/>
  <c r="J296" i="5"/>
  <c r="I296" i="5"/>
  <c r="H296" i="5"/>
  <c r="G296" i="5"/>
  <c r="F296" i="5"/>
  <c r="J295" i="5"/>
  <c r="I295" i="5"/>
  <c r="H295" i="5"/>
  <c r="G295" i="5"/>
  <c r="F295" i="5"/>
  <c r="J294" i="5"/>
  <c r="I294" i="5"/>
  <c r="H294" i="5"/>
  <c r="G294" i="5"/>
  <c r="F294" i="5"/>
  <c r="J293" i="5"/>
  <c r="I293" i="5"/>
  <c r="H293" i="5"/>
  <c r="G293" i="5"/>
  <c r="F293" i="5"/>
  <c r="C292" i="5"/>
  <c r="V291" i="5"/>
  <c r="J299" i="5" s="1"/>
  <c r="T291" i="5"/>
  <c r="J298" i="5" s="1"/>
  <c r="I301" i="5" s="1"/>
  <c r="R291" i="5"/>
  <c r="U291" i="5"/>
  <c r="S291" i="5"/>
  <c r="Q291" i="5"/>
  <c r="E291" i="5"/>
  <c r="D291" i="5"/>
  <c r="C291" i="5"/>
  <c r="B291" i="5"/>
  <c r="A291" i="5"/>
  <c r="K289" i="5"/>
  <c r="H289" i="5"/>
  <c r="G289" i="5"/>
  <c r="E289" i="5"/>
  <c r="E288" i="5"/>
  <c r="J287" i="5"/>
  <c r="E287" i="5"/>
  <c r="E286" i="5"/>
  <c r="J285" i="5"/>
  <c r="I290" i="5" s="1"/>
  <c r="K290" i="5" s="1"/>
  <c r="I285" i="5"/>
  <c r="H285" i="5"/>
  <c r="G285" i="5"/>
  <c r="F285" i="5"/>
  <c r="J284" i="5"/>
  <c r="I284" i="5"/>
  <c r="H284" i="5"/>
  <c r="G284" i="5"/>
  <c r="F284" i="5"/>
  <c r="J283" i="5"/>
  <c r="I283" i="5"/>
  <c r="H283" i="5"/>
  <c r="G283" i="5"/>
  <c r="F283" i="5"/>
  <c r="J282" i="5"/>
  <c r="I282" i="5"/>
  <c r="H282" i="5"/>
  <c r="G282" i="5"/>
  <c r="F282" i="5"/>
  <c r="C281" i="5"/>
  <c r="V280" i="5"/>
  <c r="J288" i="5" s="1"/>
  <c r="T280" i="5"/>
  <c r="R280" i="5"/>
  <c r="J286" i="5" s="1"/>
  <c r="U280" i="5"/>
  <c r="S280" i="5"/>
  <c r="Q280" i="5"/>
  <c r="E280" i="5"/>
  <c r="D280" i="5"/>
  <c r="C280" i="5"/>
  <c r="B280" i="5"/>
  <c r="A280" i="5"/>
  <c r="K278" i="5"/>
  <c r="H278" i="5"/>
  <c r="G278" i="5"/>
  <c r="E278" i="5"/>
  <c r="E277" i="5"/>
  <c r="E276" i="5"/>
  <c r="E275" i="5"/>
  <c r="J274" i="5"/>
  <c r="I274" i="5"/>
  <c r="H274" i="5"/>
  <c r="F274" i="5"/>
  <c r="V274" i="5"/>
  <c r="T274" i="5"/>
  <c r="R274" i="5"/>
  <c r="U274" i="5"/>
  <c r="S274" i="5"/>
  <c r="Q274" i="5"/>
  <c r="E274" i="5"/>
  <c r="D274" i="5"/>
  <c r="C274" i="5"/>
  <c r="B274" i="5"/>
  <c r="A274" i="5"/>
  <c r="J273" i="5"/>
  <c r="I273" i="5"/>
  <c r="H273" i="5"/>
  <c r="F273" i="5"/>
  <c r="V273" i="5"/>
  <c r="T273" i="5"/>
  <c r="R273" i="5"/>
  <c r="U273" i="5"/>
  <c r="S273" i="5"/>
  <c r="Q273" i="5"/>
  <c r="E273" i="5"/>
  <c r="D273" i="5"/>
  <c r="C273" i="5"/>
  <c r="B273" i="5"/>
  <c r="A273" i="5"/>
  <c r="J272" i="5"/>
  <c r="I272" i="5"/>
  <c r="H272" i="5"/>
  <c r="G272" i="5"/>
  <c r="F272" i="5"/>
  <c r="J271" i="5"/>
  <c r="I271" i="5"/>
  <c r="H271" i="5"/>
  <c r="G271" i="5"/>
  <c r="F271" i="5"/>
  <c r="J270" i="5"/>
  <c r="I270" i="5"/>
  <c r="H270" i="5"/>
  <c r="G270" i="5"/>
  <c r="F270" i="5"/>
  <c r="J269" i="5"/>
  <c r="I269" i="5"/>
  <c r="H269" i="5"/>
  <c r="G269" i="5"/>
  <c r="F269" i="5"/>
  <c r="C268" i="5"/>
  <c r="V267" i="5"/>
  <c r="J277" i="5" s="1"/>
  <c r="T267" i="5"/>
  <c r="J276" i="5" s="1"/>
  <c r="R267" i="5"/>
  <c r="J275" i="5" s="1"/>
  <c r="U267" i="5"/>
  <c r="S267" i="5"/>
  <c r="Q267" i="5"/>
  <c r="E267" i="5"/>
  <c r="D267" i="5"/>
  <c r="C267" i="5"/>
  <c r="B267" i="5"/>
  <c r="A267" i="5"/>
  <c r="K265" i="5"/>
  <c r="H265" i="5"/>
  <c r="G265" i="5"/>
  <c r="E265" i="5"/>
  <c r="E264" i="5"/>
  <c r="J263" i="5"/>
  <c r="E263" i="5"/>
  <c r="E262" i="5"/>
  <c r="J261" i="5"/>
  <c r="I261" i="5"/>
  <c r="H261" i="5"/>
  <c r="G261" i="5"/>
  <c r="F261" i="5"/>
  <c r="J260" i="5"/>
  <c r="I260" i="5"/>
  <c r="H260" i="5"/>
  <c r="G260" i="5"/>
  <c r="F260" i="5"/>
  <c r="J259" i="5"/>
  <c r="I259" i="5"/>
  <c r="H259" i="5"/>
  <c r="G259" i="5"/>
  <c r="F259" i="5"/>
  <c r="J258" i="5"/>
  <c r="I258" i="5"/>
  <c r="H258" i="5"/>
  <c r="G258" i="5"/>
  <c r="F258" i="5"/>
  <c r="C257" i="5"/>
  <c r="V256" i="5"/>
  <c r="J264" i="5" s="1"/>
  <c r="T256" i="5"/>
  <c r="R256" i="5"/>
  <c r="J262" i="5" s="1"/>
  <c r="U256" i="5"/>
  <c r="S256" i="5"/>
  <c r="Q256" i="5"/>
  <c r="E256" i="5"/>
  <c r="D256" i="5"/>
  <c r="C256" i="5"/>
  <c r="B256" i="5"/>
  <c r="A256" i="5"/>
  <c r="K254" i="5"/>
  <c r="H254" i="5"/>
  <c r="G254" i="5"/>
  <c r="E254" i="5"/>
  <c r="E253" i="5"/>
  <c r="J252" i="5"/>
  <c r="E252" i="5"/>
  <c r="J251" i="5"/>
  <c r="I251" i="5"/>
  <c r="H251" i="5"/>
  <c r="G251" i="5"/>
  <c r="F251" i="5"/>
  <c r="V250" i="5"/>
  <c r="T250" i="5"/>
  <c r="J253" i="5" s="1"/>
  <c r="R250" i="5"/>
  <c r="U250" i="5"/>
  <c r="S250" i="5"/>
  <c r="Q250" i="5"/>
  <c r="E250" i="5"/>
  <c r="D250" i="5"/>
  <c r="C250" i="5"/>
  <c r="B250" i="5"/>
  <c r="A250" i="5"/>
  <c r="A249" i="5"/>
  <c r="A246" i="5"/>
  <c r="K243" i="5"/>
  <c r="H243" i="5"/>
  <c r="G243" i="5"/>
  <c r="E243" i="5"/>
  <c r="E242" i="5"/>
  <c r="E241" i="5"/>
  <c r="E240" i="5"/>
  <c r="J239" i="5"/>
  <c r="I239" i="5"/>
  <c r="H239" i="5"/>
  <c r="F239" i="5"/>
  <c r="V239" i="5"/>
  <c r="T239" i="5"/>
  <c r="R239" i="5"/>
  <c r="U239" i="5"/>
  <c r="S239" i="5"/>
  <c r="Q239" i="5"/>
  <c r="E239" i="5"/>
  <c r="D239" i="5"/>
  <c r="B239" i="5"/>
  <c r="A239" i="5"/>
  <c r="J238" i="5"/>
  <c r="I238" i="5"/>
  <c r="H238" i="5"/>
  <c r="F238" i="5"/>
  <c r="V238" i="5"/>
  <c r="T238" i="5"/>
  <c r="R238" i="5"/>
  <c r="U238" i="5"/>
  <c r="S238" i="5"/>
  <c r="Q238" i="5"/>
  <c r="E238" i="5"/>
  <c r="D238" i="5"/>
  <c r="B238" i="5"/>
  <c r="A238" i="5"/>
  <c r="J237" i="5"/>
  <c r="I237" i="5"/>
  <c r="H237" i="5"/>
  <c r="F237" i="5"/>
  <c r="V237" i="5"/>
  <c r="T237" i="5"/>
  <c r="R237" i="5"/>
  <c r="U237" i="5"/>
  <c r="S237" i="5"/>
  <c r="Q237" i="5"/>
  <c r="E237" i="5"/>
  <c r="D237" i="5"/>
  <c r="B237" i="5"/>
  <c r="A237" i="5"/>
  <c r="J236" i="5"/>
  <c r="I236" i="5"/>
  <c r="H236" i="5"/>
  <c r="F236" i="5"/>
  <c r="V236" i="5"/>
  <c r="T236" i="5"/>
  <c r="R236" i="5"/>
  <c r="U236" i="5"/>
  <c r="S236" i="5"/>
  <c r="Q236" i="5"/>
  <c r="E236" i="5"/>
  <c r="D236" i="5"/>
  <c r="B236" i="5"/>
  <c r="A236" i="5"/>
  <c r="J235" i="5"/>
  <c r="I235" i="5"/>
  <c r="H235" i="5"/>
  <c r="F235" i="5"/>
  <c r="V235" i="5"/>
  <c r="T235" i="5"/>
  <c r="R235" i="5"/>
  <c r="U235" i="5"/>
  <c r="S235" i="5"/>
  <c r="Q235" i="5"/>
  <c r="E235" i="5"/>
  <c r="D235" i="5"/>
  <c r="B235" i="5"/>
  <c r="A235" i="5"/>
  <c r="J234" i="5"/>
  <c r="I234" i="5"/>
  <c r="H234" i="5"/>
  <c r="F234" i="5"/>
  <c r="V234" i="5"/>
  <c r="T234" i="5"/>
  <c r="R234" i="5"/>
  <c r="U234" i="5"/>
  <c r="S234" i="5"/>
  <c r="Q234" i="5"/>
  <c r="E234" i="5"/>
  <c r="D234" i="5"/>
  <c r="C234" i="5"/>
  <c r="B234" i="5"/>
  <c r="A234" i="5"/>
  <c r="J233" i="5"/>
  <c r="I233" i="5"/>
  <c r="H233" i="5"/>
  <c r="F233" i="5"/>
  <c r="V233" i="5"/>
  <c r="T233" i="5"/>
  <c r="R233" i="5"/>
  <c r="U233" i="5"/>
  <c r="S233" i="5"/>
  <c r="Q233" i="5"/>
  <c r="E233" i="5"/>
  <c r="D233" i="5"/>
  <c r="C233" i="5"/>
  <c r="B233" i="5"/>
  <c r="A233" i="5"/>
  <c r="J232" i="5"/>
  <c r="I232" i="5"/>
  <c r="H232" i="5"/>
  <c r="F232" i="5"/>
  <c r="V232" i="5"/>
  <c r="T232" i="5"/>
  <c r="R232" i="5"/>
  <c r="U232" i="5"/>
  <c r="S232" i="5"/>
  <c r="Q232" i="5"/>
  <c r="E232" i="5"/>
  <c r="D232" i="5"/>
  <c r="C232" i="5"/>
  <c r="B232" i="5"/>
  <c r="A232" i="5"/>
  <c r="J231" i="5"/>
  <c r="I231" i="5"/>
  <c r="H231" i="5"/>
  <c r="F231" i="5"/>
  <c r="V231" i="5"/>
  <c r="T231" i="5"/>
  <c r="R231" i="5"/>
  <c r="J240" i="5" s="1"/>
  <c r="I244" i="5" s="1"/>
  <c r="U231" i="5"/>
  <c r="S231" i="5"/>
  <c r="Q231" i="5"/>
  <c r="E231" i="5"/>
  <c r="D231" i="5"/>
  <c r="C231" i="5"/>
  <c r="B231" i="5"/>
  <c r="A231" i="5"/>
  <c r="J230" i="5"/>
  <c r="I230" i="5"/>
  <c r="H230" i="5"/>
  <c r="F230" i="5"/>
  <c r="V230" i="5"/>
  <c r="T230" i="5"/>
  <c r="R230" i="5"/>
  <c r="U230" i="5"/>
  <c r="S230" i="5"/>
  <c r="Q230" i="5"/>
  <c r="E230" i="5"/>
  <c r="D230" i="5"/>
  <c r="C230" i="5"/>
  <c r="B230" i="5"/>
  <c r="A230" i="5"/>
  <c r="J229" i="5"/>
  <c r="I229" i="5"/>
  <c r="H229" i="5"/>
  <c r="F229" i="5"/>
  <c r="V229" i="5"/>
  <c r="T229" i="5"/>
  <c r="R229" i="5"/>
  <c r="U229" i="5"/>
  <c r="S229" i="5"/>
  <c r="Q229" i="5"/>
  <c r="E229" i="5"/>
  <c r="D229" i="5"/>
  <c r="C229" i="5"/>
  <c r="B229" i="5"/>
  <c r="A229" i="5"/>
  <c r="J228" i="5"/>
  <c r="I228" i="5"/>
  <c r="H228" i="5"/>
  <c r="G228" i="5"/>
  <c r="F228" i="5"/>
  <c r="J227" i="5"/>
  <c r="I227" i="5"/>
  <c r="H227" i="5"/>
  <c r="G227" i="5"/>
  <c r="F227" i="5"/>
  <c r="J226" i="5"/>
  <c r="I226" i="5"/>
  <c r="H226" i="5"/>
  <c r="G226" i="5"/>
  <c r="F226" i="5"/>
  <c r="J225" i="5"/>
  <c r="I225" i="5"/>
  <c r="H225" i="5"/>
  <c r="G225" i="5"/>
  <c r="F225" i="5"/>
  <c r="C224" i="5"/>
  <c r="V223" i="5"/>
  <c r="J242" i="5" s="1"/>
  <c r="T223" i="5"/>
  <c r="J241" i="5" s="1"/>
  <c r="R223" i="5"/>
  <c r="U223" i="5"/>
  <c r="S223" i="5"/>
  <c r="Q223" i="5"/>
  <c r="E223" i="5"/>
  <c r="D223" i="5"/>
  <c r="C223" i="5"/>
  <c r="B223" i="5"/>
  <c r="A223" i="5"/>
  <c r="K221" i="5"/>
  <c r="H221" i="5"/>
  <c r="G221" i="5"/>
  <c r="E221" i="5"/>
  <c r="E220" i="5"/>
  <c r="J219" i="5"/>
  <c r="E219" i="5"/>
  <c r="E218" i="5"/>
  <c r="J217" i="5"/>
  <c r="I217" i="5"/>
  <c r="H217" i="5"/>
  <c r="G217" i="5"/>
  <c r="F217" i="5"/>
  <c r="J216" i="5"/>
  <c r="I216" i="5"/>
  <c r="H216" i="5"/>
  <c r="G216" i="5"/>
  <c r="F216" i="5"/>
  <c r="J215" i="5"/>
  <c r="I215" i="5"/>
  <c r="H215" i="5"/>
  <c r="G215" i="5"/>
  <c r="F215" i="5"/>
  <c r="J214" i="5"/>
  <c r="I214" i="5"/>
  <c r="H214" i="5"/>
  <c r="G214" i="5"/>
  <c r="F214" i="5"/>
  <c r="C213" i="5"/>
  <c r="V212" i="5"/>
  <c r="J220" i="5" s="1"/>
  <c r="T212" i="5"/>
  <c r="R212" i="5"/>
  <c r="J218" i="5" s="1"/>
  <c r="U212" i="5"/>
  <c r="S212" i="5"/>
  <c r="Q212" i="5"/>
  <c r="E212" i="5"/>
  <c r="D212" i="5"/>
  <c r="C212" i="5"/>
  <c r="B212" i="5"/>
  <c r="A212" i="5"/>
  <c r="K210" i="5"/>
  <c r="H210" i="5"/>
  <c r="G210" i="5"/>
  <c r="E210" i="5"/>
  <c r="E209" i="5"/>
  <c r="J208" i="5"/>
  <c r="E208" i="5"/>
  <c r="E207" i="5"/>
  <c r="J206" i="5"/>
  <c r="I206" i="5"/>
  <c r="H206" i="5"/>
  <c r="G206" i="5"/>
  <c r="F206" i="5"/>
  <c r="J205" i="5"/>
  <c r="I205" i="5"/>
  <c r="H205" i="5"/>
  <c r="G205" i="5"/>
  <c r="F205" i="5"/>
  <c r="J204" i="5"/>
  <c r="I204" i="5"/>
  <c r="H204" i="5"/>
  <c r="G204" i="5"/>
  <c r="F204" i="5"/>
  <c r="J203" i="5"/>
  <c r="I203" i="5"/>
  <c r="H203" i="5"/>
  <c r="G203" i="5"/>
  <c r="F203" i="5"/>
  <c r="C202" i="5"/>
  <c r="V201" i="5"/>
  <c r="J209" i="5" s="1"/>
  <c r="T201" i="5"/>
  <c r="R201" i="5"/>
  <c r="J207" i="5" s="1"/>
  <c r="U201" i="5"/>
  <c r="S201" i="5"/>
  <c r="Q201" i="5"/>
  <c r="E201" i="5"/>
  <c r="D201" i="5"/>
  <c r="C201" i="5"/>
  <c r="B201" i="5"/>
  <c r="A201" i="5"/>
  <c r="K199" i="5"/>
  <c r="H199" i="5"/>
  <c r="G199" i="5"/>
  <c r="E199" i="5"/>
  <c r="J198" i="5"/>
  <c r="E198" i="5"/>
  <c r="E197" i="5"/>
  <c r="J196" i="5"/>
  <c r="E196" i="5"/>
  <c r="J195" i="5"/>
  <c r="I195" i="5"/>
  <c r="H195" i="5"/>
  <c r="G195" i="5"/>
  <c r="F195" i="5"/>
  <c r="J194" i="5"/>
  <c r="I194" i="5"/>
  <c r="H194" i="5"/>
  <c r="G194" i="5"/>
  <c r="F194" i="5"/>
  <c r="J193" i="5"/>
  <c r="I193" i="5"/>
  <c r="H193" i="5"/>
  <c r="G193" i="5"/>
  <c r="F193" i="5"/>
  <c r="J192" i="5"/>
  <c r="I200" i="5" s="1"/>
  <c r="I192" i="5"/>
  <c r="H192" i="5"/>
  <c r="G192" i="5"/>
  <c r="F192" i="5"/>
  <c r="C191" i="5"/>
  <c r="V190" i="5"/>
  <c r="T190" i="5"/>
  <c r="J197" i="5" s="1"/>
  <c r="R190" i="5"/>
  <c r="U190" i="5"/>
  <c r="S190" i="5"/>
  <c r="Q190" i="5"/>
  <c r="E190" i="5"/>
  <c r="D190" i="5"/>
  <c r="C190" i="5"/>
  <c r="B190" i="5"/>
  <c r="A190" i="5"/>
  <c r="K188" i="5"/>
  <c r="H188" i="5"/>
  <c r="G188" i="5"/>
  <c r="E188" i="5"/>
  <c r="E187" i="5"/>
  <c r="E186" i="5"/>
  <c r="J185" i="5"/>
  <c r="E185" i="5"/>
  <c r="J184" i="5"/>
  <c r="I184" i="5"/>
  <c r="H184" i="5"/>
  <c r="G184" i="5"/>
  <c r="F184" i="5"/>
  <c r="J183" i="5"/>
  <c r="I183" i="5"/>
  <c r="H183" i="5"/>
  <c r="G183" i="5"/>
  <c r="F183" i="5"/>
  <c r="J182" i="5"/>
  <c r="I182" i="5"/>
  <c r="H182" i="5"/>
  <c r="G182" i="5"/>
  <c r="F182" i="5"/>
  <c r="J181" i="5"/>
  <c r="I181" i="5"/>
  <c r="H181" i="5"/>
  <c r="G181" i="5"/>
  <c r="F181" i="5"/>
  <c r="C180" i="5"/>
  <c r="V179" i="5"/>
  <c r="J187" i="5" s="1"/>
  <c r="T179" i="5"/>
  <c r="J186" i="5" s="1"/>
  <c r="I189" i="5" s="1"/>
  <c r="R179" i="5"/>
  <c r="U179" i="5"/>
  <c r="S179" i="5"/>
  <c r="Q179" i="5"/>
  <c r="E179" i="5"/>
  <c r="D179" i="5"/>
  <c r="C179" i="5"/>
  <c r="B179" i="5"/>
  <c r="A179" i="5"/>
  <c r="K177" i="5"/>
  <c r="H177" i="5"/>
  <c r="G177" i="5"/>
  <c r="E177" i="5"/>
  <c r="E176" i="5"/>
  <c r="J175" i="5"/>
  <c r="E175" i="5"/>
  <c r="E174" i="5"/>
  <c r="J173" i="5"/>
  <c r="I173" i="5"/>
  <c r="H173" i="5"/>
  <c r="F173" i="5"/>
  <c r="V173" i="5"/>
  <c r="T173" i="5"/>
  <c r="R173" i="5"/>
  <c r="U173" i="5"/>
  <c r="S173" i="5"/>
  <c r="Q173" i="5"/>
  <c r="E173" i="5"/>
  <c r="D173" i="5"/>
  <c r="C173" i="5"/>
  <c r="B173" i="5"/>
  <c r="A173" i="5"/>
  <c r="J172" i="5"/>
  <c r="I172" i="5"/>
  <c r="H172" i="5"/>
  <c r="F172" i="5"/>
  <c r="V172" i="5"/>
  <c r="T172" i="5"/>
  <c r="R172" i="5"/>
  <c r="U172" i="5"/>
  <c r="S172" i="5"/>
  <c r="Q172" i="5"/>
  <c r="E172" i="5"/>
  <c r="D172" i="5"/>
  <c r="C172" i="5"/>
  <c r="B172" i="5"/>
  <c r="A172" i="5"/>
  <c r="J171" i="5"/>
  <c r="I171" i="5"/>
  <c r="H171" i="5"/>
  <c r="G171" i="5"/>
  <c r="F171" i="5"/>
  <c r="J170" i="5"/>
  <c r="I170" i="5"/>
  <c r="H170" i="5"/>
  <c r="G170" i="5"/>
  <c r="F170" i="5"/>
  <c r="J169" i="5"/>
  <c r="I169" i="5"/>
  <c r="H169" i="5"/>
  <c r="G169" i="5"/>
  <c r="F169" i="5"/>
  <c r="J168" i="5"/>
  <c r="I168" i="5"/>
  <c r="H168" i="5"/>
  <c r="G168" i="5"/>
  <c r="F168" i="5"/>
  <c r="C167" i="5"/>
  <c r="V166" i="5"/>
  <c r="T166" i="5"/>
  <c r="R166" i="5"/>
  <c r="J174" i="5" s="1"/>
  <c r="U166" i="5"/>
  <c r="S166" i="5"/>
  <c r="Q166" i="5"/>
  <c r="E166" i="5"/>
  <c r="D166" i="5"/>
  <c r="C166" i="5"/>
  <c r="B166" i="5"/>
  <c r="A166" i="5"/>
  <c r="K164" i="5"/>
  <c r="H164" i="5"/>
  <c r="G164" i="5"/>
  <c r="E164" i="5"/>
  <c r="E163" i="5"/>
  <c r="E162" i="5"/>
  <c r="J161" i="5"/>
  <c r="E161" i="5"/>
  <c r="J160" i="5"/>
  <c r="I160" i="5"/>
  <c r="H160" i="5"/>
  <c r="G160" i="5"/>
  <c r="F160" i="5"/>
  <c r="J159" i="5"/>
  <c r="I159" i="5"/>
  <c r="H159" i="5"/>
  <c r="G159" i="5"/>
  <c r="F159" i="5"/>
  <c r="J158" i="5"/>
  <c r="I165" i="5" s="1"/>
  <c r="I158" i="5"/>
  <c r="H158" i="5"/>
  <c r="G158" i="5"/>
  <c r="F158" i="5"/>
  <c r="J157" i="5"/>
  <c r="I157" i="5"/>
  <c r="H157" i="5"/>
  <c r="G157" i="5"/>
  <c r="F157" i="5"/>
  <c r="C156" i="5"/>
  <c r="V155" i="5"/>
  <c r="J163" i="5" s="1"/>
  <c r="T155" i="5"/>
  <c r="J162" i="5" s="1"/>
  <c r="R155" i="5"/>
  <c r="U155" i="5"/>
  <c r="S155" i="5"/>
  <c r="Q155" i="5"/>
  <c r="E155" i="5"/>
  <c r="D155" i="5"/>
  <c r="C155" i="5"/>
  <c r="B155" i="5"/>
  <c r="A155" i="5"/>
  <c r="K153" i="5"/>
  <c r="H153" i="5"/>
  <c r="G153" i="5"/>
  <c r="E153" i="5"/>
  <c r="E152" i="5"/>
  <c r="E151" i="5"/>
  <c r="J150" i="5"/>
  <c r="I150" i="5"/>
  <c r="H150" i="5"/>
  <c r="G150" i="5"/>
  <c r="F150" i="5"/>
  <c r="V149" i="5"/>
  <c r="T149" i="5"/>
  <c r="J152" i="5" s="1"/>
  <c r="R149" i="5"/>
  <c r="J151" i="5" s="1"/>
  <c r="I154" i="5" s="1"/>
  <c r="U149" i="5"/>
  <c r="S149" i="5"/>
  <c r="Q149" i="5"/>
  <c r="E149" i="5"/>
  <c r="D149" i="5"/>
  <c r="C149" i="5"/>
  <c r="B149" i="5"/>
  <c r="A149" i="5"/>
  <c r="A148" i="5"/>
  <c r="I146" i="5"/>
  <c r="C146" i="5"/>
  <c r="I145" i="5"/>
  <c r="C145" i="5"/>
  <c r="I144" i="5"/>
  <c r="C144" i="5"/>
  <c r="A142" i="5"/>
  <c r="K139" i="5"/>
  <c r="H139" i="5"/>
  <c r="G139" i="5"/>
  <c r="E139" i="5"/>
  <c r="E138" i="5"/>
  <c r="E137" i="5"/>
  <c r="E136" i="5"/>
  <c r="J135" i="5"/>
  <c r="I135" i="5"/>
  <c r="H135" i="5"/>
  <c r="F135" i="5"/>
  <c r="V135" i="5"/>
  <c r="T135" i="5"/>
  <c r="R135" i="5"/>
  <c r="U135" i="5"/>
  <c r="S135" i="5"/>
  <c r="Q135" i="5"/>
  <c r="E135" i="5"/>
  <c r="D135" i="5"/>
  <c r="B135" i="5"/>
  <c r="A135" i="5"/>
  <c r="J134" i="5"/>
  <c r="I134" i="5"/>
  <c r="H134" i="5"/>
  <c r="F134" i="5"/>
  <c r="V134" i="5"/>
  <c r="T134" i="5"/>
  <c r="R134" i="5"/>
  <c r="U134" i="5"/>
  <c r="S134" i="5"/>
  <c r="Q134" i="5"/>
  <c r="E134" i="5"/>
  <c r="D134" i="5"/>
  <c r="B134" i="5"/>
  <c r="A134" i="5"/>
  <c r="J133" i="5"/>
  <c r="I133" i="5"/>
  <c r="H133" i="5"/>
  <c r="F133" i="5"/>
  <c r="V133" i="5"/>
  <c r="T133" i="5"/>
  <c r="R133" i="5"/>
  <c r="U133" i="5"/>
  <c r="S133" i="5"/>
  <c r="Q133" i="5"/>
  <c r="E133" i="5"/>
  <c r="D133" i="5"/>
  <c r="B133" i="5"/>
  <c r="A133" i="5"/>
  <c r="J132" i="5"/>
  <c r="I132" i="5"/>
  <c r="H132" i="5"/>
  <c r="F132" i="5"/>
  <c r="V132" i="5"/>
  <c r="T132" i="5"/>
  <c r="R132" i="5"/>
  <c r="U132" i="5"/>
  <c r="S132" i="5"/>
  <c r="Q132" i="5"/>
  <c r="E132" i="5"/>
  <c r="D132" i="5"/>
  <c r="B132" i="5"/>
  <c r="A132" i="5"/>
  <c r="J131" i="5"/>
  <c r="I131" i="5"/>
  <c r="H131" i="5"/>
  <c r="F131" i="5"/>
  <c r="V131" i="5"/>
  <c r="T131" i="5"/>
  <c r="R131" i="5"/>
  <c r="U131" i="5"/>
  <c r="S131" i="5"/>
  <c r="Q131" i="5"/>
  <c r="E131" i="5"/>
  <c r="D131" i="5"/>
  <c r="C131" i="5"/>
  <c r="B131" i="5"/>
  <c r="A131" i="5"/>
  <c r="J130" i="5"/>
  <c r="I130" i="5"/>
  <c r="H130" i="5"/>
  <c r="F130" i="5"/>
  <c r="V130" i="5"/>
  <c r="T130" i="5"/>
  <c r="R130" i="5"/>
  <c r="U130" i="5"/>
  <c r="S130" i="5"/>
  <c r="Q130" i="5"/>
  <c r="E130" i="5"/>
  <c r="D130" i="5"/>
  <c r="C130" i="5"/>
  <c r="B130" i="5"/>
  <c r="A130" i="5"/>
  <c r="J129" i="5"/>
  <c r="I129" i="5"/>
  <c r="H129" i="5"/>
  <c r="F129" i="5"/>
  <c r="V129" i="5"/>
  <c r="T129" i="5"/>
  <c r="R129" i="5"/>
  <c r="U129" i="5"/>
  <c r="S129" i="5"/>
  <c r="Q129" i="5"/>
  <c r="E129" i="5"/>
  <c r="D129" i="5"/>
  <c r="C129" i="5"/>
  <c r="B129" i="5"/>
  <c r="A129" i="5"/>
  <c r="J128" i="5"/>
  <c r="I128" i="5"/>
  <c r="H128" i="5"/>
  <c r="F128" i="5"/>
  <c r="V128" i="5"/>
  <c r="T128" i="5"/>
  <c r="R128" i="5"/>
  <c r="U128" i="5"/>
  <c r="S128" i="5"/>
  <c r="Q128" i="5"/>
  <c r="E128" i="5"/>
  <c r="D128" i="5"/>
  <c r="C128" i="5"/>
  <c r="B128" i="5"/>
  <c r="A128" i="5"/>
  <c r="J127" i="5"/>
  <c r="I127" i="5"/>
  <c r="H127" i="5"/>
  <c r="F127" i="5"/>
  <c r="V127" i="5"/>
  <c r="T127" i="5"/>
  <c r="J137" i="5" s="1"/>
  <c r="R127" i="5"/>
  <c r="U127" i="5"/>
  <c r="S127" i="5"/>
  <c r="Q127" i="5"/>
  <c r="E127" i="5"/>
  <c r="D127" i="5"/>
  <c r="C127" i="5"/>
  <c r="B127" i="5"/>
  <c r="A127" i="5"/>
  <c r="J126" i="5"/>
  <c r="I126" i="5"/>
  <c r="H126" i="5"/>
  <c r="F126" i="5"/>
  <c r="V126" i="5"/>
  <c r="T126" i="5"/>
  <c r="R126" i="5"/>
  <c r="U126" i="5"/>
  <c r="S126" i="5"/>
  <c r="Q126" i="5"/>
  <c r="E126" i="5"/>
  <c r="D126" i="5"/>
  <c r="C126" i="5"/>
  <c r="B126" i="5"/>
  <c r="A126" i="5"/>
  <c r="J125" i="5"/>
  <c r="I125" i="5"/>
  <c r="H125" i="5"/>
  <c r="G125" i="5"/>
  <c r="F125" i="5"/>
  <c r="J124" i="5"/>
  <c r="I124" i="5"/>
  <c r="H124" i="5"/>
  <c r="G124" i="5"/>
  <c r="F124" i="5"/>
  <c r="J123" i="5"/>
  <c r="I123" i="5"/>
  <c r="H123" i="5"/>
  <c r="G123" i="5"/>
  <c r="F123" i="5"/>
  <c r="J122" i="5"/>
  <c r="I122" i="5"/>
  <c r="H122" i="5"/>
  <c r="G122" i="5"/>
  <c r="F122" i="5"/>
  <c r="C121" i="5"/>
  <c r="V120" i="5"/>
  <c r="T120" i="5"/>
  <c r="R120" i="5"/>
  <c r="J136" i="5" s="1"/>
  <c r="U120" i="5"/>
  <c r="S120" i="5"/>
  <c r="Q120" i="5"/>
  <c r="E120" i="5"/>
  <c r="D120" i="5"/>
  <c r="C120" i="5"/>
  <c r="B120" i="5"/>
  <c r="A120" i="5"/>
  <c r="K118" i="5"/>
  <c r="H118" i="5"/>
  <c r="G118" i="5"/>
  <c r="E118" i="5"/>
  <c r="E117" i="5"/>
  <c r="E116" i="5"/>
  <c r="J115" i="5"/>
  <c r="E115" i="5"/>
  <c r="J114" i="5"/>
  <c r="I114" i="5"/>
  <c r="H114" i="5"/>
  <c r="G114" i="5"/>
  <c r="F114" i="5"/>
  <c r="J113" i="5"/>
  <c r="I113" i="5"/>
  <c r="H113" i="5"/>
  <c r="G113" i="5"/>
  <c r="F113" i="5"/>
  <c r="J112" i="5"/>
  <c r="I119" i="5" s="1"/>
  <c r="I112" i="5"/>
  <c r="H112" i="5"/>
  <c r="G112" i="5"/>
  <c r="F112" i="5"/>
  <c r="J111" i="5"/>
  <c r="I111" i="5"/>
  <c r="H111" i="5"/>
  <c r="G111" i="5"/>
  <c r="F111" i="5"/>
  <c r="C110" i="5"/>
  <c r="V109" i="5"/>
  <c r="J117" i="5" s="1"/>
  <c r="T109" i="5"/>
  <c r="J116" i="5" s="1"/>
  <c r="R109" i="5"/>
  <c r="U109" i="5"/>
  <c r="S109" i="5"/>
  <c r="Q109" i="5"/>
  <c r="E109" i="5"/>
  <c r="D109" i="5"/>
  <c r="C109" i="5"/>
  <c r="B109" i="5"/>
  <c r="A109" i="5"/>
  <c r="K107" i="5"/>
  <c r="H107" i="5"/>
  <c r="G107" i="5"/>
  <c r="E107" i="5"/>
  <c r="E106" i="5"/>
  <c r="J105" i="5"/>
  <c r="E105" i="5"/>
  <c r="E104" i="5"/>
  <c r="J103" i="5"/>
  <c r="I103" i="5"/>
  <c r="H103" i="5"/>
  <c r="G103" i="5"/>
  <c r="F103" i="5"/>
  <c r="J102" i="5"/>
  <c r="I102" i="5"/>
  <c r="H102" i="5"/>
  <c r="G102" i="5"/>
  <c r="F102" i="5"/>
  <c r="J101" i="5"/>
  <c r="I101" i="5"/>
  <c r="H101" i="5"/>
  <c r="G101" i="5"/>
  <c r="F101" i="5"/>
  <c r="J100" i="5"/>
  <c r="I100" i="5"/>
  <c r="H100" i="5"/>
  <c r="G100" i="5"/>
  <c r="F100" i="5"/>
  <c r="C99" i="5"/>
  <c r="V98" i="5"/>
  <c r="J106" i="5" s="1"/>
  <c r="T98" i="5"/>
  <c r="R98" i="5"/>
  <c r="J104" i="5" s="1"/>
  <c r="I108" i="5" s="1"/>
  <c r="U98" i="5"/>
  <c r="S98" i="5"/>
  <c r="Q98" i="5"/>
  <c r="E98" i="5"/>
  <c r="D98" i="5"/>
  <c r="C98" i="5"/>
  <c r="B98" i="5"/>
  <c r="A98" i="5"/>
  <c r="K96" i="5"/>
  <c r="H96" i="5"/>
  <c r="G96" i="5"/>
  <c r="E96" i="5"/>
  <c r="E95" i="5"/>
  <c r="J94" i="5"/>
  <c r="E94" i="5"/>
  <c r="E93" i="5"/>
  <c r="J92" i="5"/>
  <c r="I92" i="5"/>
  <c r="H92" i="5"/>
  <c r="G92" i="5"/>
  <c r="F92" i="5"/>
  <c r="J91" i="5"/>
  <c r="I91" i="5"/>
  <c r="H91" i="5"/>
  <c r="G91" i="5"/>
  <c r="F91" i="5"/>
  <c r="J90" i="5"/>
  <c r="I90" i="5"/>
  <c r="H90" i="5"/>
  <c r="G90" i="5"/>
  <c r="F90" i="5"/>
  <c r="J89" i="5"/>
  <c r="I89" i="5"/>
  <c r="H89" i="5"/>
  <c r="G89" i="5"/>
  <c r="F89" i="5"/>
  <c r="C88" i="5"/>
  <c r="V87" i="5"/>
  <c r="J95" i="5" s="1"/>
  <c r="T87" i="5"/>
  <c r="R87" i="5"/>
  <c r="J93" i="5" s="1"/>
  <c r="U87" i="5"/>
  <c r="S87" i="5"/>
  <c r="Q87" i="5"/>
  <c r="E87" i="5"/>
  <c r="D87" i="5"/>
  <c r="C87" i="5"/>
  <c r="B87" i="5"/>
  <c r="A87" i="5"/>
  <c r="K85" i="5"/>
  <c r="H85" i="5"/>
  <c r="G85" i="5"/>
  <c r="E85" i="5"/>
  <c r="J84" i="5"/>
  <c r="E84" i="5"/>
  <c r="E83" i="5"/>
  <c r="E82" i="5"/>
  <c r="J81" i="5"/>
  <c r="I81" i="5"/>
  <c r="H81" i="5"/>
  <c r="G81" i="5"/>
  <c r="F81" i="5"/>
  <c r="J80" i="5"/>
  <c r="I80" i="5"/>
  <c r="H80" i="5"/>
  <c r="G80" i="5"/>
  <c r="F80" i="5"/>
  <c r="J79" i="5"/>
  <c r="I79" i="5"/>
  <c r="H79" i="5"/>
  <c r="G79" i="5"/>
  <c r="F79" i="5"/>
  <c r="J78" i="5"/>
  <c r="I78" i="5"/>
  <c r="H78" i="5"/>
  <c r="G78" i="5"/>
  <c r="F78" i="5"/>
  <c r="C77" i="5"/>
  <c r="V76" i="5"/>
  <c r="T76" i="5"/>
  <c r="J83" i="5" s="1"/>
  <c r="R76" i="5"/>
  <c r="J82" i="5" s="1"/>
  <c r="U76" i="5"/>
  <c r="S76" i="5"/>
  <c r="Q76" i="5"/>
  <c r="E76" i="5"/>
  <c r="D76" i="5"/>
  <c r="C76" i="5"/>
  <c r="B76" i="5"/>
  <c r="A76" i="5"/>
  <c r="K74" i="5"/>
  <c r="H74" i="5"/>
  <c r="G74" i="5"/>
  <c r="E74" i="5"/>
  <c r="J73" i="5"/>
  <c r="E73" i="5"/>
  <c r="E72" i="5"/>
  <c r="E71" i="5"/>
  <c r="J70" i="5"/>
  <c r="I70" i="5"/>
  <c r="H70" i="5"/>
  <c r="F70" i="5"/>
  <c r="V70" i="5"/>
  <c r="T70" i="5"/>
  <c r="R70" i="5"/>
  <c r="U70" i="5"/>
  <c r="S70" i="5"/>
  <c r="Q70" i="5"/>
  <c r="E70" i="5"/>
  <c r="D70" i="5"/>
  <c r="C70" i="5"/>
  <c r="B70" i="5"/>
  <c r="A70" i="5"/>
  <c r="J69" i="5"/>
  <c r="I69" i="5"/>
  <c r="H69" i="5"/>
  <c r="F69" i="5"/>
  <c r="V69" i="5"/>
  <c r="T69" i="5"/>
  <c r="R69" i="5"/>
  <c r="U69" i="5"/>
  <c r="S69" i="5"/>
  <c r="Q69" i="5"/>
  <c r="E69" i="5"/>
  <c r="D69" i="5"/>
  <c r="C69" i="5"/>
  <c r="B69" i="5"/>
  <c r="A69" i="5"/>
  <c r="J68" i="5"/>
  <c r="I68" i="5"/>
  <c r="H68" i="5"/>
  <c r="G68" i="5"/>
  <c r="F68" i="5"/>
  <c r="J67" i="5"/>
  <c r="I67" i="5"/>
  <c r="H67" i="5"/>
  <c r="G67" i="5"/>
  <c r="F67" i="5"/>
  <c r="J66" i="5"/>
  <c r="I66" i="5"/>
  <c r="H66" i="5"/>
  <c r="G66" i="5"/>
  <c r="F66" i="5"/>
  <c r="J65" i="5"/>
  <c r="I65" i="5"/>
  <c r="H65" i="5"/>
  <c r="G65" i="5"/>
  <c r="F65" i="5"/>
  <c r="C64" i="5"/>
  <c r="V63" i="5"/>
  <c r="T63" i="5"/>
  <c r="R63" i="5"/>
  <c r="J71" i="5" s="1"/>
  <c r="U63" i="5"/>
  <c r="S63" i="5"/>
  <c r="Q63" i="5"/>
  <c r="E63" i="5"/>
  <c r="D63" i="5"/>
  <c r="C63" i="5"/>
  <c r="B63" i="5"/>
  <c r="A63" i="5"/>
  <c r="K61" i="5"/>
  <c r="H61" i="5"/>
  <c r="G61" i="5"/>
  <c r="E61" i="5"/>
  <c r="J60" i="5"/>
  <c r="E60" i="5"/>
  <c r="E59" i="5"/>
  <c r="J58" i="5"/>
  <c r="E58" i="5"/>
  <c r="J57" i="5"/>
  <c r="I57" i="5"/>
  <c r="H57" i="5"/>
  <c r="G57" i="5"/>
  <c r="F57" i="5"/>
  <c r="J56" i="5"/>
  <c r="I56" i="5"/>
  <c r="H56" i="5"/>
  <c r="G56" i="5"/>
  <c r="F56" i="5"/>
  <c r="J55" i="5"/>
  <c r="I55" i="5"/>
  <c r="H55" i="5"/>
  <c r="G55" i="5"/>
  <c r="F55" i="5"/>
  <c r="J54" i="5"/>
  <c r="I54" i="5"/>
  <c r="H54" i="5"/>
  <c r="G54" i="5"/>
  <c r="F54" i="5"/>
  <c r="C53" i="5"/>
  <c r="V52" i="5"/>
  <c r="T52" i="5"/>
  <c r="J59" i="5" s="1"/>
  <c r="R52" i="5"/>
  <c r="U52" i="5"/>
  <c r="S52" i="5"/>
  <c r="Q52" i="5"/>
  <c r="E52" i="5"/>
  <c r="D52" i="5"/>
  <c r="C52" i="5"/>
  <c r="B52" i="5"/>
  <c r="A52" i="5"/>
  <c r="K50" i="5"/>
  <c r="H50" i="5"/>
  <c r="G50" i="5"/>
  <c r="E50" i="5"/>
  <c r="J49" i="5"/>
  <c r="E49" i="5"/>
  <c r="E48" i="5"/>
  <c r="J47" i="5"/>
  <c r="I51" i="5" s="1"/>
  <c r="I47" i="5"/>
  <c r="H47" i="5"/>
  <c r="G47" i="5"/>
  <c r="F47" i="5"/>
  <c r="V46" i="5"/>
  <c r="T46" i="5"/>
  <c r="R46" i="5"/>
  <c r="J48" i="5" s="1"/>
  <c r="U46" i="5"/>
  <c r="S46" i="5"/>
  <c r="Q46" i="5"/>
  <c r="E46" i="5"/>
  <c r="D46" i="5"/>
  <c r="C46" i="5"/>
  <c r="B46" i="5"/>
  <c r="A46" i="5"/>
  <c r="K44" i="5"/>
  <c r="H44" i="5"/>
  <c r="G44" i="5"/>
  <c r="E44" i="5"/>
  <c r="E43" i="5"/>
  <c r="E42" i="5"/>
  <c r="J41" i="5"/>
  <c r="E41" i="5"/>
  <c r="J40" i="5"/>
  <c r="I40" i="5"/>
  <c r="H40" i="5"/>
  <c r="G40" i="5"/>
  <c r="F40" i="5"/>
  <c r="J39" i="5"/>
  <c r="I39" i="5"/>
  <c r="H39" i="5"/>
  <c r="G39" i="5"/>
  <c r="F39" i="5"/>
  <c r="J38" i="5"/>
  <c r="I38" i="5"/>
  <c r="H38" i="5"/>
  <c r="G38" i="5"/>
  <c r="F38" i="5"/>
  <c r="V37" i="5"/>
  <c r="J43" i="5" s="1"/>
  <c r="T37" i="5"/>
  <c r="J42" i="5" s="1"/>
  <c r="R37" i="5"/>
  <c r="U37" i="5"/>
  <c r="S37" i="5"/>
  <c r="Q37" i="5"/>
  <c r="E37" i="5"/>
  <c r="D37" i="5"/>
  <c r="C37" i="5"/>
  <c r="B37" i="5"/>
  <c r="A37" i="5"/>
  <c r="A36" i="5"/>
  <c r="A34" i="5"/>
  <c r="A32" i="5"/>
  <c r="A18" i="5"/>
  <c r="A15" i="5"/>
  <c r="A10" i="5"/>
  <c r="G6" i="5"/>
  <c r="B6" i="5"/>
  <c r="A1" i="5"/>
  <c r="H55" i="7" l="1"/>
  <c r="O9" i="8"/>
  <c r="H16" i="7" s="1"/>
  <c r="M9" i="8"/>
  <c r="F16" i="7" s="1"/>
  <c r="H30" i="7"/>
  <c r="F68" i="7"/>
  <c r="O44" i="8"/>
  <c r="H41" i="7" s="1"/>
  <c r="T44" i="8"/>
  <c r="O46" i="8"/>
  <c r="H43" i="7" s="1"/>
  <c r="T46" i="8"/>
  <c r="O59" i="8"/>
  <c r="H62" i="7" s="1"/>
  <c r="T59" i="8"/>
  <c r="M17" i="8"/>
  <c r="F13" i="7" s="1"/>
  <c r="R20" i="8"/>
  <c r="M22" i="8"/>
  <c r="F39" i="7" s="1"/>
  <c r="M34" i="8"/>
  <c r="F35" i="7" s="1"/>
  <c r="R37" i="8"/>
  <c r="M38" i="8"/>
  <c r="F12" i="7" s="1"/>
  <c r="E25" i="7" s="1"/>
  <c r="R41" i="8"/>
  <c r="M42" i="8"/>
  <c r="F17" i="7" s="1"/>
  <c r="M49" i="8"/>
  <c r="F64" i="7" s="1"/>
  <c r="R56" i="8"/>
  <c r="R65" i="8"/>
  <c r="M66" i="8"/>
  <c r="F66" i="7" s="1"/>
  <c r="R69" i="8"/>
  <c r="R9" i="8"/>
  <c r="M10" i="8"/>
  <c r="F15" i="7" s="1"/>
  <c r="M23" i="8"/>
  <c r="F29" i="7" s="1"/>
  <c r="M44" i="8"/>
  <c r="F41" i="7" s="1"/>
  <c r="M46" i="8"/>
  <c r="F43" i="7" s="1"/>
  <c r="M47" i="8"/>
  <c r="F44" i="7" s="1"/>
  <c r="R49" i="8"/>
  <c r="M50" i="8"/>
  <c r="F61" i="7" s="1"/>
  <c r="T52" i="8"/>
  <c r="O53" i="8"/>
  <c r="H54" i="7" s="1"/>
  <c r="R53" i="8"/>
  <c r="M54" i="8"/>
  <c r="F53" i="7" s="1"/>
  <c r="T61" i="8"/>
  <c r="O62" i="8"/>
  <c r="R62" i="8"/>
  <c r="M63" i="8"/>
  <c r="F69" i="7" s="1"/>
  <c r="R70" i="8"/>
  <c r="G97" i="7"/>
  <c r="O98" i="8"/>
  <c r="H97" i="7" s="1"/>
  <c r="R122" i="8"/>
  <c r="T125" i="8"/>
  <c r="R125" i="8"/>
  <c r="G167" i="7"/>
  <c r="O179" i="8"/>
  <c r="H167" i="7" s="1"/>
  <c r="G183" i="7"/>
  <c r="O205" i="8"/>
  <c r="H183" i="7" s="1"/>
  <c r="O218" i="8"/>
  <c r="H198" i="7" s="1"/>
  <c r="M218" i="8"/>
  <c r="F198" i="7" s="1"/>
  <c r="G221" i="7"/>
  <c r="O238" i="8"/>
  <c r="H221" i="7" s="1"/>
  <c r="O242" i="8"/>
  <c r="H227" i="7" s="1"/>
  <c r="M242" i="8"/>
  <c r="F227" i="7" s="1"/>
  <c r="G28" i="7"/>
  <c r="O45" i="8"/>
  <c r="H42" i="7" s="1"/>
  <c r="T45" i="8"/>
  <c r="O47" i="8"/>
  <c r="H44" i="7" s="1"/>
  <c r="T47" i="8"/>
  <c r="R12" i="8"/>
  <c r="M13" i="8"/>
  <c r="F23" i="7" s="1"/>
  <c r="R16" i="8"/>
  <c r="H35" i="7"/>
  <c r="G45" i="7" s="1"/>
  <c r="R25" i="8"/>
  <c r="M26" i="8"/>
  <c r="R29" i="8"/>
  <c r="M30" i="8"/>
  <c r="F24" i="7" s="1"/>
  <c r="H12" i="7"/>
  <c r="G25" i="7" s="1"/>
  <c r="R33" i="8"/>
  <c r="M57" i="8"/>
  <c r="F55" i="7" s="1"/>
  <c r="D30" i="7"/>
  <c r="R13" i="8"/>
  <c r="M14" i="8"/>
  <c r="F22" i="7" s="1"/>
  <c r="R17" i="8"/>
  <c r="M18" i="8"/>
  <c r="F30" i="7" s="1"/>
  <c r="R22" i="8"/>
  <c r="R26" i="8"/>
  <c r="M27" i="8"/>
  <c r="F33" i="7" s="1"/>
  <c r="R30" i="8"/>
  <c r="M31" i="8"/>
  <c r="F18" i="7" s="1"/>
  <c r="R34" i="8"/>
  <c r="M35" i="8"/>
  <c r="R38" i="8"/>
  <c r="M39" i="8"/>
  <c r="F40" i="7" s="1"/>
  <c r="R42" i="8"/>
  <c r="M43" i="8"/>
  <c r="F37" i="7" s="1"/>
  <c r="M45" i="8"/>
  <c r="F42" i="7" s="1"/>
  <c r="R57" i="8"/>
  <c r="M58" i="8"/>
  <c r="F54" i="7" s="1"/>
  <c r="M59" i="8"/>
  <c r="F62" i="7" s="1"/>
  <c r="R66" i="8"/>
  <c r="M67" i="8"/>
  <c r="F65" i="7" s="1"/>
  <c r="D35" i="7"/>
  <c r="D12" i="7"/>
  <c r="H48" i="7"/>
  <c r="R71" i="8"/>
  <c r="M72" i="8"/>
  <c r="R75" i="8"/>
  <c r="M76" i="8"/>
  <c r="F48" i="7" s="1"/>
  <c r="E59" i="7" s="1"/>
  <c r="R79" i="8"/>
  <c r="M80" i="8"/>
  <c r="F51" i="7" s="1"/>
  <c r="G76" i="7"/>
  <c r="O83" i="8"/>
  <c r="H76" i="7" s="1"/>
  <c r="G78" i="7"/>
  <c r="O85" i="8"/>
  <c r="H78" i="7" s="1"/>
  <c r="R89" i="8"/>
  <c r="R93" i="8"/>
  <c r="R97" i="8"/>
  <c r="O100" i="8"/>
  <c r="H98" i="7" s="1"/>
  <c r="O104" i="8"/>
  <c r="H102" i="7" s="1"/>
  <c r="T107" i="8"/>
  <c r="R107" i="8"/>
  <c r="R110" i="8"/>
  <c r="O112" i="8"/>
  <c r="H103" i="7" s="1"/>
  <c r="M112" i="8"/>
  <c r="T115" i="8"/>
  <c r="R115" i="8"/>
  <c r="R118" i="8"/>
  <c r="O120" i="8"/>
  <c r="H106" i="7" s="1"/>
  <c r="M120" i="8"/>
  <c r="F106" i="7" s="1"/>
  <c r="E111" i="7"/>
  <c r="M122" i="8"/>
  <c r="F111" i="7" s="1"/>
  <c r="M125" i="8"/>
  <c r="F132" i="7" s="1"/>
  <c r="O129" i="8"/>
  <c r="H122" i="7" s="1"/>
  <c r="M129" i="8"/>
  <c r="O133" i="8"/>
  <c r="M133" i="8"/>
  <c r="T137" i="8"/>
  <c r="R137" i="8"/>
  <c r="F135" i="7"/>
  <c r="T141" i="8"/>
  <c r="R141" i="8"/>
  <c r="H126" i="7"/>
  <c r="T145" i="8"/>
  <c r="R145" i="8"/>
  <c r="T149" i="8"/>
  <c r="R149" i="8"/>
  <c r="T153" i="8"/>
  <c r="R153" i="8"/>
  <c r="T157" i="8"/>
  <c r="R157" i="8"/>
  <c r="H161" i="7"/>
  <c r="T163" i="8"/>
  <c r="R163" i="8"/>
  <c r="T167" i="8"/>
  <c r="R167" i="8"/>
  <c r="T171" i="8"/>
  <c r="R171" i="8"/>
  <c r="T175" i="8"/>
  <c r="R175" i="8"/>
  <c r="T180" i="8"/>
  <c r="R180" i="8"/>
  <c r="T184" i="8"/>
  <c r="R184" i="8"/>
  <c r="T199" i="8"/>
  <c r="R199" i="8"/>
  <c r="D180" i="7"/>
  <c r="R202" i="8"/>
  <c r="M202" i="8"/>
  <c r="F180" i="7" s="1"/>
  <c r="O202" i="8"/>
  <c r="H180" i="7" s="1"/>
  <c r="T202" i="8"/>
  <c r="T210" i="8"/>
  <c r="R210" i="8"/>
  <c r="O215" i="8"/>
  <c r="M215" i="8"/>
  <c r="E206" i="7"/>
  <c r="M227" i="8"/>
  <c r="F206" i="7" s="1"/>
  <c r="G223" i="7"/>
  <c r="O240" i="8"/>
  <c r="H223" i="7" s="1"/>
  <c r="R72" i="8"/>
  <c r="M73" i="8"/>
  <c r="R76" i="8"/>
  <c r="M77" i="8"/>
  <c r="F74" i="7" s="1"/>
  <c r="R80" i="8"/>
  <c r="M81" i="8"/>
  <c r="F71" i="7" s="1"/>
  <c r="M82" i="8"/>
  <c r="F75" i="7" s="1"/>
  <c r="T82" i="8"/>
  <c r="M84" i="8"/>
  <c r="F77" i="7" s="1"/>
  <c r="M86" i="8"/>
  <c r="F79" i="7" s="1"/>
  <c r="D89" i="7"/>
  <c r="M99" i="8"/>
  <c r="F108" i="7" s="1"/>
  <c r="T99" i="8"/>
  <c r="R101" i="8"/>
  <c r="M102" i="8"/>
  <c r="F104" i="7" s="1"/>
  <c r="M103" i="8"/>
  <c r="F103" i="7" s="1"/>
  <c r="E113" i="7" s="1"/>
  <c r="T103" i="8"/>
  <c r="R105" i="8"/>
  <c r="M107" i="8"/>
  <c r="F93" i="7" s="1"/>
  <c r="M115" i="8"/>
  <c r="F83" i="7" s="1"/>
  <c r="E94" i="7" s="1"/>
  <c r="R121" i="8"/>
  <c r="T122" i="8"/>
  <c r="R123" i="8"/>
  <c r="O126" i="8"/>
  <c r="H129" i="7" s="1"/>
  <c r="M126" i="8"/>
  <c r="F129" i="7" s="1"/>
  <c r="O135" i="8"/>
  <c r="H130" i="7" s="1"/>
  <c r="O199" i="8"/>
  <c r="H175" i="7" s="1"/>
  <c r="M199" i="8"/>
  <c r="F175" i="7" s="1"/>
  <c r="D182" i="7"/>
  <c r="R204" i="8"/>
  <c r="M204" i="8"/>
  <c r="F182" i="7" s="1"/>
  <c r="O204" i="8"/>
  <c r="H182" i="7" s="1"/>
  <c r="T204" i="8"/>
  <c r="O210" i="8"/>
  <c r="M210" i="8"/>
  <c r="G214" i="7"/>
  <c r="O233" i="8"/>
  <c r="H214" i="7" s="1"/>
  <c r="D220" i="7"/>
  <c r="R237" i="8"/>
  <c r="M237" i="8"/>
  <c r="F220" i="7" s="1"/>
  <c r="E224" i="7" s="1"/>
  <c r="O237" i="8"/>
  <c r="H220" i="7" s="1"/>
  <c r="T237" i="8"/>
  <c r="T245" i="8"/>
  <c r="R245" i="8"/>
  <c r="G75" i="7"/>
  <c r="O82" i="8"/>
  <c r="H75" i="7" s="1"/>
  <c r="G77" i="7"/>
  <c r="O84" i="8"/>
  <c r="H77" i="7" s="1"/>
  <c r="G80" i="7" s="1"/>
  <c r="G79" i="7"/>
  <c r="O86" i="8"/>
  <c r="H79" i="7" s="1"/>
  <c r="F89" i="7"/>
  <c r="F90" i="7"/>
  <c r="O108" i="8"/>
  <c r="H87" i="7" s="1"/>
  <c r="G94" i="7" s="1"/>
  <c r="M108" i="8"/>
  <c r="F87" i="7" s="1"/>
  <c r="T111" i="8"/>
  <c r="R111" i="8"/>
  <c r="O116" i="8"/>
  <c r="H109" i="7" s="1"/>
  <c r="M116" i="8"/>
  <c r="F109" i="7" s="1"/>
  <c r="T119" i="8"/>
  <c r="R119" i="8"/>
  <c r="E110" i="7"/>
  <c r="M121" i="8"/>
  <c r="F110" i="7" s="1"/>
  <c r="O122" i="8"/>
  <c r="H111" i="7" s="1"/>
  <c r="E112" i="7"/>
  <c r="M123" i="8"/>
  <c r="F112" i="7" s="1"/>
  <c r="T128" i="8"/>
  <c r="R128" i="8"/>
  <c r="T132" i="8"/>
  <c r="R132" i="8"/>
  <c r="R135" i="8"/>
  <c r="O138" i="8"/>
  <c r="M138" i="8"/>
  <c r="O142" i="8"/>
  <c r="H134" i="7" s="1"/>
  <c r="M142" i="8"/>
  <c r="F134" i="7" s="1"/>
  <c r="O146" i="8"/>
  <c r="H118" i="7" s="1"/>
  <c r="M146" i="8"/>
  <c r="F118" i="7" s="1"/>
  <c r="O150" i="8"/>
  <c r="M150" i="8"/>
  <c r="O154" i="8"/>
  <c r="H140" i="7" s="1"/>
  <c r="M154" i="8"/>
  <c r="F140" i="7" s="1"/>
  <c r="O164" i="8"/>
  <c r="H149" i="7" s="1"/>
  <c r="M164" i="8"/>
  <c r="F149" i="7" s="1"/>
  <c r="O168" i="8"/>
  <c r="H150" i="7" s="1"/>
  <c r="M168" i="8"/>
  <c r="F150" i="7" s="1"/>
  <c r="O172" i="8"/>
  <c r="M172" i="8"/>
  <c r="O176" i="8"/>
  <c r="H169" i="7" s="1"/>
  <c r="M176" i="8"/>
  <c r="O181" i="8"/>
  <c r="H168" i="7" s="1"/>
  <c r="M181" i="8"/>
  <c r="F168" i="7" s="1"/>
  <c r="O185" i="8"/>
  <c r="H172" i="7" s="1"/>
  <c r="M185" i="8"/>
  <c r="F172" i="7" s="1"/>
  <c r="O196" i="8"/>
  <c r="M196" i="8"/>
  <c r="G181" i="7"/>
  <c r="O203" i="8"/>
  <c r="H181" i="7" s="1"/>
  <c r="O207" i="8"/>
  <c r="H199" i="7" s="1"/>
  <c r="M207" i="8"/>
  <c r="F199" i="7" s="1"/>
  <c r="T218" i="8"/>
  <c r="R218" i="8"/>
  <c r="O223" i="8"/>
  <c r="H187" i="7" s="1"/>
  <c r="M223" i="8"/>
  <c r="F187" i="7" s="1"/>
  <c r="E208" i="7"/>
  <c r="M229" i="8"/>
  <c r="F208" i="7" s="1"/>
  <c r="D222" i="7"/>
  <c r="R239" i="8"/>
  <c r="M239" i="8"/>
  <c r="F222" i="7" s="1"/>
  <c r="O239" i="8"/>
  <c r="H222" i="7" s="1"/>
  <c r="G224" i="7" s="1"/>
  <c r="T239" i="8"/>
  <c r="O245" i="8"/>
  <c r="H228" i="7" s="1"/>
  <c r="M245" i="8"/>
  <c r="F228" i="7" s="1"/>
  <c r="H135" i="7"/>
  <c r="D169" i="7"/>
  <c r="H196" i="7"/>
  <c r="T225" i="8"/>
  <c r="R225" i="8"/>
  <c r="D99" i="7"/>
  <c r="R129" i="8"/>
  <c r="M130" i="8"/>
  <c r="F121" i="7" s="1"/>
  <c r="R133" i="8"/>
  <c r="M134" i="8"/>
  <c r="M135" i="8"/>
  <c r="F130" i="7" s="1"/>
  <c r="R138" i="8"/>
  <c r="M139" i="8"/>
  <c r="F137" i="7" s="1"/>
  <c r="D136" i="7"/>
  <c r="R142" i="8"/>
  <c r="M143" i="8"/>
  <c r="F133" i="7" s="1"/>
  <c r="D126" i="7"/>
  <c r="R146" i="8"/>
  <c r="M147" i="8"/>
  <c r="F116" i="7" s="1"/>
  <c r="R150" i="8"/>
  <c r="M151" i="8"/>
  <c r="R154" i="8"/>
  <c r="M155" i="8"/>
  <c r="F138" i="7" s="1"/>
  <c r="O159" i="8"/>
  <c r="H144" i="7" s="1"/>
  <c r="O160" i="8"/>
  <c r="H145" i="7" s="1"/>
  <c r="D161" i="7"/>
  <c r="R164" i="8"/>
  <c r="M165" i="8"/>
  <c r="R168" i="8"/>
  <c r="M169" i="8"/>
  <c r="R172" i="8"/>
  <c r="M173" i="8"/>
  <c r="F159" i="7" s="1"/>
  <c r="R176" i="8"/>
  <c r="M177" i="8"/>
  <c r="F160" i="7" s="1"/>
  <c r="R181" i="8"/>
  <c r="M182" i="8"/>
  <c r="R185" i="8"/>
  <c r="M186" i="8"/>
  <c r="F171" i="7" s="1"/>
  <c r="O188" i="8"/>
  <c r="H163" i="7" s="1"/>
  <c r="D152" i="7"/>
  <c r="H152" i="7"/>
  <c r="O192" i="8"/>
  <c r="H174" i="7" s="1"/>
  <c r="T195" i="8"/>
  <c r="R195" i="8"/>
  <c r="R198" i="8"/>
  <c r="O200" i="8"/>
  <c r="H156" i="7" s="1"/>
  <c r="M200" i="8"/>
  <c r="F156" i="7" s="1"/>
  <c r="D181" i="7"/>
  <c r="R203" i="8"/>
  <c r="M203" i="8"/>
  <c r="F181" i="7" s="1"/>
  <c r="D183" i="7"/>
  <c r="R205" i="8"/>
  <c r="M205" i="8"/>
  <c r="F183" i="7" s="1"/>
  <c r="R209" i="8"/>
  <c r="O211" i="8"/>
  <c r="H188" i="7" s="1"/>
  <c r="M211" i="8"/>
  <c r="F188" i="7" s="1"/>
  <c r="T214" i="8"/>
  <c r="R214" i="8"/>
  <c r="R217" i="8"/>
  <c r="O219" i="8"/>
  <c r="H197" i="7" s="1"/>
  <c r="M219" i="8"/>
  <c r="F197" i="7" s="1"/>
  <c r="T222" i="8"/>
  <c r="R222" i="8"/>
  <c r="M225" i="8"/>
  <c r="F204" i="7" s="1"/>
  <c r="E216" i="7"/>
  <c r="G213" i="7"/>
  <c r="O232" i="8"/>
  <c r="H213" i="7" s="1"/>
  <c r="G215" i="7"/>
  <c r="O234" i="8"/>
  <c r="H215" i="7" s="1"/>
  <c r="D221" i="7"/>
  <c r="R238" i="8"/>
  <c r="M238" i="8"/>
  <c r="F221" i="7" s="1"/>
  <c r="D223" i="7"/>
  <c r="R240" i="8"/>
  <c r="M240" i="8"/>
  <c r="F223" i="7" s="1"/>
  <c r="R244" i="8"/>
  <c r="O246" i="8"/>
  <c r="H230" i="7" s="1"/>
  <c r="M246" i="8"/>
  <c r="F230" i="7" s="1"/>
  <c r="T249" i="8"/>
  <c r="R249" i="8"/>
  <c r="D83" i="7"/>
  <c r="F136" i="7"/>
  <c r="D135" i="7"/>
  <c r="F126" i="7"/>
  <c r="F161" i="7"/>
  <c r="F153" i="7"/>
  <c r="M179" i="8"/>
  <c r="F167" i="7" s="1"/>
  <c r="R179" i="8"/>
  <c r="F152" i="7"/>
  <c r="G216" i="7"/>
  <c r="D196" i="7"/>
  <c r="D230" i="7"/>
  <c r="D229" i="7"/>
  <c r="F196" i="7"/>
  <c r="D193" i="7"/>
  <c r="O226" i="8"/>
  <c r="H205" i="7" s="1"/>
  <c r="G209" i="7" s="1"/>
  <c r="T226" i="8"/>
  <c r="O227" i="8"/>
  <c r="H206" i="7" s="1"/>
  <c r="T227" i="8"/>
  <c r="O228" i="8"/>
  <c r="H207" i="7" s="1"/>
  <c r="O229" i="8"/>
  <c r="H208" i="7" s="1"/>
  <c r="F229" i="7"/>
  <c r="K108" i="5"/>
  <c r="P108" i="5"/>
  <c r="K165" i="5"/>
  <c r="P165" i="5"/>
  <c r="K411" i="5"/>
  <c r="P411" i="5"/>
  <c r="K51" i="5"/>
  <c r="P51" i="5"/>
  <c r="K154" i="5"/>
  <c r="P154" i="5"/>
  <c r="K541" i="5"/>
  <c r="P541" i="5"/>
  <c r="K301" i="5"/>
  <c r="P301" i="5"/>
  <c r="K119" i="5"/>
  <c r="P119" i="5"/>
  <c r="K189" i="5"/>
  <c r="P189" i="5"/>
  <c r="K244" i="5"/>
  <c r="P244" i="5"/>
  <c r="J72" i="5"/>
  <c r="I75" i="5" s="1"/>
  <c r="I255" i="5"/>
  <c r="I279" i="5"/>
  <c r="I312" i="5"/>
  <c r="J341" i="5"/>
  <c r="K354" i="5"/>
  <c r="P354" i="5"/>
  <c r="I422" i="5"/>
  <c r="I474" i="5"/>
  <c r="K713" i="5"/>
  <c r="P713" i="5"/>
  <c r="K200" i="5"/>
  <c r="P200" i="5"/>
  <c r="I323" i="5"/>
  <c r="I365" i="5"/>
  <c r="I389" i="5"/>
  <c r="I400" i="5"/>
  <c r="I442" i="5"/>
  <c r="I484" i="5"/>
  <c r="I552" i="5"/>
  <c r="I588" i="5"/>
  <c r="I598" i="5"/>
  <c r="I608" i="5"/>
  <c r="J681" i="5"/>
  <c r="I86" i="5"/>
  <c r="I45" i="5"/>
  <c r="I266" i="5"/>
  <c r="P290" i="5"/>
  <c r="J339" i="5"/>
  <c r="I343" i="5" s="1"/>
  <c r="I378" i="5"/>
  <c r="I495" i="5"/>
  <c r="I519" i="5"/>
  <c r="J631" i="5"/>
  <c r="I634" i="5" s="1"/>
  <c r="I659" i="5"/>
  <c r="I700" i="5"/>
  <c r="I211" i="5"/>
  <c r="I222" i="5"/>
  <c r="I62" i="5"/>
  <c r="I97" i="5"/>
  <c r="J138" i="5"/>
  <c r="I140" i="5" s="1"/>
  <c r="J176" i="5"/>
  <c r="I178" i="5" s="1"/>
  <c r="J440" i="5"/>
  <c r="I454" i="5"/>
  <c r="I464" i="5"/>
  <c r="I508" i="5"/>
  <c r="P530" i="5"/>
  <c r="J570" i="5"/>
  <c r="I573" i="5" s="1"/>
  <c r="J683" i="5"/>
  <c r="I685" i="5" s="1"/>
  <c r="P708" i="5"/>
  <c r="K708" i="5"/>
  <c r="P717" i="5"/>
  <c r="P721" i="5"/>
  <c r="A1" i="4"/>
  <c r="A2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1" i="3"/>
  <c r="CX1" i="3"/>
  <c r="CY1" i="3"/>
  <c r="CZ1" i="3"/>
  <c r="DB1" i="3" s="1"/>
  <c r="DA1" i="3"/>
  <c r="DC1" i="3"/>
  <c r="A2" i="3"/>
  <c r="CX2" i="3"/>
  <c r="CY2" i="3"/>
  <c r="CZ2" i="3"/>
  <c r="DA2" i="3"/>
  <c r="DB2" i="3"/>
  <c r="DC2" i="3"/>
  <c r="A3" i="3"/>
  <c r="CX3" i="3"/>
  <c r="CY3" i="3"/>
  <c r="CZ3" i="3"/>
  <c r="DB3" i="3" s="1"/>
  <c r="DA3" i="3"/>
  <c r="DC3" i="3"/>
  <c r="A4" i="3"/>
  <c r="CX4" i="3"/>
  <c r="CY4" i="3"/>
  <c r="CZ4" i="3"/>
  <c r="DB4" i="3" s="1"/>
  <c r="DA4" i="3"/>
  <c r="DC4" i="3"/>
  <c r="A5" i="3"/>
  <c r="CY5" i="3"/>
  <c r="CZ5" i="3"/>
  <c r="DA5" i="3"/>
  <c r="DB5" i="3"/>
  <c r="DC5" i="3"/>
  <c r="A6" i="3"/>
  <c r="CY6" i="3"/>
  <c r="CZ6" i="3"/>
  <c r="DA6" i="3"/>
  <c r="DB6" i="3"/>
  <c r="DC6" i="3"/>
  <c r="A7" i="3"/>
  <c r="CY7" i="3"/>
  <c r="CZ7" i="3"/>
  <c r="DB7" i="3" s="1"/>
  <c r="DA7" i="3"/>
  <c r="DC7" i="3"/>
  <c r="A8" i="3"/>
  <c r="CY8" i="3"/>
  <c r="CZ8" i="3"/>
  <c r="DB8" i="3" s="1"/>
  <c r="DA8" i="3"/>
  <c r="DC8" i="3"/>
  <c r="A9" i="3"/>
  <c r="CY9" i="3"/>
  <c r="CZ9" i="3"/>
  <c r="DA9" i="3"/>
  <c r="DB9" i="3"/>
  <c r="DC9" i="3"/>
  <c r="A10" i="3"/>
  <c r="CY10" i="3"/>
  <c r="CZ10" i="3"/>
  <c r="DA10" i="3"/>
  <c r="DB10" i="3"/>
  <c r="DC10" i="3"/>
  <c r="A11" i="3"/>
  <c r="CY11" i="3"/>
  <c r="CZ11" i="3"/>
  <c r="DB11" i="3" s="1"/>
  <c r="DA11" i="3"/>
  <c r="DC11" i="3"/>
  <c r="A12" i="3"/>
  <c r="CY12" i="3"/>
  <c r="CZ12" i="3"/>
  <c r="DB12" i="3" s="1"/>
  <c r="DA12" i="3"/>
  <c r="DC12" i="3"/>
  <c r="A13" i="3"/>
  <c r="CY13" i="3"/>
  <c r="CZ13" i="3"/>
  <c r="DA13" i="3"/>
  <c r="DB13" i="3"/>
  <c r="DC13" i="3"/>
  <c r="A14" i="3"/>
  <c r="CY14" i="3"/>
  <c r="CZ14" i="3"/>
  <c r="DA14" i="3"/>
  <c r="DB14" i="3"/>
  <c r="DC14" i="3"/>
  <c r="A15" i="3"/>
  <c r="CY15" i="3"/>
  <c r="CZ15" i="3"/>
  <c r="DB15" i="3" s="1"/>
  <c r="DA15" i="3"/>
  <c r="DC15" i="3"/>
  <c r="A16" i="3"/>
  <c r="CY16" i="3"/>
  <c r="CZ16" i="3"/>
  <c r="DB16" i="3" s="1"/>
  <c r="DA16" i="3"/>
  <c r="DC16" i="3"/>
  <c r="A17" i="3"/>
  <c r="CY17" i="3"/>
  <c r="CZ17" i="3"/>
  <c r="DA17" i="3"/>
  <c r="DB17" i="3"/>
  <c r="DC17" i="3"/>
  <c r="A18" i="3"/>
  <c r="CY18" i="3"/>
  <c r="CZ18" i="3"/>
  <c r="DA18" i="3"/>
  <c r="DB18" i="3"/>
  <c r="DC18" i="3"/>
  <c r="A19" i="3"/>
  <c r="CY19" i="3"/>
  <c r="CZ19" i="3"/>
  <c r="DB19" i="3" s="1"/>
  <c r="DA19" i="3"/>
  <c r="DC19" i="3"/>
  <c r="A20" i="3"/>
  <c r="CY20" i="3"/>
  <c r="CZ20" i="3"/>
  <c r="DB20" i="3" s="1"/>
  <c r="DA20" i="3"/>
  <c r="DC20" i="3"/>
  <c r="A21" i="3"/>
  <c r="CY21" i="3"/>
  <c r="CZ21" i="3"/>
  <c r="DB21" i="3" s="1"/>
  <c r="DA21" i="3"/>
  <c r="DC21" i="3"/>
  <c r="A22" i="3"/>
  <c r="CY22" i="3"/>
  <c r="CZ22" i="3"/>
  <c r="DA22" i="3"/>
  <c r="DB22" i="3"/>
  <c r="DC22" i="3"/>
  <c r="A23" i="3"/>
  <c r="CY23" i="3"/>
  <c r="CZ23" i="3"/>
  <c r="DA23" i="3"/>
  <c r="DB23" i="3"/>
  <c r="DC23" i="3"/>
  <c r="A24" i="3"/>
  <c r="CY24" i="3"/>
  <c r="CZ24" i="3"/>
  <c r="DB24" i="3" s="1"/>
  <c r="DA24" i="3"/>
  <c r="DC24" i="3"/>
  <c r="A25" i="3"/>
  <c r="CY25" i="3"/>
  <c r="CZ25" i="3"/>
  <c r="DB25" i="3" s="1"/>
  <c r="DA25" i="3"/>
  <c r="DC25" i="3"/>
  <c r="A26" i="3"/>
  <c r="CY26" i="3"/>
  <c r="CZ26" i="3"/>
  <c r="DA26" i="3"/>
  <c r="DB26" i="3"/>
  <c r="DC26" i="3"/>
  <c r="A27" i="3"/>
  <c r="CY27" i="3"/>
  <c r="CZ27" i="3"/>
  <c r="DA27" i="3"/>
  <c r="DB27" i="3"/>
  <c r="DC27" i="3"/>
  <c r="A28" i="3"/>
  <c r="CY28" i="3"/>
  <c r="CZ28" i="3"/>
  <c r="DB28" i="3" s="1"/>
  <c r="DA28" i="3"/>
  <c r="DC28" i="3"/>
  <c r="A29" i="3"/>
  <c r="CY29" i="3"/>
  <c r="CZ29" i="3"/>
  <c r="DB29" i="3" s="1"/>
  <c r="DA29" i="3"/>
  <c r="DC29" i="3"/>
  <c r="A30" i="3"/>
  <c r="CY30" i="3"/>
  <c r="CZ30" i="3"/>
  <c r="DA30" i="3"/>
  <c r="DB30" i="3"/>
  <c r="DC30" i="3"/>
  <c r="A31" i="3"/>
  <c r="CY31" i="3"/>
  <c r="CZ31" i="3"/>
  <c r="DA31" i="3"/>
  <c r="DB31" i="3"/>
  <c r="DC31" i="3"/>
  <c r="A32" i="3"/>
  <c r="CY32" i="3"/>
  <c r="CZ32" i="3"/>
  <c r="DB32" i="3" s="1"/>
  <c r="DA32" i="3"/>
  <c r="DC32" i="3"/>
  <c r="A33" i="3"/>
  <c r="CY33" i="3"/>
  <c r="CZ33" i="3"/>
  <c r="DB33" i="3" s="1"/>
  <c r="DA33" i="3"/>
  <c r="DC33" i="3"/>
  <c r="A34" i="3"/>
  <c r="CY34" i="3"/>
  <c r="CZ34" i="3"/>
  <c r="DA34" i="3"/>
  <c r="DB34" i="3"/>
  <c r="DC34" i="3"/>
  <c r="A35" i="3"/>
  <c r="CY35" i="3"/>
  <c r="CZ35" i="3"/>
  <c r="DA35" i="3"/>
  <c r="DB35" i="3"/>
  <c r="DC35" i="3"/>
  <c r="A36" i="3"/>
  <c r="CY36" i="3"/>
  <c r="CZ36" i="3"/>
  <c r="DB36" i="3" s="1"/>
  <c r="DA36" i="3"/>
  <c r="DC36" i="3"/>
  <c r="A37" i="3"/>
  <c r="CY37" i="3"/>
  <c r="CZ37" i="3"/>
  <c r="DB37" i="3" s="1"/>
  <c r="DA37" i="3"/>
  <c r="DC37" i="3"/>
  <c r="A38" i="3"/>
  <c r="CY38" i="3"/>
  <c r="CZ38" i="3"/>
  <c r="DA38" i="3"/>
  <c r="DB38" i="3"/>
  <c r="DC38" i="3"/>
  <c r="A39" i="3"/>
  <c r="CX39" i="3"/>
  <c r="CY39" i="3"/>
  <c r="CZ39" i="3"/>
  <c r="DA39" i="3"/>
  <c r="DB39" i="3"/>
  <c r="DC39" i="3"/>
  <c r="A40" i="3"/>
  <c r="CX40" i="3"/>
  <c r="CY40" i="3"/>
  <c r="CZ40" i="3"/>
  <c r="DB40" i="3" s="1"/>
  <c r="DA40" i="3"/>
  <c r="DC40" i="3"/>
  <c r="A41" i="3"/>
  <c r="CX41" i="3"/>
  <c r="CY41" i="3"/>
  <c r="CZ41" i="3"/>
  <c r="DB41" i="3" s="1"/>
  <c r="DA41" i="3"/>
  <c r="DC41" i="3"/>
  <c r="A42" i="3"/>
  <c r="CX42" i="3"/>
  <c r="CY42" i="3"/>
  <c r="CZ42" i="3"/>
  <c r="DA42" i="3"/>
  <c r="DB42" i="3"/>
  <c r="DC42" i="3"/>
  <c r="A43" i="3"/>
  <c r="CX43" i="3"/>
  <c r="CY43" i="3"/>
  <c r="CZ43" i="3"/>
  <c r="DA43" i="3"/>
  <c r="DB43" i="3"/>
  <c r="DC43" i="3"/>
  <c r="A44" i="3"/>
  <c r="CX44" i="3"/>
  <c r="CY44" i="3"/>
  <c r="CZ44" i="3"/>
  <c r="DB44" i="3" s="1"/>
  <c r="DA44" i="3"/>
  <c r="DC44" i="3"/>
  <c r="A45" i="3"/>
  <c r="CX45" i="3"/>
  <c r="CY45" i="3"/>
  <c r="CZ45" i="3"/>
  <c r="DB45" i="3" s="1"/>
  <c r="DA45" i="3"/>
  <c r="DC45" i="3"/>
  <c r="A46" i="3"/>
  <c r="CX46" i="3"/>
  <c r="CY46" i="3"/>
  <c r="CZ46" i="3"/>
  <c r="DA46" i="3"/>
  <c r="DB46" i="3"/>
  <c r="DC46" i="3"/>
  <c r="A47" i="3"/>
  <c r="CX47" i="3"/>
  <c r="CY47" i="3"/>
  <c r="CZ47" i="3"/>
  <c r="DA47" i="3"/>
  <c r="DB47" i="3"/>
  <c r="DC47" i="3"/>
  <c r="A48" i="3"/>
  <c r="CY48" i="3"/>
  <c r="CZ48" i="3"/>
  <c r="DB48" i="3" s="1"/>
  <c r="DA48" i="3"/>
  <c r="DC48" i="3"/>
  <c r="A49" i="3"/>
  <c r="CY49" i="3"/>
  <c r="CZ49" i="3"/>
  <c r="DB49" i="3" s="1"/>
  <c r="DA49" i="3"/>
  <c r="DC49" i="3"/>
  <c r="A50" i="3"/>
  <c r="CY50" i="3"/>
  <c r="CZ50" i="3"/>
  <c r="DA50" i="3"/>
  <c r="DB50" i="3"/>
  <c r="DC50" i="3"/>
  <c r="A51" i="3"/>
  <c r="CY51" i="3"/>
  <c r="CZ51" i="3"/>
  <c r="DA51" i="3"/>
  <c r="DB51" i="3"/>
  <c r="DC51" i="3"/>
  <c r="A52" i="3"/>
  <c r="CY52" i="3"/>
  <c r="CZ52" i="3"/>
  <c r="DB52" i="3" s="1"/>
  <c r="DA52" i="3"/>
  <c r="DC52" i="3"/>
  <c r="A53" i="3"/>
  <c r="CY53" i="3"/>
  <c r="CZ53" i="3"/>
  <c r="DB53" i="3" s="1"/>
  <c r="DA53" i="3"/>
  <c r="DC53" i="3"/>
  <c r="A54" i="3"/>
  <c r="CY54" i="3"/>
  <c r="CZ54" i="3"/>
  <c r="DA54" i="3"/>
  <c r="DB54" i="3"/>
  <c r="DC54" i="3"/>
  <c r="A55" i="3"/>
  <c r="CY55" i="3"/>
  <c r="CZ55" i="3"/>
  <c r="DA55" i="3"/>
  <c r="DB55" i="3"/>
  <c r="DC55" i="3"/>
  <c r="A56" i="3"/>
  <c r="CY56" i="3"/>
  <c r="CZ56" i="3"/>
  <c r="DB56" i="3" s="1"/>
  <c r="DA56" i="3"/>
  <c r="DC56" i="3"/>
  <c r="A57" i="3"/>
  <c r="CY57" i="3"/>
  <c r="CZ57" i="3"/>
  <c r="DB57" i="3" s="1"/>
  <c r="DA57" i="3"/>
  <c r="DC57" i="3"/>
  <c r="A58" i="3"/>
  <c r="CY58" i="3"/>
  <c r="CZ58" i="3"/>
  <c r="DA58" i="3"/>
  <c r="DB58" i="3"/>
  <c r="DC58" i="3"/>
  <c r="A59" i="3"/>
  <c r="CY59" i="3"/>
  <c r="CZ59" i="3"/>
  <c r="DA59" i="3"/>
  <c r="DB59" i="3"/>
  <c r="DC59" i="3"/>
  <c r="A60" i="3"/>
  <c r="CY60" i="3"/>
  <c r="CZ60" i="3"/>
  <c r="DB60" i="3" s="1"/>
  <c r="DA60" i="3"/>
  <c r="DC60" i="3"/>
  <c r="A61" i="3"/>
  <c r="CY61" i="3"/>
  <c r="CZ61" i="3"/>
  <c r="DB61" i="3" s="1"/>
  <c r="DA61" i="3"/>
  <c r="DC61" i="3"/>
  <c r="A62" i="3"/>
  <c r="CY62" i="3"/>
  <c r="CZ62" i="3"/>
  <c r="DA62" i="3"/>
  <c r="DB62" i="3"/>
  <c r="DC62" i="3"/>
  <c r="A63" i="3"/>
  <c r="CY63" i="3"/>
  <c r="CZ63" i="3"/>
  <c r="DA63" i="3"/>
  <c r="DB63" i="3"/>
  <c r="DC63" i="3"/>
  <c r="A64" i="3"/>
  <c r="CY64" i="3"/>
  <c r="CZ64" i="3"/>
  <c r="DB64" i="3" s="1"/>
  <c r="DA64" i="3"/>
  <c r="DC64" i="3"/>
  <c r="A65" i="3"/>
  <c r="CX65" i="3"/>
  <c r="CY65" i="3"/>
  <c r="CZ65" i="3"/>
  <c r="DB65" i="3" s="1"/>
  <c r="DA65" i="3"/>
  <c r="DC65" i="3"/>
  <c r="A66" i="3"/>
  <c r="CY66" i="3"/>
  <c r="CZ66" i="3"/>
  <c r="DA66" i="3"/>
  <c r="DB66" i="3"/>
  <c r="DC66" i="3"/>
  <c r="A67" i="3"/>
  <c r="CY67" i="3"/>
  <c r="CZ67" i="3"/>
  <c r="DA67" i="3"/>
  <c r="DB67" i="3"/>
  <c r="DC67" i="3"/>
  <c r="A68" i="3"/>
  <c r="CY68" i="3"/>
  <c r="CZ68" i="3"/>
  <c r="DB68" i="3" s="1"/>
  <c r="DA68" i="3"/>
  <c r="DC68" i="3"/>
  <c r="A69" i="3"/>
  <c r="CY69" i="3"/>
  <c r="CZ69" i="3"/>
  <c r="DB69" i="3" s="1"/>
  <c r="DA69" i="3"/>
  <c r="DC69" i="3"/>
  <c r="A70" i="3"/>
  <c r="CY70" i="3"/>
  <c r="CZ70" i="3"/>
  <c r="DA70" i="3"/>
  <c r="DB70" i="3"/>
  <c r="DC70" i="3"/>
  <c r="A71" i="3"/>
  <c r="CY71" i="3"/>
  <c r="CZ71" i="3"/>
  <c r="DA71" i="3"/>
  <c r="DB71" i="3"/>
  <c r="DC71" i="3"/>
  <c r="A72" i="3"/>
  <c r="CY72" i="3"/>
  <c r="CZ72" i="3"/>
  <c r="DB72" i="3" s="1"/>
  <c r="DA72" i="3"/>
  <c r="DC72" i="3"/>
  <c r="A73" i="3"/>
  <c r="CY73" i="3"/>
  <c r="CZ73" i="3"/>
  <c r="DB73" i="3" s="1"/>
  <c r="DA73" i="3"/>
  <c r="DC73" i="3"/>
  <c r="A74" i="3"/>
  <c r="CY74" i="3"/>
  <c r="CZ74" i="3"/>
  <c r="DA74" i="3"/>
  <c r="DB74" i="3"/>
  <c r="DC74" i="3"/>
  <c r="A75" i="3"/>
  <c r="CY75" i="3"/>
  <c r="CZ75" i="3"/>
  <c r="DA75" i="3"/>
  <c r="DB75" i="3"/>
  <c r="DC75" i="3"/>
  <c r="A76" i="3"/>
  <c r="CY76" i="3"/>
  <c r="CZ76" i="3"/>
  <c r="DB76" i="3" s="1"/>
  <c r="DA76" i="3"/>
  <c r="DC76" i="3"/>
  <c r="A77" i="3"/>
  <c r="CY77" i="3"/>
  <c r="CZ77" i="3"/>
  <c r="DB77" i="3" s="1"/>
  <c r="DA77" i="3"/>
  <c r="DC77" i="3"/>
  <c r="A78" i="3"/>
  <c r="CY78" i="3"/>
  <c r="CZ78" i="3"/>
  <c r="DA78" i="3"/>
  <c r="DB78" i="3"/>
  <c r="DC78" i="3"/>
  <c r="A79" i="3"/>
  <c r="CY79" i="3"/>
  <c r="CZ79" i="3"/>
  <c r="DA79" i="3"/>
  <c r="DB79" i="3"/>
  <c r="DC79" i="3"/>
  <c r="A80" i="3"/>
  <c r="CY80" i="3"/>
  <c r="CZ80" i="3"/>
  <c r="DB80" i="3" s="1"/>
  <c r="DA80" i="3"/>
  <c r="DC80" i="3"/>
  <c r="A81" i="3"/>
  <c r="CY81" i="3"/>
  <c r="CZ81" i="3"/>
  <c r="DB81" i="3" s="1"/>
  <c r="DA81" i="3"/>
  <c r="DC81" i="3"/>
  <c r="A82" i="3"/>
  <c r="CY82" i="3"/>
  <c r="CZ82" i="3"/>
  <c r="DA82" i="3"/>
  <c r="DB82" i="3"/>
  <c r="DC82" i="3"/>
  <c r="A83" i="3"/>
  <c r="CY83" i="3"/>
  <c r="CZ83" i="3"/>
  <c r="DA83" i="3"/>
  <c r="DB83" i="3"/>
  <c r="DC83" i="3"/>
  <c r="A84" i="3"/>
  <c r="CY84" i="3"/>
  <c r="CZ84" i="3"/>
  <c r="DB84" i="3" s="1"/>
  <c r="DA84" i="3"/>
  <c r="DC84" i="3"/>
  <c r="A85" i="3"/>
  <c r="CY85" i="3"/>
  <c r="CZ85" i="3"/>
  <c r="DB85" i="3" s="1"/>
  <c r="DA85" i="3"/>
  <c r="DC85" i="3"/>
  <c r="A86" i="3"/>
  <c r="CY86" i="3"/>
  <c r="CZ86" i="3"/>
  <c r="DA86" i="3"/>
  <c r="DB86" i="3"/>
  <c r="DC86" i="3"/>
  <c r="A87" i="3"/>
  <c r="CY87" i="3"/>
  <c r="CZ87" i="3"/>
  <c r="DA87" i="3"/>
  <c r="DB87" i="3"/>
  <c r="DC87" i="3"/>
  <c r="A88" i="3"/>
  <c r="CY88" i="3"/>
  <c r="CZ88" i="3"/>
  <c r="DB88" i="3" s="1"/>
  <c r="DA88" i="3"/>
  <c r="DC88" i="3"/>
  <c r="A89" i="3"/>
  <c r="CY89" i="3"/>
  <c r="CZ89" i="3"/>
  <c r="DB89" i="3" s="1"/>
  <c r="DA89" i="3"/>
  <c r="DC89" i="3"/>
  <c r="A90" i="3"/>
  <c r="CY90" i="3"/>
  <c r="CZ90" i="3"/>
  <c r="DA90" i="3"/>
  <c r="DB90" i="3"/>
  <c r="DC90" i="3"/>
  <c r="A91" i="3"/>
  <c r="CY91" i="3"/>
  <c r="CZ91" i="3"/>
  <c r="DA91" i="3"/>
  <c r="DB91" i="3"/>
  <c r="DC91" i="3"/>
  <c r="A92" i="3"/>
  <c r="CY92" i="3"/>
  <c r="CZ92" i="3"/>
  <c r="DB92" i="3" s="1"/>
  <c r="DA92" i="3"/>
  <c r="DC92" i="3"/>
  <c r="A93" i="3"/>
  <c r="CY93" i="3"/>
  <c r="CZ93" i="3"/>
  <c r="DB93" i="3" s="1"/>
  <c r="DA93" i="3"/>
  <c r="DC93" i="3"/>
  <c r="A94" i="3"/>
  <c r="CY94" i="3"/>
  <c r="CZ94" i="3"/>
  <c r="DA94" i="3"/>
  <c r="DB94" i="3"/>
  <c r="DC94" i="3"/>
  <c r="A95" i="3"/>
  <c r="CY95" i="3"/>
  <c r="CZ95" i="3"/>
  <c r="DA95" i="3"/>
  <c r="DB95" i="3"/>
  <c r="DC95" i="3"/>
  <c r="A96" i="3"/>
  <c r="CY96" i="3"/>
  <c r="CZ96" i="3"/>
  <c r="DB96" i="3" s="1"/>
  <c r="DA96" i="3"/>
  <c r="DC96" i="3"/>
  <c r="A97" i="3"/>
  <c r="CY97" i="3"/>
  <c r="CZ97" i="3"/>
  <c r="DB97" i="3" s="1"/>
  <c r="DA97" i="3"/>
  <c r="DC97" i="3"/>
  <c r="A98" i="3"/>
  <c r="CY98" i="3"/>
  <c r="CZ98" i="3"/>
  <c r="DA98" i="3"/>
  <c r="DB98" i="3"/>
  <c r="DC98" i="3"/>
  <c r="A99" i="3"/>
  <c r="CY99" i="3"/>
  <c r="CZ99" i="3"/>
  <c r="DA99" i="3"/>
  <c r="DB99" i="3"/>
  <c r="DC99" i="3"/>
  <c r="A100" i="3"/>
  <c r="CX100" i="3"/>
  <c r="CY100" i="3"/>
  <c r="CZ100" i="3"/>
  <c r="DB100" i="3" s="1"/>
  <c r="DA100" i="3"/>
  <c r="DC100" i="3"/>
  <c r="A101" i="3"/>
  <c r="CX101" i="3"/>
  <c r="CY101" i="3"/>
  <c r="CZ101" i="3"/>
  <c r="DB101" i="3" s="1"/>
  <c r="DA101" i="3"/>
  <c r="DC101" i="3"/>
  <c r="A102" i="3"/>
  <c r="CX102" i="3"/>
  <c r="CY102" i="3"/>
  <c r="CZ102" i="3"/>
  <c r="DA102" i="3"/>
  <c r="DB102" i="3"/>
  <c r="DC102" i="3"/>
  <c r="A103" i="3"/>
  <c r="CX103" i="3"/>
  <c r="CY103" i="3"/>
  <c r="CZ103" i="3"/>
  <c r="DA103" i="3"/>
  <c r="DB103" i="3"/>
  <c r="DC103" i="3"/>
  <c r="A104" i="3"/>
  <c r="CX104" i="3"/>
  <c r="CY104" i="3"/>
  <c r="CZ104" i="3"/>
  <c r="DB104" i="3" s="1"/>
  <c r="DA104" i="3"/>
  <c r="DC104" i="3"/>
  <c r="A105" i="3"/>
  <c r="CX105" i="3"/>
  <c r="CY105" i="3"/>
  <c r="CZ105" i="3"/>
  <c r="DB105" i="3" s="1"/>
  <c r="DA105" i="3"/>
  <c r="DC105" i="3"/>
  <c r="A106" i="3"/>
  <c r="CX106" i="3"/>
  <c r="CY106" i="3"/>
  <c r="CZ106" i="3"/>
  <c r="DA106" i="3"/>
  <c r="DB106" i="3"/>
  <c r="DC106" i="3"/>
  <c r="A107" i="3"/>
  <c r="CX107" i="3"/>
  <c r="CY107" i="3"/>
  <c r="CZ107" i="3"/>
  <c r="DA107" i="3"/>
  <c r="DB107" i="3"/>
  <c r="DC107" i="3"/>
  <c r="A108" i="3"/>
  <c r="CX108" i="3"/>
  <c r="CY108" i="3"/>
  <c r="CZ108" i="3"/>
  <c r="DB108" i="3" s="1"/>
  <c r="DA108" i="3"/>
  <c r="DC108" i="3"/>
  <c r="A109" i="3"/>
  <c r="CY109" i="3"/>
  <c r="CZ109" i="3"/>
  <c r="DB109" i="3" s="1"/>
  <c r="DA109" i="3"/>
  <c r="DC109" i="3"/>
  <c r="A110" i="3"/>
  <c r="CY110" i="3"/>
  <c r="CZ110" i="3"/>
  <c r="DA110" i="3"/>
  <c r="DB110" i="3"/>
  <c r="DC110" i="3"/>
  <c r="A111" i="3"/>
  <c r="CY111" i="3"/>
  <c r="CZ111" i="3"/>
  <c r="DA111" i="3"/>
  <c r="DB111" i="3"/>
  <c r="DC111" i="3"/>
  <c r="A112" i="3"/>
  <c r="CY112" i="3"/>
  <c r="CZ112" i="3"/>
  <c r="DB112" i="3" s="1"/>
  <c r="DA112" i="3"/>
  <c r="DC112" i="3"/>
  <c r="A113" i="3"/>
  <c r="CY113" i="3"/>
  <c r="CZ113" i="3"/>
  <c r="DB113" i="3" s="1"/>
  <c r="DA113" i="3"/>
  <c r="DC113" i="3"/>
  <c r="A114" i="3"/>
  <c r="CY114" i="3"/>
  <c r="CZ114" i="3"/>
  <c r="DA114" i="3"/>
  <c r="DB114" i="3"/>
  <c r="DC114" i="3"/>
  <c r="A115" i="3"/>
  <c r="CY115" i="3"/>
  <c r="CZ115" i="3"/>
  <c r="DA115" i="3"/>
  <c r="DB115" i="3"/>
  <c r="DC115" i="3"/>
  <c r="A116" i="3"/>
  <c r="CY116" i="3"/>
  <c r="CZ116" i="3"/>
  <c r="DB116" i="3" s="1"/>
  <c r="DA116" i="3"/>
  <c r="DC116" i="3"/>
  <c r="A117" i="3"/>
  <c r="CY117" i="3"/>
  <c r="CZ117" i="3"/>
  <c r="DB117" i="3" s="1"/>
  <c r="DA117" i="3"/>
  <c r="DC117" i="3"/>
  <c r="A118" i="3"/>
  <c r="CY118" i="3"/>
  <c r="CZ118" i="3"/>
  <c r="DA118" i="3"/>
  <c r="DB118" i="3"/>
  <c r="DC118" i="3"/>
  <c r="A119" i="3"/>
  <c r="CY119" i="3"/>
  <c r="CZ119" i="3"/>
  <c r="DA119" i="3"/>
  <c r="DB119" i="3"/>
  <c r="DC119" i="3"/>
  <c r="A120" i="3"/>
  <c r="CY120" i="3"/>
  <c r="CZ120" i="3"/>
  <c r="DB120" i="3" s="1"/>
  <c r="DA120" i="3"/>
  <c r="DC120" i="3"/>
  <c r="A121" i="3"/>
  <c r="CY121" i="3"/>
  <c r="CZ121" i="3"/>
  <c r="DB121" i="3" s="1"/>
  <c r="DA121" i="3"/>
  <c r="DC121" i="3"/>
  <c r="A122" i="3"/>
  <c r="CY122" i="3"/>
  <c r="CZ122" i="3"/>
  <c r="DA122" i="3"/>
  <c r="DB122" i="3"/>
  <c r="DC122" i="3"/>
  <c r="A123" i="3"/>
  <c r="CY123" i="3"/>
  <c r="CZ123" i="3"/>
  <c r="DA123" i="3"/>
  <c r="DB123" i="3"/>
  <c r="DC123" i="3"/>
  <c r="A124" i="3"/>
  <c r="CY124" i="3"/>
  <c r="CZ124" i="3"/>
  <c r="DB124" i="3" s="1"/>
  <c r="DA124" i="3"/>
  <c r="DC124" i="3"/>
  <c r="A125" i="3"/>
  <c r="CY125" i="3"/>
  <c r="CZ125" i="3"/>
  <c r="DB125" i="3" s="1"/>
  <c r="DA125" i="3"/>
  <c r="DC125" i="3"/>
  <c r="A126" i="3"/>
  <c r="CY126" i="3"/>
  <c r="CZ126" i="3"/>
  <c r="DA126" i="3"/>
  <c r="DB126" i="3"/>
  <c r="DC126" i="3"/>
  <c r="A127" i="3"/>
  <c r="CX127" i="3"/>
  <c r="CY127" i="3"/>
  <c r="CZ127" i="3"/>
  <c r="DA127" i="3"/>
  <c r="DB127" i="3"/>
  <c r="DC127" i="3"/>
  <c r="A128" i="3"/>
  <c r="CY128" i="3"/>
  <c r="CZ128" i="3"/>
  <c r="DB128" i="3" s="1"/>
  <c r="DA128" i="3"/>
  <c r="DC128" i="3"/>
  <c r="A129" i="3"/>
  <c r="CY129" i="3"/>
  <c r="CZ129" i="3"/>
  <c r="DB129" i="3" s="1"/>
  <c r="DA129" i="3"/>
  <c r="DC129" i="3"/>
  <c r="A130" i="3"/>
  <c r="CY130" i="3"/>
  <c r="CZ130" i="3"/>
  <c r="DA130" i="3"/>
  <c r="DB130" i="3"/>
  <c r="DC130" i="3"/>
  <c r="A131" i="3"/>
  <c r="CY131" i="3"/>
  <c r="CZ131" i="3"/>
  <c r="DA131" i="3"/>
  <c r="DB131" i="3"/>
  <c r="DC131" i="3"/>
  <c r="A132" i="3"/>
  <c r="CY132" i="3"/>
  <c r="CZ132" i="3"/>
  <c r="DB132" i="3" s="1"/>
  <c r="DA132" i="3"/>
  <c r="DC132" i="3"/>
  <c r="A133" i="3"/>
  <c r="CY133" i="3"/>
  <c r="CZ133" i="3"/>
  <c r="DB133" i="3" s="1"/>
  <c r="DA133" i="3"/>
  <c r="DC133" i="3"/>
  <c r="A134" i="3"/>
  <c r="CY134" i="3"/>
  <c r="CZ134" i="3"/>
  <c r="DA134" i="3"/>
  <c r="DB134" i="3"/>
  <c r="DC134" i="3"/>
  <c r="A135" i="3"/>
  <c r="CY135" i="3"/>
  <c r="CZ135" i="3"/>
  <c r="DA135" i="3"/>
  <c r="DB135" i="3"/>
  <c r="DC135" i="3"/>
  <c r="A136" i="3"/>
  <c r="CY136" i="3"/>
  <c r="CZ136" i="3"/>
  <c r="DB136" i="3" s="1"/>
  <c r="DA136" i="3"/>
  <c r="DC136" i="3"/>
  <c r="A137" i="3"/>
  <c r="CY137" i="3"/>
  <c r="CZ137" i="3"/>
  <c r="DB137" i="3" s="1"/>
  <c r="DA137" i="3"/>
  <c r="DC137" i="3"/>
  <c r="A138" i="3"/>
  <c r="CY138" i="3"/>
  <c r="CZ138" i="3"/>
  <c r="DA138" i="3"/>
  <c r="DB138" i="3"/>
  <c r="DC138" i="3"/>
  <c r="A139" i="3"/>
  <c r="CY139" i="3"/>
  <c r="CZ139" i="3"/>
  <c r="DA139" i="3"/>
  <c r="DB139" i="3"/>
  <c r="DC139" i="3"/>
  <c r="A140" i="3"/>
  <c r="CY140" i="3"/>
  <c r="CZ140" i="3"/>
  <c r="DB140" i="3" s="1"/>
  <c r="DA140" i="3"/>
  <c r="DC140" i="3"/>
  <c r="A141" i="3"/>
  <c r="CY141" i="3"/>
  <c r="CZ141" i="3"/>
  <c r="DB141" i="3" s="1"/>
  <c r="DA141" i="3"/>
  <c r="DC141" i="3"/>
  <c r="A142" i="3"/>
  <c r="CY142" i="3"/>
  <c r="CZ142" i="3"/>
  <c r="DA142" i="3"/>
  <c r="DB142" i="3"/>
  <c r="DC142" i="3"/>
  <c r="A143" i="3"/>
  <c r="CY143" i="3"/>
  <c r="CZ143" i="3"/>
  <c r="DA143" i="3"/>
  <c r="DB143" i="3"/>
  <c r="DC143" i="3"/>
  <c r="A144" i="3"/>
  <c r="CY144" i="3"/>
  <c r="CZ144" i="3"/>
  <c r="DB144" i="3" s="1"/>
  <c r="DA144" i="3"/>
  <c r="DC144" i="3"/>
  <c r="A145" i="3"/>
  <c r="CY145" i="3"/>
  <c r="CZ145" i="3"/>
  <c r="DB145" i="3" s="1"/>
  <c r="DA145" i="3"/>
  <c r="DC145" i="3"/>
  <c r="A146" i="3"/>
  <c r="CY146" i="3"/>
  <c r="CZ146" i="3"/>
  <c r="DA146" i="3"/>
  <c r="DB146" i="3"/>
  <c r="DC146" i="3"/>
  <c r="A147" i="3"/>
  <c r="CY147" i="3"/>
  <c r="CZ147" i="3"/>
  <c r="DA147" i="3"/>
  <c r="DB147" i="3"/>
  <c r="DC147" i="3"/>
  <c r="A148" i="3"/>
  <c r="CY148" i="3"/>
  <c r="CZ148" i="3"/>
  <c r="DB148" i="3" s="1"/>
  <c r="DA148" i="3"/>
  <c r="DC148" i="3"/>
  <c r="A149" i="3"/>
  <c r="CY149" i="3"/>
  <c r="CZ149" i="3"/>
  <c r="DB149" i="3" s="1"/>
  <c r="DA149" i="3"/>
  <c r="DC149" i="3"/>
  <c r="A150" i="3"/>
  <c r="CY150" i="3"/>
  <c r="CZ150" i="3"/>
  <c r="DA150" i="3"/>
  <c r="DB150" i="3"/>
  <c r="DC150" i="3"/>
  <c r="A151" i="3"/>
  <c r="CY151" i="3"/>
  <c r="CZ151" i="3"/>
  <c r="DA151" i="3"/>
  <c r="DB151" i="3"/>
  <c r="DC151" i="3"/>
  <c r="A152" i="3"/>
  <c r="CY152" i="3"/>
  <c r="CZ152" i="3"/>
  <c r="DB152" i="3" s="1"/>
  <c r="DA152" i="3"/>
  <c r="DC152" i="3"/>
  <c r="A153" i="3"/>
  <c r="CY153" i="3"/>
  <c r="CZ153" i="3"/>
  <c r="DB153" i="3" s="1"/>
  <c r="DA153" i="3"/>
  <c r="DC153" i="3"/>
  <c r="A154" i="3"/>
  <c r="CY154" i="3"/>
  <c r="CZ154" i="3"/>
  <c r="DA154" i="3"/>
  <c r="DB154" i="3"/>
  <c r="DC154" i="3"/>
  <c r="A155" i="3"/>
  <c r="CY155" i="3"/>
  <c r="CZ155" i="3"/>
  <c r="DA155" i="3"/>
  <c r="DB155" i="3"/>
  <c r="DC155" i="3"/>
  <c r="A156" i="3"/>
  <c r="CY156" i="3"/>
  <c r="CZ156" i="3"/>
  <c r="DB156" i="3" s="1"/>
  <c r="DA156" i="3"/>
  <c r="DC156" i="3"/>
  <c r="A157" i="3"/>
  <c r="CY157" i="3"/>
  <c r="CZ157" i="3"/>
  <c r="DB157" i="3" s="1"/>
  <c r="DA157" i="3"/>
  <c r="DC157" i="3"/>
  <c r="A158" i="3"/>
  <c r="CY158" i="3"/>
  <c r="CZ158" i="3"/>
  <c r="DA158" i="3"/>
  <c r="DB158" i="3"/>
  <c r="DC158" i="3"/>
  <c r="A159" i="3"/>
  <c r="CY159" i="3"/>
  <c r="CZ159" i="3"/>
  <c r="DA159" i="3"/>
  <c r="DB159" i="3"/>
  <c r="DC159" i="3"/>
  <c r="A160" i="3"/>
  <c r="CY160" i="3"/>
  <c r="CZ160" i="3"/>
  <c r="DB160" i="3" s="1"/>
  <c r="DA160" i="3"/>
  <c r="DC160" i="3"/>
  <c r="A161" i="3"/>
  <c r="CY161" i="3"/>
  <c r="CZ161" i="3"/>
  <c r="DB161" i="3" s="1"/>
  <c r="DA161" i="3"/>
  <c r="DC161" i="3"/>
  <c r="A162" i="3"/>
  <c r="CX162" i="3"/>
  <c r="CY162" i="3"/>
  <c r="CZ162" i="3"/>
  <c r="DA162" i="3"/>
  <c r="DB162" i="3"/>
  <c r="DC162" i="3"/>
  <c r="A163" i="3"/>
  <c r="CX163" i="3"/>
  <c r="CY163" i="3"/>
  <c r="CZ163" i="3"/>
  <c r="DA163" i="3"/>
  <c r="DB163" i="3"/>
  <c r="DC163" i="3"/>
  <c r="A164" i="3"/>
  <c r="CX164" i="3"/>
  <c r="CY164" i="3"/>
  <c r="CZ164" i="3"/>
  <c r="DB164" i="3" s="1"/>
  <c r="DA164" i="3"/>
  <c r="DC164" i="3"/>
  <c r="A165" i="3"/>
  <c r="CX165" i="3"/>
  <c r="CY165" i="3"/>
  <c r="CZ165" i="3"/>
  <c r="DB165" i="3" s="1"/>
  <c r="DA165" i="3"/>
  <c r="DC165" i="3"/>
  <c r="A166" i="3"/>
  <c r="CX166" i="3"/>
  <c r="CY166" i="3"/>
  <c r="CZ166" i="3"/>
  <c r="DA166" i="3"/>
  <c r="DB166" i="3"/>
  <c r="DC166" i="3"/>
  <c r="A167" i="3"/>
  <c r="CX167" i="3"/>
  <c r="CY167" i="3"/>
  <c r="CZ167" i="3"/>
  <c r="DA167" i="3"/>
  <c r="DB167" i="3"/>
  <c r="DC167" i="3"/>
  <c r="A168" i="3"/>
  <c r="CX168" i="3"/>
  <c r="CY168" i="3"/>
  <c r="CZ168" i="3"/>
  <c r="DB168" i="3" s="1"/>
  <c r="DA168" i="3"/>
  <c r="DC168" i="3"/>
  <c r="A169" i="3"/>
  <c r="CX169" i="3"/>
  <c r="CY169" i="3"/>
  <c r="CZ169" i="3"/>
  <c r="DB169" i="3" s="1"/>
  <c r="DA169" i="3"/>
  <c r="DC169" i="3"/>
  <c r="A170" i="3"/>
  <c r="CX170" i="3"/>
  <c r="CY170" i="3"/>
  <c r="CZ170" i="3"/>
  <c r="DA170" i="3"/>
  <c r="DB170" i="3"/>
  <c r="DC170" i="3"/>
  <c r="A171" i="3"/>
  <c r="CY171" i="3"/>
  <c r="CZ171" i="3"/>
  <c r="DA171" i="3"/>
  <c r="DB171" i="3"/>
  <c r="DC171" i="3"/>
  <c r="A172" i="3"/>
  <c r="CY172" i="3"/>
  <c r="CZ172" i="3"/>
  <c r="DB172" i="3" s="1"/>
  <c r="DA172" i="3"/>
  <c r="DC172" i="3"/>
  <c r="A173" i="3"/>
  <c r="CY173" i="3"/>
  <c r="CZ173" i="3"/>
  <c r="DB173" i="3" s="1"/>
  <c r="DA173" i="3"/>
  <c r="DC173" i="3"/>
  <c r="A174" i="3"/>
  <c r="CY174" i="3"/>
  <c r="CZ174" i="3"/>
  <c r="DA174" i="3"/>
  <c r="DB174" i="3"/>
  <c r="DC174" i="3"/>
  <c r="A175" i="3"/>
  <c r="CY175" i="3"/>
  <c r="CZ175" i="3"/>
  <c r="DA175" i="3"/>
  <c r="DB175" i="3"/>
  <c r="DC175" i="3"/>
  <c r="A176" i="3"/>
  <c r="CY176" i="3"/>
  <c r="CZ176" i="3"/>
  <c r="DB176" i="3" s="1"/>
  <c r="DA176" i="3"/>
  <c r="DC176" i="3"/>
  <c r="A177" i="3"/>
  <c r="CY177" i="3"/>
  <c r="CZ177" i="3"/>
  <c r="DB177" i="3" s="1"/>
  <c r="DA177" i="3"/>
  <c r="DC177" i="3"/>
  <c r="A178" i="3"/>
  <c r="CY178" i="3"/>
  <c r="CZ178" i="3"/>
  <c r="DA178" i="3"/>
  <c r="DB178" i="3"/>
  <c r="DC178" i="3"/>
  <c r="A179" i="3"/>
  <c r="CY179" i="3"/>
  <c r="CZ179" i="3"/>
  <c r="DA179" i="3"/>
  <c r="DB179" i="3"/>
  <c r="DC179" i="3"/>
  <c r="A180" i="3"/>
  <c r="CY180" i="3"/>
  <c r="CZ180" i="3"/>
  <c r="DB180" i="3" s="1"/>
  <c r="DA180" i="3"/>
  <c r="DC180" i="3"/>
  <c r="A181" i="3"/>
  <c r="CY181" i="3"/>
  <c r="CZ181" i="3"/>
  <c r="DB181" i="3" s="1"/>
  <c r="DA181" i="3"/>
  <c r="DC181" i="3"/>
  <c r="A182" i="3"/>
  <c r="CY182" i="3"/>
  <c r="CZ182" i="3"/>
  <c r="DA182" i="3"/>
  <c r="DB182" i="3"/>
  <c r="DC182" i="3"/>
  <c r="A183" i="3"/>
  <c r="CY183" i="3"/>
  <c r="CZ183" i="3"/>
  <c r="DA183" i="3"/>
  <c r="DB183" i="3"/>
  <c r="DC183" i="3"/>
  <c r="A184" i="3"/>
  <c r="CY184" i="3"/>
  <c r="CZ184" i="3"/>
  <c r="DB184" i="3" s="1"/>
  <c r="DA184" i="3"/>
  <c r="DC184" i="3"/>
  <c r="A185" i="3"/>
  <c r="CY185" i="3"/>
  <c r="CZ185" i="3"/>
  <c r="DB185" i="3" s="1"/>
  <c r="DA185" i="3"/>
  <c r="DC185" i="3"/>
  <c r="A186" i="3"/>
  <c r="CY186" i="3"/>
  <c r="CZ186" i="3"/>
  <c r="DA186" i="3"/>
  <c r="DB186" i="3"/>
  <c r="DC186" i="3"/>
  <c r="A187" i="3"/>
  <c r="CX187" i="3"/>
  <c r="CY187" i="3"/>
  <c r="CZ187" i="3"/>
  <c r="DA187" i="3"/>
  <c r="DB187" i="3"/>
  <c r="DC187" i="3"/>
  <c r="A188" i="3"/>
  <c r="CY188" i="3"/>
  <c r="CZ188" i="3"/>
  <c r="DA188" i="3"/>
  <c r="DB188" i="3"/>
  <c r="DC188" i="3"/>
  <c r="A189" i="3"/>
  <c r="CY189" i="3"/>
  <c r="CZ189" i="3"/>
  <c r="DB189" i="3" s="1"/>
  <c r="DA189" i="3"/>
  <c r="DC189" i="3"/>
  <c r="A190" i="3"/>
  <c r="CY190" i="3"/>
  <c r="CZ190" i="3"/>
  <c r="DA190" i="3"/>
  <c r="DB190" i="3"/>
  <c r="DC190" i="3"/>
  <c r="A191" i="3"/>
  <c r="CY191" i="3"/>
  <c r="CZ191" i="3"/>
  <c r="DA191" i="3"/>
  <c r="DB191" i="3"/>
  <c r="DC191" i="3"/>
  <c r="A192" i="3"/>
  <c r="CY192" i="3"/>
  <c r="CZ192" i="3"/>
  <c r="DA192" i="3"/>
  <c r="DB192" i="3"/>
  <c r="DC192" i="3"/>
  <c r="A193" i="3"/>
  <c r="CY193" i="3"/>
  <c r="CZ193" i="3"/>
  <c r="DB193" i="3" s="1"/>
  <c r="DA193" i="3"/>
  <c r="DC193" i="3"/>
  <c r="A194" i="3"/>
  <c r="CY194" i="3"/>
  <c r="CZ194" i="3"/>
  <c r="DB194" i="3" s="1"/>
  <c r="DA194" i="3"/>
  <c r="DC194" i="3"/>
  <c r="A195" i="3"/>
  <c r="CY195" i="3"/>
  <c r="CZ195" i="3"/>
  <c r="DA195" i="3"/>
  <c r="DB195" i="3"/>
  <c r="DC195" i="3"/>
  <c r="A196" i="3"/>
  <c r="CY196" i="3"/>
  <c r="CZ196" i="3"/>
  <c r="DA196" i="3"/>
  <c r="DB196" i="3"/>
  <c r="DC196" i="3"/>
  <c r="A197" i="3"/>
  <c r="CY197" i="3"/>
  <c r="CZ197" i="3"/>
  <c r="DB197" i="3" s="1"/>
  <c r="DA197" i="3"/>
  <c r="DC197" i="3"/>
  <c r="A198" i="3"/>
  <c r="CY198" i="3"/>
  <c r="CZ198" i="3"/>
  <c r="DB198" i="3" s="1"/>
  <c r="DA198" i="3"/>
  <c r="DC198" i="3"/>
  <c r="A199" i="3"/>
  <c r="CY199" i="3"/>
  <c r="CZ199" i="3"/>
  <c r="DA199" i="3"/>
  <c r="DB199" i="3"/>
  <c r="DC199" i="3"/>
  <c r="A200" i="3"/>
  <c r="CY200" i="3"/>
  <c r="CZ200" i="3"/>
  <c r="DA200" i="3"/>
  <c r="DB200" i="3"/>
  <c r="DC200" i="3"/>
  <c r="A201" i="3"/>
  <c r="CY201" i="3"/>
  <c r="CZ201" i="3"/>
  <c r="DB201" i="3" s="1"/>
  <c r="DA201" i="3"/>
  <c r="DC201" i="3"/>
  <c r="A202" i="3"/>
  <c r="CY202" i="3"/>
  <c r="CZ202" i="3"/>
  <c r="DB202" i="3" s="1"/>
  <c r="DA202" i="3"/>
  <c r="DC202" i="3"/>
  <c r="A203" i="3"/>
  <c r="CY203" i="3"/>
  <c r="CZ203" i="3"/>
  <c r="DA203" i="3"/>
  <c r="DB203" i="3"/>
  <c r="DC203" i="3"/>
  <c r="A204" i="3"/>
  <c r="CY204" i="3"/>
  <c r="CZ204" i="3"/>
  <c r="DA204" i="3"/>
  <c r="DB204" i="3"/>
  <c r="DC204" i="3"/>
  <c r="A205" i="3"/>
  <c r="CY205" i="3"/>
  <c r="CZ205" i="3"/>
  <c r="DB205" i="3" s="1"/>
  <c r="DA205" i="3"/>
  <c r="DC205" i="3"/>
  <c r="A206" i="3"/>
  <c r="CY206" i="3"/>
  <c r="CZ206" i="3"/>
  <c r="DB206" i="3" s="1"/>
  <c r="DA206" i="3"/>
  <c r="DC206" i="3"/>
  <c r="A207" i="3"/>
  <c r="CY207" i="3"/>
  <c r="CZ207" i="3"/>
  <c r="DA207" i="3"/>
  <c r="DB207" i="3"/>
  <c r="DC207" i="3"/>
  <c r="A208" i="3"/>
  <c r="CY208" i="3"/>
  <c r="CZ208" i="3"/>
  <c r="DA208" i="3"/>
  <c r="DB208" i="3"/>
  <c r="DC208" i="3"/>
  <c r="A209" i="3"/>
  <c r="CY209" i="3"/>
  <c r="CZ209" i="3"/>
  <c r="DB209" i="3" s="1"/>
  <c r="DA209" i="3"/>
  <c r="DC209" i="3"/>
  <c r="A210" i="3"/>
  <c r="CY210" i="3"/>
  <c r="CZ210" i="3"/>
  <c r="DB210" i="3" s="1"/>
  <c r="DA210" i="3"/>
  <c r="DC210" i="3"/>
  <c r="A211" i="3"/>
  <c r="CY211" i="3"/>
  <c r="CZ211" i="3"/>
  <c r="DA211" i="3"/>
  <c r="DB211" i="3"/>
  <c r="DC211" i="3"/>
  <c r="A212" i="3"/>
  <c r="CY212" i="3"/>
  <c r="CZ212" i="3"/>
  <c r="DA212" i="3"/>
  <c r="DB212" i="3"/>
  <c r="DC212" i="3"/>
  <c r="A213" i="3"/>
  <c r="CY213" i="3"/>
  <c r="CZ213" i="3"/>
  <c r="DB213" i="3" s="1"/>
  <c r="DA213" i="3"/>
  <c r="DC213" i="3"/>
  <c r="A214" i="3"/>
  <c r="CY214" i="3"/>
  <c r="CZ214" i="3"/>
  <c r="DB214" i="3" s="1"/>
  <c r="DA214" i="3"/>
  <c r="DC214" i="3"/>
  <c r="A215" i="3"/>
  <c r="CY215" i="3"/>
  <c r="CZ215" i="3"/>
  <c r="DA215" i="3"/>
  <c r="DB215" i="3"/>
  <c r="DC215" i="3"/>
  <c r="A216" i="3"/>
  <c r="CY216" i="3"/>
  <c r="CZ216" i="3"/>
  <c r="DA216" i="3"/>
  <c r="DB216" i="3"/>
  <c r="DC216" i="3"/>
  <c r="A217" i="3"/>
  <c r="CY217" i="3"/>
  <c r="CZ217" i="3"/>
  <c r="DB217" i="3" s="1"/>
  <c r="DA217" i="3"/>
  <c r="DC217" i="3"/>
  <c r="A218" i="3"/>
  <c r="CY218" i="3"/>
  <c r="CZ218" i="3"/>
  <c r="DB218" i="3" s="1"/>
  <c r="DA218" i="3"/>
  <c r="DC218" i="3"/>
  <c r="A219" i="3"/>
  <c r="CY219" i="3"/>
  <c r="CZ219" i="3"/>
  <c r="DA219" i="3"/>
  <c r="DB219" i="3"/>
  <c r="DC219" i="3"/>
  <c r="A220" i="3"/>
  <c r="CY220" i="3"/>
  <c r="CZ220" i="3"/>
  <c r="DA220" i="3"/>
  <c r="DB220" i="3"/>
  <c r="DC220" i="3"/>
  <c r="A221" i="3"/>
  <c r="CY221" i="3"/>
  <c r="CZ221" i="3"/>
  <c r="DB221" i="3" s="1"/>
  <c r="DA221" i="3"/>
  <c r="DC221" i="3"/>
  <c r="A222" i="3"/>
  <c r="CX222" i="3"/>
  <c r="CY222" i="3"/>
  <c r="CZ222" i="3"/>
  <c r="DB222" i="3" s="1"/>
  <c r="DA222" i="3"/>
  <c r="DC222" i="3"/>
  <c r="A223" i="3"/>
  <c r="CX223" i="3"/>
  <c r="CY223" i="3"/>
  <c r="CZ223" i="3"/>
  <c r="DA223" i="3"/>
  <c r="DB223" i="3"/>
  <c r="DC223" i="3"/>
  <c r="A224" i="3"/>
  <c r="CX224" i="3"/>
  <c r="CY224" i="3"/>
  <c r="CZ224" i="3"/>
  <c r="DA224" i="3"/>
  <c r="DB224" i="3"/>
  <c r="DC224" i="3"/>
  <c r="A225" i="3"/>
  <c r="CX225" i="3"/>
  <c r="CY225" i="3"/>
  <c r="CZ225" i="3"/>
  <c r="DB225" i="3" s="1"/>
  <c r="DA225" i="3"/>
  <c r="DC225" i="3"/>
  <c r="A226" i="3"/>
  <c r="CX226" i="3"/>
  <c r="CY226" i="3"/>
  <c r="CZ226" i="3"/>
  <c r="DB226" i="3" s="1"/>
  <c r="DA226" i="3"/>
  <c r="DC226" i="3"/>
  <c r="A227" i="3"/>
  <c r="CX227" i="3"/>
  <c r="CY227" i="3"/>
  <c r="CZ227" i="3"/>
  <c r="DA227" i="3"/>
  <c r="DB227" i="3"/>
  <c r="DC227" i="3"/>
  <c r="A228" i="3"/>
  <c r="CX228" i="3"/>
  <c r="CY228" i="3"/>
  <c r="CZ228" i="3"/>
  <c r="DA228" i="3"/>
  <c r="DB228" i="3"/>
  <c r="DC228" i="3"/>
  <c r="A229" i="3"/>
  <c r="CX229" i="3"/>
  <c r="CY229" i="3"/>
  <c r="CZ229" i="3"/>
  <c r="DB229" i="3" s="1"/>
  <c r="DA229" i="3"/>
  <c r="DC229" i="3"/>
  <c r="A230" i="3"/>
  <c r="CX230" i="3"/>
  <c r="CY230" i="3"/>
  <c r="CZ230" i="3"/>
  <c r="DB230" i="3" s="1"/>
  <c r="DA230" i="3"/>
  <c r="DC230" i="3"/>
  <c r="A231" i="3"/>
  <c r="CY231" i="3"/>
  <c r="CZ231" i="3"/>
  <c r="DA231" i="3"/>
  <c r="DB231" i="3"/>
  <c r="DC231" i="3"/>
  <c r="A232" i="3"/>
  <c r="CY232" i="3"/>
  <c r="CZ232" i="3"/>
  <c r="DA232" i="3"/>
  <c r="DB232" i="3"/>
  <c r="DC232" i="3"/>
  <c r="A233" i="3"/>
  <c r="CY233" i="3"/>
  <c r="CZ233" i="3"/>
  <c r="DB233" i="3" s="1"/>
  <c r="DA233" i="3"/>
  <c r="DC233" i="3"/>
  <c r="A234" i="3"/>
  <c r="CY234" i="3"/>
  <c r="CZ234" i="3"/>
  <c r="DB234" i="3" s="1"/>
  <c r="DA234" i="3"/>
  <c r="DC234" i="3"/>
  <c r="A235" i="3"/>
  <c r="CY235" i="3"/>
  <c r="CZ235" i="3"/>
  <c r="DA235" i="3"/>
  <c r="DB235" i="3"/>
  <c r="DC235" i="3"/>
  <c r="A236" i="3"/>
  <c r="CY236" i="3"/>
  <c r="CZ236" i="3"/>
  <c r="DA236" i="3"/>
  <c r="DB236" i="3"/>
  <c r="DC236" i="3"/>
  <c r="A237" i="3"/>
  <c r="CY237" i="3"/>
  <c r="CZ237" i="3"/>
  <c r="DB237" i="3" s="1"/>
  <c r="DA237" i="3"/>
  <c r="DC237" i="3"/>
  <c r="A238" i="3"/>
  <c r="CY238" i="3"/>
  <c r="CZ238" i="3"/>
  <c r="DB238" i="3" s="1"/>
  <c r="DA238" i="3"/>
  <c r="DC238" i="3"/>
  <c r="A239" i="3"/>
  <c r="CY239" i="3"/>
  <c r="CZ239" i="3"/>
  <c r="DA239" i="3"/>
  <c r="DB239" i="3"/>
  <c r="DC239" i="3"/>
  <c r="A240" i="3"/>
  <c r="CY240" i="3"/>
  <c r="CZ240" i="3"/>
  <c r="DA240" i="3"/>
  <c r="DB240" i="3"/>
  <c r="DC240" i="3"/>
  <c r="A241" i="3"/>
  <c r="CY241" i="3"/>
  <c r="CZ241" i="3"/>
  <c r="DB241" i="3" s="1"/>
  <c r="DA241" i="3"/>
  <c r="DC241" i="3"/>
  <c r="A242" i="3"/>
  <c r="CY242" i="3"/>
  <c r="CZ242" i="3"/>
  <c r="DB242" i="3" s="1"/>
  <c r="DA242" i="3"/>
  <c r="DC242" i="3"/>
  <c r="A243" i="3"/>
  <c r="CY243" i="3"/>
  <c r="CZ243" i="3"/>
  <c r="DA243" i="3"/>
  <c r="DB243" i="3"/>
  <c r="DC243" i="3"/>
  <c r="A244" i="3"/>
  <c r="CY244" i="3"/>
  <c r="CZ244" i="3"/>
  <c r="DA244" i="3"/>
  <c r="DB244" i="3"/>
  <c r="DC244" i="3"/>
  <c r="A245" i="3"/>
  <c r="CY245" i="3"/>
  <c r="CZ245" i="3"/>
  <c r="DB245" i="3" s="1"/>
  <c r="DA245" i="3"/>
  <c r="DC245" i="3"/>
  <c r="A246" i="3"/>
  <c r="CY246" i="3"/>
  <c r="CZ246" i="3"/>
  <c r="DB246" i="3" s="1"/>
  <c r="DA246" i="3"/>
  <c r="DC246" i="3"/>
  <c r="A247" i="3"/>
  <c r="CY247" i="3"/>
  <c r="CZ247" i="3"/>
  <c r="DA247" i="3"/>
  <c r="DB247" i="3"/>
  <c r="DC247" i="3"/>
  <c r="A248" i="3"/>
  <c r="CY248" i="3"/>
  <c r="CZ248" i="3"/>
  <c r="DA248" i="3"/>
  <c r="DB248" i="3"/>
  <c r="DC248" i="3"/>
  <c r="A249" i="3"/>
  <c r="CY249" i="3"/>
  <c r="CZ249" i="3"/>
  <c r="DB249" i="3" s="1"/>
  <c r="DA249" i="3"/>
  <c r="DC249" i="3"/>
  <c r="A250" i="3"/>
  <c r="CY250" i="3"/>
  <c r="CZ250" i="3"/>
  <c r="DB250" i="3" s="1"/>
  <c r="DA250" i="3"/>
  <c r="DC250" i="3"/>
  <c r="A251" i="3"/>
  <c r="CY251" i="3"/>
  <c r="CZ251" i="3"/>
  <c r="DA251" i="3"/>
  <c r="DB251" i="3"/>
  <c r="DC251" i="3"/>
  <c r="A252" i="3"/>
  <c r="CY252" i="3"/>
  <c r="CZ252" i="3"/>
  <c r="DA252" i="3"/>
  <c r="DB252" i="3"/>
  <c r="DC252" i="3"/>
  <c r="A253" i="3"/>
  <c r="CY253" i="3"/>
  <c r="CZ253" i="3"/>
  <c r="DB253" i="3" s="1"/>
  <c r="DA253" i="3"/>
  <c r="DC253" i="3"/>
  <c r="A254" i="3"/>
  <c r="CY254" i="3"/>
  <c r="CZ254" i="3"/>
  <c r="DB254" i="3" s="1"/>
  <c r="DA254" i="3"/>
  <c r="DC254" i="3"/>
  <c r="A255" i="3"/>
  <c r="CY255" i="3"/>
  <c r="CZ255" i="3"/>
  <c r="DA255" i="3"/>
  <c r="DB255" i="3"/>
  <c r="DC255" i="3"/>
  <c r="A256" i="3"/>
  <c r="CY256" i="3"/>
  <c r="CZ256" i="3"/>
  <c r="DA256" i="3"/>
  <c r="DB256" i="3"/>
  <c r="DC256" i="3"/>
  <c r="A257" i="3"/>
  <c r="CY257" i="3"/>
  <c r="CZ257" i="3"/>
  <c r="DB257" i="3" s="1"/>
  <c r="DA257" i="3"/>
  <c r="DC257" i="3"/>
  <c r="A258" i="3"/>
  <c r="CY258" i="3"/>
  <c r="CZ258" i="3"/>
  <c r="DB258" i="3" s="1"/>
  <c r="DA258" i="3"/>
  <c r="DC258" i="3"/>
  <c r="A259" i="3"/>
  <c r="CY259" i="3"/>
  <c r="CZ259" i="3"/>
  <c r="DA259" i="3"/>
  <c r="DB259" i="3"/>
  <c r="DC259" i="3"/>
  <c r="A260" i="3"/>
  <c r="CY260" i="3"/>
  <c r="CZ260" i="3"/>
  <c r="DA260" i="3"/>
  <c r="DB260" i="3"/>
  <c r="DC260" i="3"/>
  <c r="A261" i="3"/>
  <c r="CY261" i="3"/>
  <c r="CZ261" i="3"/>
  <c r="DB261" i="3" s="1"/>
  <c r="DA261" i="3"/>
  <c r="DC261" i="3"/>
  <c r="A262" i="3"/>
  <c r="CY262" i="3"/>
  <c r="CZ262" i="3"/>
  <c r="DB262" i="3" s="1"/>
  <c r="DA262" i="3"/>
  <c r="DC262" i="3"/>
  <c r="A263" i="3"/>
  <c r="CY263" i="3"/>
  <c r="CZ263" i="3"/>
  <c r="DA263" i="3"/>
  <c r="DB263" i="3"/>
  <c r="DC263" i="3"/>
  <c r="A264" i="3"/>
  <c r="CY264" i="3"/>
  <c r="CZ264" i="3"/>
  <c r="DA264" i="3"/>
  <c r="DB264" i="3"/>
  <c r="DC264" i="3"/>
  <c r="A265" i="3"/>
  <c r="CY265" i="3"/>
  <c r="CZ265" i="3"/>
  <c r="DB265" i="3" s="1"/>
  <c r="DA265" i="3"/>
  <c r="DC265" i="3"/>
  <c r="A266" i="3"/>
  <c r="CY266" i="3"/>
  <c r="CZ266" i="3"/>
  <c r="DB266" i="3" s="1"/>
  <c r="DA266" i="3"/>
  <c r="DC266" i="3"/>
  <c r="A267" i="3"/>
  <c r="CY267" i="3"/>
  <c r="CZ267" i="3"/>
  <c r="DA267" i="3"/>
  <c r="DB267" i="3"/>
  <c r="DC267" i="3"/>
  <c r="A268" i="3"/>
  <c r="CY268" i="3"/>
  <c r="CZ268" i="3"/>
  <c r="DA268" i="3"/>
  <c r="DB268" i="3"/>
  <c r="DC268" i="3"/>
  <c r="A269" i="3"/>
  <c r="CY269" i="3"/>
  <c r="CZ269" i="3"/>
  <c r="DB269" i="3" s="1"/>
  <c r="DA269" i="3"/>
  <c r="DC269" i="3"/>
  <c r="A270" i="3"/>
  <c r="CY270" i="3"/>
  <c r="CZ270" i="3"/>
  <c r="DB270" i="3" s="1"/>
  <c r="DA270" i="3"/>
  <c r="DC270" i="3"/>
  <c r="A271" i="3"/>
  <c r="CY271" i="3"/>
  <c r="CZ271" i="3"/>
  <c r="DA271" i="3"/>
  <c r="DB271" i="3"/>
  <c r="DC271" i="3"/>
  <c r="A272" i="3"/>
  <c r="CY272" i="3"/>
  <c r="CZ272" i="3"/>
  <c r="DA272" i="3"/>
  <c r="DB272" i="3"/>
  <c r="DC272" i="3"/>
  <c r="A273" i="3"/>
  <c r="CY273" i="3"/>
  <c r="CZ273" i="3"/>
  <c r="DB273" i="3" s="1"/>
  <c r="DA273" i="3"/>
  <c r="DC273" i="3"/>
  <c r="A274" i="3"/>
  <c r="CY274" i="3"/>
  <c r="CZ274" i="3"/>
  <c r="DB274" i="3" s="1"/>
  <c r="DA274" i="3"/>
  <c r="DC274" i="3"/>
  <c r="A275" i="3"/>
  <c r="CY275" i="3"/>
  <c r="CZ275" i="3"/>
  <c r="DA275" i="3"/>
  <c r="DB275" i="3"/>
  <c r="DC275" i="3"/>
  <c r="A276" i="3"/>
  <c r="CY276" i="3"/>
  <c r="CZ276" i="3"/>
  <c r="DA276" i="3"/>
  <c r="DB276" i="3"/>
  <c r="DC276" i="3"/>
  <c r="A277" i="3"/>
  <c r="CY277" i="3"/>
  <c r="CZ277" i="3"/>
  <c r="DB277" i="3" s="1"/>
  <c r="DA277" i="3"/>
  <c r="DC277" i="3"/>
  <c r="A278" i="3"/>
  <c r="CY278" i="3"/>
  <c r="CZ278" i="3"/>
  <c r="DB278" i="3" s="1"/>
  <c r="DA278" i="3"/>
  <c r="DC278" i="3"/>
  <c r="A279" i="3"/>
  <c r="CY279" i="3"/>
  <c r="CZ279" i="3"/>
  <c r="DA279" i="3"/>
  <c r="DB279" i="3"/>
  <c r="DC279" i="3"/>
  <c r="A280" i="3"/>
  <c r="CY280" i="3"/>
  <c r="CZ280" i="3"/>
  <c r="DA280" i="3"/>
  <c r="DB280" i="3"/>
  <c r="DC280" i="3"/>
  <c r="A281" i="3"/>
  <c r="CY281" i="3"/>
  <c r="CZ281" i="3"/>
  <c r="DB281" i="3" s="1"/>
  <c r="DA281" i="3"/>
  <c r="DC281" i="3"/>
  <c r="A282" i="3"/>
  <c r="CY282" i="3"/>
  <c r="CZ282" i="3"/>
  <c r="DB282" i="3" s="1"/>
  <c r="DA282" i="3"/>
  <c r="DC282" i="3"/>
  <c r="A283" i="3"/>
  <c r="CY283" i="3"/>
  <c r="CZ283" i="3"/>
  <c r="DA283" i="3"/>
  <c r="DB283" i="3"/>
  <c r="DC283" i="3"/>
  <c r="A284" i="3"/>
  <c r="CY284" i="3"/>
  <c r="CZ284" i="3"/>
  <c r="DA284" i="3"/>
  <c r="DB284" i="3"/>
  <c r="DC284" i="3"/>
  <c r="A285" i="3"/>
  <c r="CY285" i="3"/>
  <c r="CZ285" i="3"/>
  <c r="DB285" i="3" s="1"/>
  <c r="DA285" i="3"/>
  <c r="DC285" i="3"/>
  <c r="A286" i="3"/>
  <c r="CY286" i="3"/>
  <c r="CZ286" i="3"/>
  <c r="DB286" i="3" s="1"/>
  <c r="DA286" i="3"/>
  <c r="DC286" i="3"/>
  <c r="A287" i="3"/>
  <c r="CY287" i="3"/>
  <c r="CZ287" i="3"/>
  <c r="DA287" i="3"/>
  <c r="DB287" i="3"/>
  <c r="DC287" i="3"/>
  <c r="A288" i="3"/>
  <c r="CY288" i="3"/>
  <c r="CZ288" i="3"/>
  <c r="DA288" i="3"/>
  <c r="DB288" i="3"/>
  <c r="DC288" i="3"/>
  <c r="A289" i="3"/>
  <c r="CY289" i="3"/>
  <c r="CZ289" i="3"/>
  <c r="DB289" i="3" s="1"/>
  <c r="DA289" i="3"/>
  <c r="DC289" i="3"/>
  <c r="A290" i="3"/>
  <c r="CY290" i="3"/>
  <c r="CZ290" i="3"/>
  <c r="DB290" i="3" s="1"/>
  <c r="DA290" i="3"/>
  <c r="DC290" i="3"/>
  <c r="A291" i="3"/>
  <c r="CY291" i="3"/>
  <c r="CZ291" i="3"/>
  <c r="DA291" i="3"/>
  <c r="DB291" i="3"/>
  <c r="DC291" i="3"/>
  <c r="A292" i="3"/>
  <c r="CX292" i="3"/>
  <c r="CY292" i="3"/>
  <c r="CZ292" i="3"/>
  <c r="DA292" i="3"/>
  <c r="DB292" i="3"/>
  <c r="DC292" i="3"/>
  <c r="A293" i="3"/>
  <c r="CX293" i="3"/>
  <c r="CY293" i="3"/>
  <c r="CZ293" i="3"/>
  <c r="DB293" i="3" s="1"/>
  <c r="DA293" i="3"/>
  <c r="DC293" i="3"/>
  <c r="A294" i="3"/>
  <c r="CX294" i="3"/>
  <c r="CY294" i="3"/>
  <c r="CZ294" i="3"/>
  <c r="DB294" i="3" s="1"/>
  <c r="DA294" i="3"/>
  <c r="DC294" i="3"/>
  <c r="A295" i="3"/>
  <c r="CX295" i="3"/>
  <c r="CY295" i="3"/>
  <c r="CZ295" i="3"/>
  <c r="DA295" i="3"/>
  <c r="DB295" i="3"/>
  <c r="DC295" i="3"/>
  <c r="A296" i="3"/>
  <c r="CX296" i="3"/>
  <c r="CY296" i="3"/>
  <c r="CZ296" i="3"/>
  <c r="DA296" i="3"/>
  <c r="DB296" i="3"/>
  <c r="DC296" i="3"/>
  <c r="A297" i="3"/>
  <c r="CX297" i="3"/>
  <c r="CY297" i="3"/>
  <c r="CZ297" i="3"/>
  <c r="DB297" i="3" s="1"/>
  <c r="DA297" i="3"/>
  <c r="DC297" i="3"/>
  <c r="A298" i="3"/>
  <c r="CX298" i="3"/>
  <c r="CY298" i="3"/>
  <c r="CZ298" i="3"/>
  <c r="DB298" i="3" s="1"/>
  <c r="DA298" i="3"/>
  <c r="DC298" i="3"/>
  <c r="A299" i="3"/>
  <c r="CX299" i="3"/>
  <c r="CY299" i="3"/>
  <c r="CZ299" i="3"/>
  <c r="DA299" i="3"/>
  <c r="DB299" i="3"/>
  <c r="DC299" i="3"/>
  <c r="A300" i="3"/>
  <c r="CX300" i="3"/>
  <c r="CY300" i="3"/>
  <c r="CZ300" i="3"/>
  <c r="DA300" i="3"/>
  <c r="DB300" i="3"/>
  <c r="DC300" i="3"/>
  <c r="A301" i="3"/>
  <c r="CY301" i="3"/>
  <c r="CZ301" i="3"/>
  <c r="DB301" i="3" s="1"/>
  <c r="DA301" i="3"/>
  <c r="DC301" i="3"/>
  <c r="A302" i="3"/>
  <c r="CY302" i="3"/>
  <c r="CZ302" i="3"/>
  <c r="DB302" i="3" s="1"/>
  <c r="DA302" i="3"/>
  <c r="DC302" i="3"/>
  <c r="A303" i="3"/>
  <c r="CY303" i="3"/>
  <c r="CZ303" i="3"/>
  <c r="DA303" i="3"/>
  <c r="DB303" i="3"/>
  <c r="DC303" i="3"/>
  <c r="A304" i="3"/>
  <c r="CY304" i="3"/>
  <c r="CZ304" i="3"/>
  <c r="DA304" i="3"/>
  <c r="DB304" i="3"/>
  <c r="DC304" i="3"/>
  <c r="A305" i="3"/>
  <c r="CY305" i="3"/>
  <c r="CZ305" i="3"/>
  <c r="DB305" i="3" s="1"/>
  <c r="DA305" i="3"/>
  <c r="DC305" i="3"/>
  <c r="A306" i="3"/>
  <c r="CY306" i="3"/>
  <c r="CZ306" i="3"/>
  <c r="DB306" i="3" s="1"/>
  <c r="DA306" i="3"/>
  <c r="DC306" i="3"/>
  <c r="A307" i="3"/>
  <c r="CY307" i="3"/>
  <c r="CZ307" i="3"/>
  <c r="DA307" i="3"/>
  <c r="DB307" i="3"/>
  <c r="DC307" i="3"/>
  <c r="A308" i="3"/>
  <c r="CY308" i="3"/>
  <c r="CZ308" i="3"/>
  <c r="DA308" i="3"/>
  <c r="DB308" i="3"/>
  <c r="DC308" i="3"/>
  <c r="A309" i="3"/>
  <c r="CY309" i="3"/>
  <c r="CZ309" i="3"/>
  <c r="DB309" i="3" s="1"/>
  <c r="DA309" i="3"/>
  <c r="DC309" i="3"/>
  <c r="A310" i="3"/>
  <c r="CY310" i="3"/>
  <c r="CZ310" i="3"/>
  <c r="DB310" i="3" s="1"/>
  <c r="DA310" i="3"/>
  <c r="DC310" i="3"/>
  <c r="A311" i="3"/>
  <c r="CY311" i="3"/>
  <c r="CZ311" i="3"/>
  <c r="DA311" i="3"/>
  <c r="DB311" i="3"/>
  <c r="DC311" i="3"/>
  <c r="A312" i="3"/>
  <c r="CY312" i="3"/>
  <c r="CZ312" i="3"/>
  <c r="DA312" i="3"/>
  <c r="DB312" i="3"/>
  <c r="DC312" i="3"/>
  <c r="A313" i="3"/>
  <c r="CY313" i="3"/>
  <c r="CZ313" i="3"/>
  <c r="DB313" i="3" s="1"/>
  <c r="DA313" i="3"/>
  <c r="DC313" i="3"/>
  <c r="A314" i="3"/>
  <c r="CY314" i="3"/>
  <c r="CZ314" i="3"/>
  <c r="DB314" i="3" s="1"/>
  <c r="DA314" i="3"/>
  <c r="DC314" i="3"/>
  <c r="A315" i="3"/>
  <c r="CY315" i="3"/>
  <c r="CZ315" i="3"/>
  <c r="DA315" i="3"/>
  <c r="DB315" i="3"/>
  <c r="DC315" i="3"/>
  <c r="A316" i="3"/>
  <c r="CY316" i="3"/>
  <c r="CZ316" i="3"/>
  <c r="DA316" i="3"/>
  <c r="DB316" i="3"/>
  <c r="DC316" i="3"/>
  <c r="A317" i="3"/>
  <c r="CY317" i="3"/>
  <c r="CZ317" i="3"/>
  <c r="DB317" i="3" s="1"/>
  <c r="DA317" i="3"/>
  <c r="DC317" i="3"/>
  <c r="A318" i="3"/>
  <c r="CX318" i="3"/>
  <c r="CY318" i="3"/>
  <c r="CZ318" i="3"/>
  <c r="DB318" i="3" s="1"/>
  <c r="DA318" i="3"/>
  <c r="DC318" i="3"/>
  <c r="A319" i="3"/>
  <c r="CX319" i="3"/>
  <c r="CY319" i="3"/>
  <c r="CZ319" i="3"/>
  <c r="DA319" i="3"/>
  <c r="DB319" i="3"/>
  <c r="DC319" i="3"/>
  <c r="A320" i="3"/>
  <c r="CX320" i="3"/>
  <c r="CY320" i="3"/>
  <c r="CZ320" i="3"/>
  <c r="DA320" i="3"/>
  <c r="DB320" i="3"/>
  <c r="DC320" i="3"/>
  <c r="A321" i="3"/>
  <c r="CX321" i="3"/>
  <c r="CY321" i="3"/>
  <c r="CZ321" i="3"/>
  <c r="DB321" i="3" s="1"/>
  <c r="DA321" i="3"/>
  <c r="DC321" i="3"/>
  <c r="A322" i="3"/>
  <c r="CX322" i="3"/>
  <c r="CY322" i="3"/>
  <c r="CZ322" i="3"/>
  <c r="DB322" i="3" s="1"/>
  <c r="DA322" i="3"/>
  <c r="DC322" i="3"/>
  <c r="A323" i="3"/>
  <c r="CX323" i="3"/>
  <c r="CY323" i="3"/>
  <c r="CZ323" i="3"/>
  <c r="DA323" i="3"/>
  <c r="DB323" i="3"/>
  <c r="DC323" i="3"/>
  <c r="A324" i="3"/>
  <c r="CX324" i="3"/>
  <c r="CY324" i="3"/>
  <c r="CZ324" i="3"/>
  <c r="DA324" i="3"/>
  <c r="DB324" i="3"/>
  <c r="DC324" i="3"/>
  <c r="A325" i="3"/>
  <c r="CX325" i="3"/>
  <c r="CY325" i="3"/>
  <c r="CZ325" i="3"/>
  <c r="DB325" i="3" s="1"/>
  <c r="DA325" i="3"/>
  <c r="DC325" i="3"/>
  <c r="A326" i="3"/>
  <c r="CX326" i="3"/>
  <c r="CY326" i="3"/>
  <c r="CZ326" i="3"/>
  <c r="DB326" i="3" s="1"/>
  <c r="DA326" i="3"/>
  <c r="DC326" i="3"/>
  <c r="A327" i="3"/>
  <c r="CX327" i="3"/>
  <c r="CY327" i="3"/>
  <c r="CZ327" i="3"/>
  <c r="DA327" i="3"/>
  <c r="DB327" i="3"/>
  <c r="DC327" i="3"/>
  <c r="A328" i="3"/>
  <c r="CX328" i="3"/>
  <c r="CY328" i="3"/>
  <c r="CZ328" i="3"/>
  <c r="DA328" i="3"/>
  <c r="DB328" i="3"/>
  <c r="DC328" i="3"/>
  <c r="A329" i="3"/>
  <c r="CX329" i="3"/>
  <c r="CY329" i="3"/>
  <c r="CZ329" i="3"/>
  <c r="DB329" i="3" s="1"/>
  <c r="DA329" i="3"/>
  <c r="DC329" i="3"/>
  <c r="A330" i="3"/>
  <c r="CX330" i="3"/>
  <c r="CY330" i="3"/>
  <c r="CZ330" i="3"/>
  <c r="DB330" i="3" s="1"/>
  <c r="DA330" i="3"/>
  <c r="DC330" i="3"/>
  <c r="A331" i="3"/>
  <c r="CX331" i="3"/>
  <c r="CY331" i="3"/>
  <c r="CZ331" i="3"/>
  <c r="DA331" i="3"/>
  <c r="DB331" i="3"/>
  <c r="DC331" i="3"/>
  <c r="A332" i="3"/>
  <c r="CX332" i="3"/>
  <c r="CY332" i="3"/>
  <c r="CZ332" i="3"/>
  <c r="DA332" i="3"/>
  <c r="DB332" i="3"/>
  <c r="DC332" i="3"/>
  <c r="A333" i="3"/>
  <c r="CX333" i="3"/>
  <c r="CY333" i="3"/>
  <c r="CZ333" i="3"/>
  <c r="DB333" i="3" s="1"/>
  <c r="DA333" i="3"/>
  <c r="DC333" i="3"/>
  <c r="A334" i="3"/>
  <c r="CX334" i="3"/>
  <c r="CY334" i="3"/>
  <c r="CZ334" i="3"/>
  <c r="DB334" i="3" s="1"/>
  <c r="DA334" i="3"/>
  <c r="DC334" i="3"/>
  <c r="A335" i="3"/>
  <c r="CX335" i="3"/>
  <c r="CY335" i="3"/>
  <c r="CZ335" i="3"/>
  <c r="DA335" i="3"/>
  <c r="DB335" i="3"/>
  <c r="DC335" i="3"/>
  <c r="A336" i="3"/>
  <c r="CX336" i="3"/>
  <c r="CY336" i="3"/>
  <c r="CZ336" i="3"/>
  <c r="DA336" i="3"/>
  <c r="DB336" i="3"/>
  <c r="DC336" i="3"/>
  <c r="A337" i="3"/>
  <c r="CX337" i="3"/>
  <c r="CY337" i="3"/>
  <c r="CZ337" i="3"/>
  <c r="DB337" i="3" s="1"/>
  <c r="DA337" i="3"/>
  <c r="DC337" i="3"/>
  <c r="A338" i="3"/>
  <c r="CX338" i="3"/>
  <c r="CY338" i="3"/>
  <c r="CZ338" i="3"/>
  <c r="DB338" i="3" s="1"/>
  <c r="DA338" i="3"/>
  <c r="DC338" i="3"/>
  <c r="A339" i="3"/>
  <c r="CY339" i="3"/>
  <c r="CZ339" i="3"/>
  <c r="DA339" i="3"/>
  <c r="DB339" i="3"/>
  <c r="DC339" i="3"/>
  <c r="A340" i="3"/>
  <c r="CY340" i="3"/>
  <c r="CZ340" i="3"/>
  <c r="DA340" i="3"/>
  <c r="DB340" i="3"/>
  <c r="DC340" i="3"/>
  <c r="A341" i="3"/>
  <c r="CY341" i="3"/>
  <c r="CZ341" i="3"/>
  <c r="DB341" i="3" s="1"/>
  <c r="DA341" i="3"/>
  <c r="DC341" i="3"/>
  <c r="A342" i="3"/>
  <c r="CY342" i="3"/>
  <c r="CZ342" i="3"/>
  <c r="DB342" i="3" s="1"/>
  <c r="DA342" i="3"/>
  <c r="DC342" i="3"/>
  <c r="A343" i="3"/>
  <c r="CY343" i="3"/>
  <c r="CZ343" i="3"/>
  <c r="DA343" i="3"/>
  <c r="DB343" i="3"/>
  <c r="DC343" i="3"/>
  <c r="A344" i="3"/>
  <c r="CY344" i="3"/>
  <c r="CZ344" i="3"/>
  <c r="DA344" i="3"/>
  <c r="DB344" i="3"/>
  <c r="DC344" i="3"/>
  <c r="A345" i="3"/>
  <c r="CY345" i="3"/>
  <c r="CZ345" i="3"/>
  <c r="DB345" i="3" s="1"/>
  <c r="DA345" i="3"/>
  <c r="DC345" i="3"/>
  <c r="A346" i="3"/>
  <c r="CY346" i="3"/>
  <c r="CZ346" i="3"/>
  <c r="DB346" i="3" s="1"/>
  <c r="DA346" i="3"/>
  <c r="DC346" i="3"/>
  <c r="A347" i="3"/>
  <c r="CY347" i="3"/>
  <c r="CZ347" i="3"/>
  <c r="DA347" i="3"/>
  <c r="DB347" i="3"/>
  <c r="DC347" i="3"/>
  <c r="A348" i="3"/>
  <c r="CY348" i="3"/>
  <c r="CZ348" i="3"/>
  <c r="DA348" i="3"/>
  <c r="DB348" i="3"/>
  <c r="DC348" i="3"/>
  <c r="A349" i="3"/>
  <c r="CY349" i="3"/>
  <c r="CZ349" i="3"/>
  <c r="DB349" i="3" s="1"/>
  <c r="DA349" i="3"/>
  <c r="DC349" i="3"/>
  <c r="A350" i="3"/>
  <c r="CY350" i="3"/>
  <c r="CZ350" i="3"/>
  <c r="DB350" i="3" s="1"/>
  <c r="DA350" i="3"/>
  <c r="DC350" i="3"/>
  <c r="A351" i="3"/>
  <c r="CY351" i="3"/>
  <c r="CZ351" i="3"/>
  <c r="DA351" i="3"/>
  <c r="DB351" i="3"/>
  <c r="DC351" i="3"/>
  <c r="A352" i="3"/>
  <c r="CY352" i="3"/>
  <c r="CZ352" i="3"/>
  <c r="DA352" i="3"/>
  <c r="DB352" i="3"/>
  <c r="DC352" i="3"/>
  <c r="A353" i="3"/>
  <c r="CY353" i="3"/>
  <c r="CZ353" i="3"/>
  <c r="DB353" i="3" s="1"/>
  <c r="DA353" i="3"/>
  <c r="DC353" i="3"/>
  <c r="A354" i="3"/>
  <c r="CY354" i="3"/>
  <c r="CZ354" i="3"/>
  <c r="DB354" i="3" s="1"/>
  <c r="DA354" i="3"/>
  <c r="DC354" i="3"/>
  <c r="A355" i="3"/>
  <c r="CY355" i="3"/>
  <c r="CZ355" i="3"/>
  <c r="DA355" i="3"/>
  <c r="DB355" i="3"/>
  <c r="DC355" i="3"/>
  <c r="A356" i="3"/>
  <c r="CY356" i="3"/>
  <c r="CZ356" i="3"/>
  <c r="DA356" i="3"/>
  <c r="DB356" i="3"/>
  <c r="DC356" i="3"/>
  <c r="A357" i="3"/>
  <c r="CY357" i="3"/>
  <c r="CZ357" i="3"/>
  <c r="DB357" i="3" s="1"/>
  <c r="DA357" i="3"/>
  <c r="DC357" i="3"/>
  <c r="A358" i="3"/>
  <c r="CY358" i="3"/>
  <c r="CZ358" i="3"/>
  <c r="DB358" i="3" s="1"/>
  <c r="DA358" i="3"/>
  <c r="DC358" i="3"/>
  <c r="A359" i="3"/>
  <c r="CY359" i="3"/>
  <c r="CZ359" i="3"/>
  <c r="DA359" i="3"/>
  <c r="DB359" i="3"/>
  <c r="DC359" i="3"/>
  <c r="A360" i="3"/>
  <c r="CY360" i="3"/>
  <c r="CZ360" i="3"/>
  <c r="DA360" i="3"/>
  <c r="DB360" i="3"/>
  <c r="DC360" i="3"/>
  <c r="A361" i="3"/>
  <c r="CY361" i="3"/>
  <c r="CZ361" i="3"/>
  <c r="DB361" i="3" s="1"/>
  <c r="DA361" i="3"/>
  <c r="DC361" i="3"/>
  <c r="A362" i="3"/>
  <c r="CY362" i="3"/>
  <c r="CZ362" i="3"/>
  <c r="DB362" i="3" s="1"/>
  <c r="DA362" i="3"/>
  <c r="DC362" i="3"/>
  <c r="A363" i="3"/>
  <c r="CY363" i="3"/>
  <c r="CZ363" i="3"/>
  <c r="DA363" i="3"/>
  <c r="DB363" i="3"/>
  <c r="DC363" i="3"/>
  <c r="A364" i="3"/>
  <c r="CY364" i="3"/>
  <c r="CZ364" i="3"/>
  <c r="DA364" i="3"/>
  <c r="DB364" i="3"/>
  <c r="DC364" i="3"/>
  <c r="A365" i="3"/>
  <c r="CY365" i="3"/>
  <c r="CZ365" i="3"/>
  <c r="DB365" i="3" s="1"/>
  <c r="DA365" i="3"/>
  <c r="DC365" i="3"/>
  <c r="A366" i="3"/>
  <c r="CY366" i="3"/>
  <c r="CZ366" i="3"/>
  <c r="DB366" i="3" s="1"/>
  <c r="DA366" i="3"/>
  <c r="DC366" i="3"/>
  <c r="A367" i="3"/>
  <c r="CY367" i="3"/>
  <c r="CZ367" i="3"/>
  <c r="DA367" i="3"/>
  <c r="DB367" i="3"/>
  <c r="DC367" i="3"/>
  <c r="A368" i="3"/>
  <c r="CY368" i="3"/>
  <c r="CZ368" i="3"/>
  <c r="DA368" i="3"/>
  <c r="DB368" i="3"/>
  <c r="DC368" i="3"/>
  <c r="A369" i="3"/>
  <c r="CY369" i="3"/>
  <c r="CZ369" i="3"/>
  <c r="DB369" i="3" s="1"/>
  <c r="DA369" i="3"/>
  <c r="DC369" i="3"/>
  <c r="A370" i="3"/>
  <c r="CY370" i="3"/>
  <c r="CZ370" i="3"/>
  <c r="DB370" i="3" s="1"/>
  <c r="DA370" i="3"/>
  <c r="DC370" i="3"/>
  <c r="A371" i="3"/>
  <c r="CY371" i="3"/>
  <c r="CZ371" i="3"/>
  <c r="DA371" i="3"/>
  <c r="DB371" i="3"/>
  <c r="DC371" i="3"/>
  <c r="A372" i="3"/>
  <c r="CY372" i="3"/>
  <c r="CZ372" i="3"/>
  <c r="DA372" i="3"/>
  <c r="DB372" i="3"/>
  <c r="DC372" i="3"/>
  <c r="A373" i="3"/>
  <c r="CY373" i="3"/>
  <c r="CZ373" i="3"/>
  <c r="DB373" i="3" s="1"/>
  <c r="DA373" i="3"/>
  <c r="DC373" i="3"/>
  <c r="A374" i="3"/>
  <c r="CY374" i="3"/>
  <c r="CZ374" i="3"/>
  <c r="DB374" i="3" s="1"/>
  <c r="DA374" i="3"/>
  <c r="DC374" i="3"/>
  <c r="A375" i="3"/>
  <c r="CY375" i="3"/>
  <c r="CZ375" i="3"/>
  <c r="DA375" i="3"/>
  <c r="DB375" i="3"/>
  <c r="DC375" i="3"/>
  <c r="A376" i="3"/>
  <c r="CX376" i="3"/>
  <c r="CY376" i="3"/>
  <c r="CZ376" i="3"/>
  <c r="DA376" i="3"/>
  <c r="DB376" i="3"/>
  <c r="DC376" i="3"/>
  <c r="A377" i="3"/>
  <c r="CX377" i="3"/>
  <c r="CY377" i="3"/>
  <c r="CZ377" i="3"/>
  <c r="DB377" i="3" s="1"/>
  <c r="DA377" i="3"/>
  <c r="DC377" i="3"/>
  <c r="A378" i="3"/>
  <c r="CX378" i="3"/>
  <c r="CY378" i="3"/>
  <c r="CZ378" i="3"/>
  <c r="DB378" i="3" s="1"/>
  <c r="DA378" i="3"/>
  <c r="DC378" i="3"/>
  <c r="A379" i="3"/>
  <c r="CX379" i="3"/>
  <c r="CY379" i="3"/>
  <c r="CZ379" i="3"/>
  <c r="DA379" i="3"/>
  <c r="DB379" i="3"/>
  <c r="DC379" i="3"/>
  <c r="A380" i="3"/>
  <c r="CX380" i="3"/>
  <c r="CY380" i="3"/>
  <c r="CZ380" i="3"/>
  <c r="DB380" i="3" s="1"/>
  <c r="DA380" i="3"/>
  <c r="DC380" i="3"/>
  <c r="A381" i="3"/>
  <c r="CX381" i="3"/>
  <c r="CY381" i="3"/>
  <c r="CZ381" i="3"/>
  <c r="DB381" i="3" s="1"/>
  <c r="DA381" i="3"/>
  <c r="DC381" i="3"/>
  <c r="A382" i="3"/>
  <c r="CX382" i="3"/>
  <c r="CY382" i="3"/>
  <c r="CZ382" i="3"/>
  <c r="DB382" i="3" s="1"/>
  <c r="DA382" i="3"/>
  <c r="DC382" i="3"/>
  <c r="D12" i="1"/>
  <c r="E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CI18" i="1"/>
  <c r="CJ18" i="1"/>
  <c r="CK18" i="1"/>
  <c r="CL18" i="1"/>
  <c r="CM18" i="1"/>
  <c r="CN18" i="1"/>
  <c r="CO18" i="1"/>
  <c r="CP18" i="1"/>
  <c r="CQ18" i="1"/>
  <c r="CR18" i="1"/>
  <c r="CS18" i="1"/>
  <c r="CT18" i="1"/>
  <c r="CU18" i="1"/>
  <c r="CV18" i="1"/>
  <c r="CW18" i="1"/>
  <c r="CX18" i="1"/>
  <c r="CY18" i="1"/>
  <c r="CZ18" i="1"/>
  <c r="DA18" i="1"/>
  <c r="DB18" i="1"/>
  <c r="DC18" i="1"/>
  <c r="DD18" i="1"/>
  <c r="DE18" i="1"/>
  <c r="DF18" i="1"/>
  <c r="DG18" i="1"/>
  <c r="DH18" i="1"/>
  <c r="DI18" i="1"/>
  <c r="DJ18" i="1"/>
  <c r="DK18" i="1"/>
  <c r="DL18" i="1"/>
  <c r="DM18" i="1"/>
  <c r="DN18" i="1"/>
  <c r="DO18" i="1"/>
  <c r="DP18" i="1"/>
  <c r="DQ18" i="1"/>
  <c r="DR18" i="1"/>
  <c r="DS18" i="1"/>
  <c r="DT18" i="1"/>
  <c r="DU18" i="1"/>
  <c r="DV18" i="1"/>
  <c r="DW18" i="1"/>
  <c r="DX18" i="1"/>
  <c r="DY18" i="1"/>
  <c r="DZ18" i="1"/>
  <c r="EA18" i="1"/>
  <c r="EB18" i="1"/>
  <c r="EC18" i="1"/>
  <c r="ED18" i="1"/>
  <c r="EE18" i="1"/>
  <c r="EF18" i="1"/>
  <c r="EG18" i="1"/>
  <c r="EH18" i="1"/>
  <c r="EI18" i="1"/>
  <c r="EJ18" i="1"/>
  <c r="EK18" i="1"/>
  <c r="EL18" i="1"/>
  <c r="EM18" i="1"/>
  <c r="EN18" i="1"/>
  <c r="EO18" i="1"/>
  <c r="EP18" i="1"/>
  <c r="EQ18" i="1"/>
  <c r="ER18" i="1"/>
  <c r="ES18" i="1"/>
  <c r="ET18" i="1"/>
  <c r="EU18" i="1"/>
  <c r="EV18" i="1"/>
  <c r="EW18" i="1"/>
  <c r="EX18" i="1"/>
  <c r="EY18" i="1"/>
  <c r="EZ18" i="1"/>
  <c r="FA18" i="1"/>
  <c r="FB18" i="1"/>
  <c r="FC18" i="1"/>
  <c r="FD18" i="1"/>
  <c r="FE18" i="1"/>
  <c r="FF18" i="1"/>
  <c r="FG18" i="1"/>
  <c r="FH18" i="1"/>
  <c r="FI18" i="1"/>
  <c r="FJ18" i="1"/>
  <c r="FK18" i="1"/>
  <c r="FL18" i="1"/>
  <c r="FM18" i="1"/>
  <c r="FN18" i="1"/>
  <c r="FO18" i="1"/>
  <c r="FP18" i="1"/>
  <c r="FQ18" i="1"/>
  <c r="FR18" i="1"/>
  <c r="FS18" i="1"/>
  <c r="FT18" i="1"/>
  <c r="FU18" i="1"/>
  <c r="FV18" i="1"/>
  <c r="FW18" i="1"/>
  <c r="FX18" i="1"/>
  <c r="FY18" i="1"/>
  <c r="FZ18" i="1"/>
  <c r="GA18" i="1"/>
  <c r="GB18" i="1"/>
  <c r="GC18" i="1"/>
  <c r="GD18" i="1"/>
  <c r="GE18" i="1"/>
  <c r="GF18" i="1"/>
  <c r="GG18" i="1"/>
  <c r="GH18" i="1"/>
  <c r="GI18" i="1"/>
  <c r="GJ18" i="1"/>
  <c r="GK18" i="1"/>
  <c r="GL18" i="1"/>
  <c r="GM18" i="1"/>
  <c r="GN18" i="1"/>
  <c r="GO18" i="1"/>
  <c r="GP18" i="1"/>
  <c r="GQ18" i="1"/>
  <c r="GR18" i="1"/>
  <c r="GS18" i="1"/>
  <c r="GT18" i="1"/>
  <c r="GU18" i="1"/>
  <c r="GV18" i="1"/>
  <c r="GW18" i="1"/>
  <c r="GX18" i="1"/>
  <c r="D20" i="1"/>
  <c r="E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CX22" i="1"/>
  <c r="CY22" i="1"/>
  <c r="CZ22" i="1"/>
  <c r="DA22" i="1"/>
  <c r="DB22" i="1"/>
  <c r="DC22" i="1"/>
  <c r="DD22" i="1"/>
  <c r="DE22" i="1"/>
  <c r="DF22" i="1"/>
  <c r="DG22" i="1"/>
  <c r="DH22" i="1"/>
  <c r="DI22" i="1"/>
  <c r="DJ22" i="1"/>
  <c r="DK22" i="1"/>
  <c r="DL22" i="1"/>
  <c r="DM22" i="1"/>
  <c r="DN22" i="1"/>
  <c r="DO22" i="1"/>
  <c r="DP22" i="1"/>
  <c r="DQ22" i="1"/>
  <c r="DR22" i="1"/>
  <c r="DS22" i="1"/>
  <c r="DT22" i="1"/>
  <c r="DU22" i="1"/>
  <c r="DV22" i="1"/>
  <c r="DW22" i="1"/>
  <c r="DX22" i="1"/>
  <c r="DY22" i="1"/>
  <c r="DZ22" i="1"/>
  <c r="EA22" i="1"/>
  <c r="EB22" i="1"/>
  <c r="EC22" i="1"/>
  <c r="ED22" i="1"/>
  <c r="EE22" i="1"/>
  <c r="EF22" i="1"/>
  <c r="EG22" i="1"/>
  <c r="EH22" i="1"/>
  <c r="EI22" i="1"/>
  <c r="EJ22" i="1"/>
  <c r="EK22" i="1"/>
  <c r="EL22" i="1"/>
  <c r="EM22" i="1"/>
  <c r="EN22" i="1"/>
  <c r="EO22" i="1"/>
  <c r="EP22" i="1"/>
  <c r="EQ22" i="1"/>
  <c r="ER22" i="1"/>
  <c r="ES22" i="1"/>
  <c r="ET22" i="1"/>
  <c r="EU22" i="1"/>
  <c r="EV22" i="1"/>
  <c r="EW22" i="1"/>
  <c r="EX22" i="1"/>
  <c r="EY22" i="1"/>
  <c r="EZ22" i="1"/>
  <c r="FA22" i="1"/>
  <c r="FB22" i="1"/>
  <c r="FC22" i="1"/>
  <c r="FD22" i="1"/>
  <c r="FE22" i="1"/>
  <c r="FF22" i="1"/>
  <c r="FG22" i="1"/>
  <c r="FH22" i="1"/>
  <c r="FI22" i="1"/>
  <c r="FJ22" i="1"/>
  <c r="FK22" i="1"/>
  <c r="FL22" i="1"/>
  <c r="FM22" i="1"/>
  <c r="FN22" i="1"/>
  <c r="FO22" i="1"/>
  <c r="FP22" i="1"/>
  <c r="FQ22" i="1"/>
  <c r="FR22" i="1"/>
  <c r="FS22" i="1"/>
  <c r="FT22" i="1"/>
  <c r="FU22" i="1"/>
  <c r="FV22" i="1"/>
  <c r="FW22" i="1"/>
  <c r="FX22" i="1"/>
  <c r="FY22" i="1"/>
  <c r="FZ22" i="1"/>
  <c r="GA22" i="1"/>
  <c r="GB22" i="1"/>
  <c r="GC22" i="1"/>
  <c r="GD22" i="1"/>
  <c r="GE22" i="1"/>
  <c r="GF22" i="1"/>
  <c r="GG22" i="1"/>
  <c r="GH22" i="1"/>
  <c r="GI22" i="1"/>
  <c r="GJ22" i="1"/>
  <c r="GK22" i="1"/>
  <c r="GL22" i="1"/>
  <c r="GM22" i="1"/>
  <c r="GN22" i="1"/>
  <c r="GO22" i="1"/>
  <c r="GP22" i="1"/>
  <c r="GQ22" i="1"/>
  <c r="GR22" i="1"/>
  <c r="GS22" i="1"/>
  <c r="GT22" i="1"/>
  <c r="GU22" i="1"/>
  <c r="GV22" i="1"/>
  <c r="GW22" i="1"/>
  <c r="GX22" i="1"/>
  <c r="D24" i="1"/>
  <c r="E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FD26" i="1"/>
  <c r="FE26" i="1"/>
  <c r="FF26" i="1"/>
  <c r="FG26" i="1"/>
  <c r="FH26" i="1"/>
  <c r="FI26" i="1"/>
  <c r="FJ26" i="1"/>
  <c r="FK26" i="1"/>
  <c r="FL26" i="1"/>
  <c r="FM26" i="1"/>
  <c r="FN26" i="1"/>
  <c r="FO26" i="1"/>
  <c r="FP26" i="1"/>
  <c r="FQ26" i="1"/>
  <c r="FR26" i="1"/>
  <c r="FS26" i="1"/>
  <c r="FT26" i="1"/>
  <c r="FU26" i="1"/>
  <c r="FV26" i="1"/>
  <c r="FW26" i="1"/>
  <c r="FX26" i="1"/>
  <c r="FY26" i="1"/>
  <c r="FZ26" i="1"/>
  <c r="GA26" i="1"/>
  <c r="GB26" i="1"/>
  <c r="GC26" i="1"/>
  <c r="GD26" i="1"/>
  <c r="GE26" i="1"/>
  <c r="GF26" i="1"/>
  <c r="GG26" i="1"/>
  <c r="GH26" i="1"/>
  <c r="GI26" i="1"/>
  <c r="GJ26" i="1"/>
  <c r="GK26" i="1"/>
  <c r="GL26" i="1"/>
  <c r="GM26" i="1"/>
  <c r="GN26" i="1"/>
  <c r="GO26" i="1"/>
  <c r="GP26" i="1"/>
  <c r="GQ26" i="1"/>
  <c r="GR26" i="1"/>
  <c r="GS26" i="1"/>
  <c r="GT26" i="1"/>
  <c r="GU26" i="1"/>
  <c r="GV26" i="1"/>
  <c r="GW26" i="1"/>
  <c r="GX26" i="1"/>
  <c r="D28" i="1"/>
  <c r="E30" i="1"/>
  <c r="Z30" i="1"/>
  <c r="AA30" i="1"/>
  <c r="AM30" i="1"/>
  <c r="AN30" i="1"/>
  <c r="BE30" i="1"/>
  <c r="BF30" i="1"/>
  <c r="BG30" i="1"/>
  <c r="BH30" i="1"/>
  <c r="BI30" i="1"/>
  <c r="BJ30" i="1"/>
  <c r="BK30" i="1"/>
  <c r="BL30" i="1"/>
  <c r="BM30" i="1"/>
  <c r="BN30" i="1"/>
  <c r="BO30" i="1"/>
  <c r="BP30" i="1"/>
  <c r="BQ30" i="1"/>
  <c r="BR30" i="1"/>
  <c r="BS30" i="1"/>
  <c r="BT30" i="1"/>
  <c r="BU30" i="1"/>
  <c r="BV30" i="1"/>
  <c r="BW30" i="1"/>
  <c r="CN30" i="1"/>
  <c r="CO30" i="1"/>
  <c r="CP30" i="1"/>
  <c r="CQ30" i="1"/>
  <c r="CR30" i="1"/>
  <c r="CS30" i="1"/>
  <c r="CT30" i="1"/>
  <c r="CU30" i="1"/>
  <c r="CV30" i="1"/>
  <c r="CW30" i="1"/>
  <c r="CX30" i="1"/>
  <c r="CY30" i="1"/>
  <c r="CZ30" i="1"/>
  <c r="DA30" i="1"/>
  <c r="DB30" i="1"/>
  <c r="DC30" i="1"/>
  <c r="DD30" i="1"/>
  <c r="DE30" i="1"/>
  <c r="DF30" i="1"/>
  <c r="DG30" i="1"/>
  <c r="DH30" i="1"/>
  <c r="DI30" i="1"/>
  <c r="DJ30" i="1"/>
  <c r="DK30" i="1"/>
  <c r="DL30" i="1"/>
  <c r="DM30" i="1"/>
  <c r="DN30" i="1"/>
  <c r="DO30" i="1"/>
  <c r="DP30" i="1"/>
  <c r="DQ30" i="1"/>
  <c r="DR30" i="1"/>
  <c r="DS30" i="1"/>
  <c r="DT30" i="1"/>
  <c r="DU30" i="1"/>
  <c r="DV30" i="1"/>
  <c r="DW30" i="1"/>
  <c r="DX30" i="1"/>
  <c r="DY30" i="1"/>
  <c r="DZ30" i="1"/>
  <c r="EA30" i="1"/>
  <c r="EB30" i="1"/>
  <c r="EC30" i="1"/>
  <c r="ED30" i="1"/>
  <c r="EE30" i="1"/>
  <c r="EF30" i="1"/>
  <c r="EG30" i="1"/>
  <c r="EH30" i="1"/>
  <c r="EI30" i="1"/>
  <c r="EJ30" i="1"/>
  <c r="EK30" i="1"/>
  <c r="EL30" i="1"/>
  <c r="EM30" i="1"/>
  <c r="EN30" i="1"/>
  <c r="EO30" i="1"/>
  <c r="EP30" i="1"/>
  <c r="EQ30" i="1"/>
  <c r="ER30" i="1"/>
  <c r="ES30" i="1"/>
  <c r="ET30" i="1"/>
  <c r="EU30" i="1"/>
  <c r="EV30" i="1"/>
  <c r="EW30" i="1"/>
  <c r="EX30" i="1"/>
  <c r="EY30" i="1"/>
  <c r="EZ30" i="1"/>
  <c r="FA30" i="1"/>
  <c r="FB30" i="1"/>
  <c r="FC30" i="1"/>
  <c r="FD30" i="1"/>
  <c r="FE30" i="1"/>
  <c r="FF30" i="1"/>
  <c r="FG30" i="1"/>
  <c r="FH30" i="1"/>
  <c r="FI30" i="1"/>
  <c r="FJ30" i="1"/>
  <c r="FK30" i="1"/>
  <c r="FL30" i="1"/>
  <c r="FM30" i="1"/>
  <c r="FN30" i="1"/>
  <c r="FO30" i="1"/>
  <c r="FP30" i="1"/>
  <c r="FQ30" i="1"/>
  <c r="FR30" i="1"/>
  <c r="FS30" i="1"/>
  <c r="FT30" i="1"/>
  <c r="FU30" i="1"/>
  <c r="FV30" i="1"/>
  <c r="FW30" i="1"/>
  <c r="FX30" i="1"/>
  <c r="FY30" i="1"/>
  <c r="FZ30" i="1"/>
  <c r="GA30" i="1"/>
  <c r="GB30" i="1"/>
  <c r="GC30" i="1"/>
  <c r="GD30" i="1"/>
  <c r="GE30" i="1"/>
  <c r="GF30" i="1"/>
  <c r="GG30" i="1"/>
  <c r="GH30" i="1"/>
  <c r="GI30" i="1"/>
  <c r="GJ30" i="1"/>
  <c r="GK30" i="1"/>
  <c r="GL30" i="1"/>
  <c r="GM30" i="1"/>
  <c r="GN30" i="1"/>
  <c r="GO30" i="1"/>
  <c r="GP30" i="1"/>
  <c r="GQ30" i="1"/>
  <c r="GR30" i="1"/>
  <c r="GS30" i="1"/>
  <c r="GT30" i="1"/>
  <c r="GU30" i="1"/>
  <c r="GV30" i="1"/>
  <c r="GW30" i="1"/>
  <c r="GX30" i="1"/>
  <c r="C32" i="1"/>
  <c r="D32" i="1"/>
  <c r="U32" i="1"/>
  <c r="W32" i="1"/>
  <c r="AC32" i="1"/>
  <c r="AE32" i="1"/>
  <c r="AF32" i="1"/>
  <c r="AG32" i="1"/>
  <c r="CU32" i="1" s="1"/>
  <c r="T32" i="1" s="1"/>
  <c r="AH32" i="1"/>
  <c r="AI32" i="1"/>
  <c r="CW32" i="1" s="1"/>
  <c r="V32" i="1" s="1"/>
  <c r="AJ32" i="1"/>
  <c r="CT32" i="1"/>
  <c r="S32" i="1" s="1"/>
  <c r="CV32" i="1"/>
  <c r="CX32" i="1"/>
  <c r="FR32" i="1"/>
  <c r="GL32" i="1"/>
  <c r="GN32" i="1"/>
  <c r="GO32" i="1"/>
  <c r="GV32" i="1"/>
  <c r="GX32" i="1"/>
  <c r="HC32" i="1"/>
  <c r="C33" i="1"/>
  <c r="D33" i="1"/>
  <c r="AC33" i="1"/>
  <c r="AD33" i="1"/>
  <c r="AE33" i="1"/>
  <c r="CS33" i="1" s="1"/>
  <c r="R33" i="1" s="1"/>
  <c r="GK33" i="1" s="1"/>
  <c r="AF33" i="1"/>
  <c r="AG33" i="1"/>
  <c r="CU33" i="1" s="1"/>
  <c r="T33" i="1" s="1"/>
  <c r="AH33" i="1"/>
  <c r="CV33" i="1" s="1"/>
  <c r="U33" i="1" s="1"/>
  <c r="AI33" i="1"/>
  <c r="CW33" i="1" s="1"/>
  <c r="V33" i="1" s="1"/>
  <c r="AJ33" i="1"/>
  <c r="CR33" i="1"/>
  <c r="Q33" i="1" s="1"/>
  <c r="CT33" i="1"/>
  <c r="S33" i="1" s="1"/>
  <c r="CX33" i="1"/>
  <c r="W33" i="1" s="1"/>
  <c r="FR33" i="1"/>
  <c r="GL33" i="1"/>
  <c r="GN33" i="1"/>
  <c r="GO33" i="1"/>
  <c r="GV33" i="1"/>
  <c r="HC33" i="1"/>
  <c r="GX33" i="1" s="1"/>
  <c r="C34" i="1"/>
  <c r="D34" i="1"/>
  <c r="I34" i="1"/>
  <c r="W34" i="1"/>
  <c r="AC34" i="1"/>
  <c r="AD34" i="1"/>
  <c r="AE34" i="1"/>
  <c r="AF34" i="1"/>
  <c r="AG34" i="1"/>
  <c r="CU34" i="1" s="1"/>
  <c r="T34" i="1" s="1"/>
  <c r="AH34" i="1"/>
  <c r="CV34" i="1" s="1"/>
  <c r="U34" i="1" s="1"/>
  <c r="AI34" i="1"/>
  <c r="AJ34" i="1"/>
  <c r="CR34" i="1"/>
  <c r="Q34" i="1" s="1"/>
  <c r="CS34" i="1"/>
  <c r="R34" i="1" s="1"/>
  <c r="CT34" i="1"/>
  <c r="S34" i="1" s="1"/>
  <c r="CW34" i="1"/>
  <c r="V34" i="1" s="1"/>
  <c r="CX34" i="1"/>
  <c r="FR34" i="1"/>
  <c r="GK34" i="1"/>
  <c r="GL34" i="1"/>
  <c r="GN34" i="1"/>
  <c r="GO34" i="1"/>
  <c r="GV34" i="1"/>
  <c r="HC34" i="1"/>
  <c r="GX34" i="1" s="1"/>
  <c r="C35" i="1"/>
  <c r="D35" i="1"/>
  <c r="I35" i="1"/>
  <c r="S35" i="1"/>
  <c r="W35" i="1"/>
  <c r="AC35" i="1"/>
  <c r="AD35" i="1"/>
  <c r="AE35" i="1"/>
  <c r="AF35" i="1"/>
  <c r="AG35" i="1"/>
  <c r="CU35" i="1" s="1"/>
  <c r="T35" i="1" s="1"/>
  <c r="AH35" i="1"/>
  <c r="CV35" i="1" s="1"/>
  <c r="U35" i="1" s="1"/>
  <c r="AI35" i="1"/>
  <c r="AJ35" i="1"/>
  <c r="CR35" i="1"/>
  <c r="Q35" i="1" s="1"/>
  <c r="CS35" i="1"/>
  <c r="R35" i="1" s="1"/>
  <c r="GK35" i="1" s="1"/>
  <c r="CT35" i="1"/>
  <c r="CW35" i="1"/>
  <c r="V35" i="1" s="1"/>
  <c r="CX35" i="1"/>
  <c r="FR35" i="1"/>
  <c r="GL35" i="1"/>
  <c r="GN35" i="1"/>
  <c r="GO35" i="1"/>
  <c r="GV35" i="1"/>
  <c r="HC35" i="1"/>
  <c r="GX35" i="1" s="1"/>
  <c r="I36" i="1"/>
  <c r="AC36" i="1"/>
  <c r="AE36" i="1"/>
  <c r="AF36" i="1"/>
  <c r="CT36" i="1" s="1"/>
  <c r="S36" i="1" s="1"/>
  <c r="CY36" i="1" s="1"/>
  <c r="X36" i="1" s="1"/>
  <c r="AG36" i="1"/>
  <c r="AH36" i="1"/>
  <c r="AI36" i="1"/>
  <c r="CW36" i="1" s="1"/>
  <c r="V36" i="1" s="1"/>
  <c r="AJ36" i="1"/>
  <c r="CX36" i="1" s="1"/>
  <c r="W36" i="1" s="1"/>
  <c r="CQ36" i="1"/>
  <c r="P36" i="1" s="1"/>
  <c r="CU36" i="1"/>
  <c r="T36" i="1" s="1"/>
  <c r="CV36" i="1"/>
  <c r="U36" i="1" s="1"/>
  <c r="CZ36" i="1"/>
  <c r="Y36" i="1" s="1"/>
  <c r="FR36" i="1"/>
  <c r="GL36" i="1"/>
  <c r="GN36" i="1"/>
  <c r="GO36" i="1"/>
  <c r="GV36" i="1"/>
  <c r="HC36" i="1" s="1"/>
  <c r="GX36" i="1" s="1"/>
  <c r="I37" i="1"/>
  <c r="AC37" i="1"/>
  <c r="AD37" i="1"/>
  <c r="AE37" i="1"/>
  <c r="AF37" i="1"/>
  <c r="AG37" i="1"/>
  <c r="CU37" i="1" s="1"/>
  <c r="T37" i="1" s="1"/>
  <c r="AH37" i="1"/>
  <c r="CV37" i="1" s="1"/>
  <c r="U37" i="1" s="1"/>
  <c r="AI37" i="1"/>
  <c r="AJ37" i="1"/>
  <c r="CR37" i="1"/>
  <c r="Q37" i="1" s="1"/>
  <c r="CS37" i="1"/>
  <c r="R37" i="1" s="1"/>
  <c r="CT37" i="1"/>
  <c r="S37" i="1" s="1"/>
  <c r="CW37" i="1"/>
  <c r="V37" i="1" s="1"/>
  <c r="CX37" i="1"/>
  <c r="W37" i="1" s="1"/>
  <c r="FR37" i="1"/>
  <c r="GK37" i="1"/>
  <c r="GL37" i="1"/>
  <c r="GN37" i="1"/>
  <c r="GO37" i="1"/>
  <c r="GV37" i="1"/>
  <c r="HC37" i="1"/>
  <c r="GX37" i="1" s="1"/>
  <c r="C38" i="1"/>
  <c r="D38" i="1"/>
  <c r="I38" i="1"/>
  <c r="AC38" i="1"/>
  <c r="AD38" i="1"/>
  <c r="AE38" i="1"/>
  <c r="AF38" i="1"/>
  <c r="AG38" i="1"/>
  <c r="AH38" i="1"/>
  <c r="CV38" i="1" s="1"/>
  <c r="U38" i="1" s="1"/>
  <c r="AI38" i="1"/>
  <c r="AJ38" i="1"/>
  <c r="CQ38" i="1"/>
  <c r="P38" i="1" s="1"/>
  <c r="CP38" i="1" s="1"/>
  <c r="O38" i="1" s="1"/>
  <c r="CR38" i="1"/>
  <c r="Q38" i="1" s="1"/>
  <c r="CS38" i="1"/>
  <c r="R38" i="1" s="1"/>
  <c r="GK38" i="1" s="1"/>
  <c r="CT38" i="1"/>
  <c r="S38" i="1" s="1"/>
  <c r="CU38" i="1"/>
  <c r="T38" i="1" s="1"/>
  <c r="CW38" i="1"/>
  <c r="V38" i="1" s="1"/>
  <c r="CX38" i="1"/>
  <c r="W38" i="1" s="1"/>
  <c r="FR38" i="1"/>
  <c r="GL38" i="1"/>
  <c r="GN38" i="1"/>
  <c r="GO38" i="1"/>
  <c r="GV38" i="1"/>
  <c r="HC38" i="1"/>
  <c r="GX38" i="1" s="1"/>
  <c r="C39" i="1"/>
  <c r="D39" i="1"/>
  <c r="I39" i="1"/>
  <c r="P39" i="1"/>
  <c r="CP39" i="1" s="1"/>
  <c r="O39" i="1" s="1"/>
  <c r="AC39" i="1"/>
  <c r="AD39" i="1"/>
  <c r="AE39" i="1"/>
  <c r="AF39" i="1"/>
  <c r="AG39" i="1"/>
  <c r="AH39" i="1"/>
  <c r="CV39" i="1" s="1"/>
  <c r="U39" i="1" s="1"/>
  <c r="AI39" i="1"/>
  <c r="AJ39" i="1"/>
  <c r="CQ39" i="1"/>
  <c r="CR39" i="1"/>
  <c r="Q39" i="1" s="1"/>
  <c r="CS39" i="1"/>
  <c r="R39" i="1" s="1"/>
  <c r="GK39" i="1" s="1"/>
  <c r="CT39" i="1"/>
  <c r="S39" i="1" s="1"/>
  <c r="CU39" i="1"/>
  <c r="T39" i="1" s="1"/>
  <c r="CW39" i="1"/>
  <c r="V39" i="1" s="1"/>
  <c r="CX39" i="1"/>
  <c r="W39" i="1" s="1"/>
  <c r="FR39" i="1"/>
  <c r="GL39" i="1"/>
  <c r="GN39" i="1"/>
  <c r="GO39" i="1"/>
  <c r="GV39" i="1"/>
  <c r="HC39" i="1"/>
  <c r="GX39" i="1" s="1"/>
  <c r="C40" i="1"/>
  <c r="D40" i="1"/>
  <c r="I40" i="1"/>
  <c r="AC40" i="1"/>
  <c r="AD40" i="1"/>
  <c r="AE40" i="1"/>
  <c r="AF40" i="1"/>
  <c r="AG40" i="1"/>
  <c r="AH40" i="1"/>
  <c r="CV40" i="1" s="1"/>
  <c r="U40" i="1" s="1"/>
  <c r="AI40" i="1"/>
  <c r="AJ40" i="1"/>
  <c r="CQ40" i="1"/>
  <c r="P40" i="1" s="1"/>
  <c r="CP40" i="1" s="1"/>
  <c r="O40" i="1" s="1"/>
  <c r="CR40" i="1"/>
  <c r="Q40" i="1" s="1"/>
  <c r="CS40" i="1"/>
  <c r="R40" i="1" s="1"/>
  <c r="GK40" i="1" s="1"/>
  <c r="CT40" i="1"/>
  <c r="S40" i="1" s="1"/>
  <c r="CU40" i="1"/>
  <c r="T40" i="1" s="1"/>
  <c r="CW40" i="1"/>
  <c r="V40" i="1" s="1"/>
  <c r="CX40" i="1"/>
  <c r="W40" i="1" s="1"/>
  <c r="FR40" i="1"/>
  <c r="GL40" i="1"/>
  <c r="GN40" i="1"/>
  <c r="GO40" i="1"/>
  <c r="GV40" i="1"/>
  <c r="HC40" i="1"/>
  <c r="GX40" i="1" s="1"/>
  <c r="C41" i="1"/>
  <c r="D41" i="1"/>
  <c r="T41" i="1"/>
  <c r="AC41" i="1"/>
  <c r="AE41" i="1"/>
  <c r="CS41" i="1" s="1"/>
  <c r="R41" i="1" s="1"/>
  <c r="GK41" i="1" s="1"/>
  <c r="AF41" i="1"/>
  <c r="AG41" i="1"/>
  <c r="AH41" i="1"/>
  <c r="AI41" i="1"/>
  <c r="CW41" i="1" s="1"/>
  <c r="V41" i="1" s="1"/>
  <c r="AJ41" i="1"/>
  <c r="CQ41" i="1"/>
  <c r="P41" i="1" s="1"/>
  <c r="CT41" i="1"/>
  <c r="S41" i="1" s="1"/>
  <c r="CZ41" i="1" s="1"/>
  <c r="Y41" i="1" s="1"/>
  <c r="CU41" i="1"/>
  <c r="CV41" i="1"/>
  <c r="U41" i="1" s="1"/>
  <c r="CX41" i="1"/>
  <c r="W41" i="1" s="1"/>
  <c r="CY41" i="1"/>
  <c r="X41" i="1" s="1"/>
  <c r="FR41" i="1"/>
  <c r="GL41" i="1"/>
  <c r="GN41" i="1"/>
  <c r="GO41" i="1"/>
  <c r="GV41" i="1"/>
  <c r="HC41" i="1" s="1"/>
  <c r="GX41" i="1" s="1"/>
  <c r="C42" i="1"/>
  <c r="D42" i="1"/>
  <c r="V42" i="1"/>
  <c r="AC42" i="1"/>
  <c r="AD42" i="1"/>
  <c r="AE42" i="1"/>
  <c r="AF42" i="1"/>
  <c r="CT42" i="1" s="1"/>
  <c r="S42" i="1" s="1"/>
  <c r="AG42" i="1"/>
  <c r="AH42" i="1"/>
  <c r="CV42" i="1" s="1"/>
  <c r="U42" i="1" s="1"/>
  <c r="AI42" i="1"/>
  <c r="AJ42" i="1"/>
  <c r="CX42" i="1" s="1"/>
  <c r="W42" i="1" s="1"/>
  <c r="CQ42" i="1"/>
  <c r="P42" i="1" s="1"/>
  <c r="CR42" i="1"/>
  <c r="Q42" i="1" s="1"/>
  <c r="CS42" i="1"/>
  <c r="R42" i="1" s="1"/>
  <c r="GK42" i="1" s="1"/>
  <c r="CU42" i="1"/>
  <c r="T42" i="1" s="1"/>
  <c r="CW42" i="1"/>
  <c r="FR42" i="1"/>
  <c r="GL42" i="1"/>
  <c r="GN42" i="1"/>
  <c r="GO42" i="1"/>
  <c r="GV42" i="1"/>
  <c r="HC42" i="1" s="1"/>
  <c r="GX42" i="1"/>
  <c r="C43" i="1"/>
  <c r="D43" i="1"/>
  <c r="I43" i="1"/>
  <c r="V43" i="1"/>
  <c r="AC43" i="1"/>
  <c r="AD43" i="1"/>
  <c r="AE43" i="1"/>
  <c r="AF43" i="1"/>
  <c r="CT43" i="1" s="1"/>
  <c r="AG43" i="1"/>
  <c r="AH43" i="1"/>
  <c r="CV43" i="1" s="1"/>
  <c r="U43" i="1" s="1"/>
  <c r="AI43" i="1"/>
  <c r="AJ43" i="1"/>
  <c r="CX43" i="1" s="1"/>
  <c r="W43" i="1" s="1"/>
  <c r="CQ43" i="1"/>
  <c r="P43" i="1" s="1"/>
  <c r="CR43" i="1"/>
  <c r="Q43" i="1" s="1"/>
  <c r="CS43" i="1"/>
  <c r="R43" i="1" s="1"/>
  <c r="GK43" i="1" s="1"/>
  <c r="CU43" i="1"/>
  <c r="T43" i="1" s="1"/>
  <c r="CW43" i="1"/>
  <c r="FR43" i="1"/>
  <c r="GL43" i="1"/>
  <c r="GN43" i="1"/>
  <c r="GO43" i="1"/>
  <c r="GV43" i="1"/>
  <c r="HC43" i="1" s="1"/>
  <c r="GX43" i="1"/>
  <c r="C44" i="1"/>
  <c r="D44" i="1"/>
  <c r="I44" i="1"/>
  <c r="R44" i="1"/>
  <c r="GK44" i="1" s="1"/>
  <c r="AC44" i="1"/>
  <c r="AD44" i="1"/>
  <c r="AE44" i="1"/>
  <c r="AF44" i="1"/>
  <c r="CT44" i="1" s="1"/>
  <c r="AG44" i="1"/>
  <c r="AH44" i="1"/>
  <c r="CV44" i="1" s="1"/>
  <c r="U44" i="1" s="1"/>
  <c r="AI44" i="1"/>
  <c r="AJ44" i="1"/>
  <c r="CX44" i="1" s="1"/>
  <c r="CQ44" i="1"/>
  <c r="P44" i="1" s="1"/>
  <c r="CR44" i="1"/>
  <c r="Q44" i="1" s="1"/>
  <c r="CS44" i="1"/>
  <c r="CU44" i="1"/>
  <c r="CW44" i="1"/>
  <c r="V44" i="1" s="1"/>
  <c r="FR44" i="1"/>
  <c r="GL44" i="1"/>
  <c r="GN44" i="1"/>
  <c r="GO44" i="1"/>
  <c r="GV44" i="1"/>
  <c r="HC44" i="1" s="1"/>
  <c r="GX44" i="1" s="1"/>
  <c r="AC45" i="1"/>
  <c r="AD45" i="1"/>
  <c r="AB45" i="1" s="1"/>
  <c r="AE45" i="1"/>
  <c r="AF45" i="1"/>
  <c r="CT45" i="1" s="1"/>
  <c r="AG45" i="1"/>
  <c r="AH45" i="1"/>
  <c r="CV45" i="1" s="1"/>
  <c r="AI45" i="1"/>
  <c r="AJ45" i="1"/>
  <c r="CX45" i="1" s="1"/>
  <c r="CQ45" i="1"/>
  <c r="CR45" i="1"/>
  <c r="CS45" i="1"/>
  <c r="CU45" i="1"/>
  <c r="CW45" i="1"/>
  <c r="FR45" i="1"/>
  <c r="GL45" i="1"/>
  <c r="GN45" i="1"/>
  <c r="GO45" i="1"/>
  <c r="GV45" i="1"/>
  <c r="HC45" i="1"/>
  <c r="AC46" i="1"/>
  <c r="AD46" i="1"/>
  <c r="AE46" i="1"/>
  <c r="AF46" i="1"/>
  <c r="CT46" i="1" s="1"/>
  <c r="AG46" i="1"/>
  <c r="AH46" i="1"/>
  <c r="CV46" i="1" s="1"/>
  <c r="AI46" i="1"/>
  <c r="AJ46" i="1"/>
  <c r="CX46" i="1" s="1"/>
  <c r="CQ46" i="1"/>
  <c r="CR46" i="1"/>
  <c r="CS46" i="1"/>
  <c r="CU46" i="1"/>
  <c r="CW46" i="1"/>
  <c r="FR46" i="1"/>
  <c r="GL46" i="1"/>
  <c r="GN46" i="1"/>
  <c r="GO46" i="1"/>
  <c r="GV46" i="1"/>
  <c r="HC46" i="1" s="1"/>
  <c r="AC47" i="1"/>
  <c r="AD47" i="1"/>
  <c r="AE47" i="1"/>
  <c r="AF47" i="1"/>
  <c r="CT47" i="1" s="1"/>
  <c r="AG47" i="1"/>
  <c r="AH47" i="1"/>
  <c r="CV47" i="1" s="1"/>
  <c r="AI47" i="1"/>
  <c r="AJ47" i="1"/>
  <c r="CX47" i="1" s="1"/>
  <c r="CQ47" i="1"/>
  <c r="CR47" i="1"/>
  <c r="CS47" i="1"/>
  <c r="CU47" i="1"/>
  <c r="CW47" i="1"/>
  <c r="FR47" i="1"/>
  <c r="GL47" i="1"/>
  <c r="GN47" i="1"/>
  <c r="GO47" i="1"/>
  <c r="GV47" i="1"/>
  <c r="HC47" i="1"/>
  <c r="I48" i="1"/>
  <c r="T48" i="1" s="1"/>
  <c r="P48" i="1"/>
  <c r="V48" i="1"/>
  <c r="AC48" i="1"/>
  <c r="AD48" i="1"/>
  <c r="AB48" i="1" s="1"/>
  <c r="AE48" i="1"/>
  <c r="AF48" i="1"/>
  <c r="CT48" i="1" s="1"/>
  <c r="AG48" i="1"/>
  <c r="AH48" i="1"/>
  <c r="CV48" i="1" s="1"/>
  <c r="U48" i="1" s="1"/>
  <c r="AI48" i="1"/>
  <c r="AJ48" i="1"/>
  <c r="CX48" i="1" s="1"/>
  <c r="CQ48" i="1"/>
  <c r="CR48" i="1"/>
  <c r="Q48" i="1" s="1"/>
  <c r="CS48" i="1"/>
  <c r="R48" i="1" s="1"/>
  <c r="GK48" i="1" s="1"/>
  <c r="CU48" i="1"/>
  <c r="CW48" i="1"/>
  <c r="FR48" i="1"/>
  <c r="GL48" i="1"/>
  <c r="GN48" i="1"/>
  <c r="GO48" i="1"/>
  <c r="GV48" i="1"/>
  <c r="HC48" i="1" s="1"/>
  <c r="I49" i="1"/>
  <c r="T49" i="1" s="1"/>
  <c r="P49" i="1"/>
  <c r="V49" i="1"/>
  <c r="AC49" i="1"/>
  <c r="AD49" i="1"/>
  <c r="AB49" i="1" s="1"/>
  <c r="AE49" i="1"/>
  <c r="AF49" i="1"/>
  <c r="CT49" i="1" s="1"/>
  <c r="AG49" i="1"/>
  <c r="AH49" i="1"/>
  <c r="CV49" i="1" s="1"/>
  <c r="U49" i="1" s="1"/>
  <c r="AI49" i="1"/>
  <c r="AJ49" i="1"/>
  <c r="CX49" i="1" s="1"/>
  <c r="CQ49" i="1"/>
  <c r="CR49" i="1"/>
  <c r="Q49" i="1" s="1"/>
  <c r="CS49" i="1"/>
  <c r="R49" i="1" s="1"/>
  <c r="GK49" i="1" s="1"/>
  <c r="CU49" i="1"/>
  <c r="CW49" i="1"/>
  <c r="FR49" i="1"/>
  <c r="GL49" i="1"/>
  <c r="GN49" i="1"/>
  <c r="GO49" i="1"/>
  <c r="GV49" i="1"/>
  <c r="HC49" i="1"/>
  <c r="I50" i="1"/>
  <c r="R50" i="1" s="1"/>
  <c r="GK50" i="1" s="1"/>
  <c r="V50" i="1"/>
  <c r="AC50" i="1"/>
  <c r="AD50" i="1"/>
  <c r="AB50" i="1" s="1"/>
  <c r="AE50" i="1"/>
  <c r="AF50" i="1"/>
  <c r="CT50" i="1" s="1"/>
  <c r="AG50" i="1"/>
  <c r="AH50" i="1"/>
  <c r="CV50" i="1" s="1"/>
  <c r="U50" i="1" s="1"/>
  <c r="AI50" i="1"/>
  <c r="AJ50" i="1"/>
  <c r="CX50" i="1" s="1"/>
  <c r="CQ50" i="1"/>
  <c r="P50" i="1" s="1"/>
  <c r="CR50" i="1"/>
  <c r="Q50" i="1" s="1"/>
  <c r="CS50" i="1"/>
  <c r="CU50" i="1"/>
  <c r="CW50" i="1"/>
  <c r="FR50" i="1"/>
  <c r="GL50" i="1"/>
  <c r="GN50" i="1"/>
  <c r="GO50" i="1"/>
  <c r="GV50" i="1"/>
  <c r="HC50" i="1" s="1"/>
  <c r="I51" i="1"/>
  <c r="R51" i="1" s="1"/>
  <c r="GK51" i="1" s="1"/>
  <c r="V51" i="1"/>
  <c r="AC51" i="1"/>
  <c r="AD51" i="1"/>
  <c r="AB51" i="1" s="1"/>
  <c r="AE51" i="1"/>
  <c r="AF51" i="1"/>
  <c r="CT51" i="1" s="1"/>
  <c r="AG51" i="1"/>
  <c r="AH51" i="1"/>
  <c r="CV51" i="1" s="1"/>
  <c r="U51" i="1" s="1"/>
  <c r="AI51" i="1"/>
  <c r="AJ51" i="1"/>
  <c r="CX51" i="1" s="1"/>
  <c r="CQ51" i="1"/>
  <c r="P51" i="1" s="1"/>
  <c r="CR51" i="1"/>
  <c r="Q51" i="1" s="1"/>
  <c r="CS51" i="1"/>
  <c r="CU51" i="1"/>
  <c r="CW51" i="1"/>
  <c r="FR51" i="1"/>
  <c r="GL51" i="1"/>
  <c r="GN51" i="1"/>
  <c r="GO51" i="1"/>
  <c r="GV51" i="1"/>
  <c r="GX51" i="1"/>
  <c r="HC51" i="1"/>
  <c r="AC52" i="1"/>
  <c r="AE52" i="1"/>
  <c r="AD52" i="1" s="1"/>
  <c r="AB52" i="1" s="1"/>
  <c r="AF52" i="1"/>
  <c r="AG52" i="1"/>
  <c r="AH52" i="1"/>
  <c r="AI52" i="1"/>
  <c r="AJ52" i="1"/>
  <c r="CQ52" i="1"/>
  <c r="CR52" i="1"/>
  <c r="CS52" i="1"/>
  <c r="CT52" i="1"/>
  <c r="CU52" i="1"/>
  <c r="CV52" i="1"/>
  <c r="CW52" i="1"/>
  <c r="CX52" i="1"/>
  <c r="FR52" i="1"/>
  <c r="GL52" i="1"/>
  <c r="GN52" i="1"/>
  <c r="GO52" i="1"/>
  <c r="GV52" i="1"/>
  <c r="HC52" i="1"/>
  <c r="AC53" i="1"/>
  <c r="AE53" i="1"/>
  <c r="CS53" i="1" s="1"/>
  <c r="AF53" i="1"/>
  <c r="AG53" i="1"/>
  <c r="AH53" i="1"/>
  <c r="AI53" i="1"/>
  <c r="CW53" i="1" s="1"/>
  <c r="AJ53" i="1"/>
  <c r="CQ53" i="1"/>
  <c r="CR53" i="1"/>
  <c r="CT53" i="1"/>
  <c r="CU53" i="1"/>
  <c r="CV53" i="1"/>
  <c r="CX53" i="1"/>
  <c r="FR53" i="1"/>
  <c r="GL53" i="1"/>
  <c r="GN53" i="1"/>
  <c r="GO53" i="1"/>
  <c r="GV53" i="1"/>
  <c r="HC53" i="1" s="1"/>
  <c r="I54" i="1"/>
  <c r="AC54" i="1"/>
  <c r="CQ54" i="1" s="1"/>
  <c r="P54" i="1" s="1"/>
  <c r="AE54" i="1"/>
  <c r="AD54" i="1" s="1"/>
  <c r="AF54" i="1"/>
  <c r="AG54" i="1"/>
  <c r="CU54" i="1" s="1"/>
  <c r="T54" i="1" s="1"/>
  <c r="AH54" i="1"/>
  <c r="AI54" i="1"/>
  <c r="AJ54" i="1"/>
  <c r="CR54" i="1"/>
  <c r="Q54" i="1" s="1"/>
  <c r="CS54" i="1"/>
  <c r="R54" i="1" s="1"/>
  <c r="GK54" i="1" s="1"/>
  <c r="CT54" i="1"/>
  <c r="S54" i="1" s="1"/>
  <c r="CV54" i="1"/>
  <c r="U54" i="1" s="1"/>
  <c r="CW54" i="1"/>
  <c r="V54" i="1" s="1"/>
  <c r="CX54" i="1"/>
  <c r="W54" i="1" s="1"/>
  <c r="FR54" i="1"/>
  <c r="GL54" i="1"/>
  <c r="GN54" i="1"/>
  <c r="GO54" i="1"/>
  <c r="GV54" i="1"/>
  <c r="HC54" i="1"/>
  <c r="GX54" i="1" s="1"/>
  <c r="B56" i="1"/>
  <c r="B30" i="1" s="1"/>
  <c r="C56" i="1"/>
  <c r="C30" i="1" s="1"/>
  <c r="D56" i="1"/>
  <c r="D30" i="1" s="1"/>
  <c r="F56" i="1"/>
  <c r="F30" i="1" s="1"/>
  <c r="G56" i="1"/>
  <c r="G30" i="1" s="1"/>
  <c r="AZ56" i="1"/>
  <c r="BX56" i="1"/>
  <c r="BX30" i="1" s="1"/>
  <c r="BY56" i="1"/>
  <c r="BY30" i="1" s="1"/>
  <c r="BZ56" i="1"/>
  <c r="BZ30" i="1" s="1"/>
  <c r="CB56" i="1"/>
  <c r="CB30" i="1" s="1"/>
  <c r="CC56" i="1"/>
  <c r="CC30" i="1" s="1"/>
  <c r="CG56" i="1"/>
  <c r="CG30" i="1" s="1"/>
  <c r="CI56" i="1"/>
  <c r="CI30" i="1" s="1"/>
  <c r="CK56" i="1"/>
  <c r="CK30" i="1" s="1"/>
  <c r="CL56" i="1"/>
  <c r="CL30" i="1" s="1"/>
  <c r="CM56" i="1"/>
  <c r="CM30" i="1" s="1"/>
  <c r="D89" i="1"/>
  <c r="E91" i="1"/>
  <c r="Z91" i="1"/>
  <c r="AA91" i="1"/>
  <c r="AM91" i="1"/>
  <c r="AN91" i="1"/>
  <c r="BE91" i="1"/>
  <c r="BF91" i="1"/>
  <c r="BG91" i="1"/>
  <c r="BH91" i="1"/>
  <c r="BI91" i="1"/>
  <c r="BJ91" i="1"/>
  <c r="BK91" i="1"/>
  <c r="BL91" i="1"/>
  <c r="BM91" i="1"/>
  <c r="BN91" i="1"/>
  <c r="BO91" i="1"/>
  <c r="BP91" i="1"/>
  <c r="BQ91" i="1"/>
  <c r="BR91" i="1"/>
  <c r="BS91" i="1"/>
  <c r="BT91" i="1"/>
  <c r="BU91" i="1"/>
  <c r="BV91" i="1"/>
  <c r="BW91" i="1"/>
  <c r="CN91" i="1"/>
  <c r="CO91" i="1"/>
  <c r="CP91" i="1"/>
  <c r="CQ91" i="1"/>
  <c r="CR91" i="1"/>
  <c r="CS91" i="1"/>
  <c r="CT91" i="1"/>
  <c r="CU91" i="1"/>
  <c r="CV91" i="1"/>
  <c r="CW91" i="1"/>
  <c r="CX91" i="1"/>
  <c r="CY91" i="1"/>
  <c r="CZ91" i="1"/>
  <c r="DA91" i="1"/>
  <c r="DB91" i="1"/>
  <c r="DC91" i="1"/>
  <c r="DD91" i="1"/>
  <c r="DE91" i="1"/>
  <c r="DF91" i="1"/>
  <c r="DG91" i="1"/>
  <c r="DH91" i="1"/>
  <c r="DI91" i="1"/>
  <c r="DJ91" i="1"/>
  <c r="DK91" i="1"/>
  <c r="DL91" i="1"/>
  <c r="DM91" i="1"/>
  <c r="DN91" i="1"/>
  <c r="DO91" i="1"/>
  <c r="DP91" i="1"/>
  <c r="DQ91" i="1"/>
  <c r="DR91" i="1"/>
  <c r="DS91" i="1"/>
  <c r="DT91" i="1"/>
  <c r="DU91" i="1"/>
  <c r="DV91" i="1"/>
  <c r="DW91" i="1"/>
  <c r="DX91" i="1"/>
  <c r="DY91" i="1"/>
  <c r="DZ91" i="1"/>
  <c r="EA91" i="1"/>
  <c r="EB91" i="1"/>
  <c r="EC91" i="1"/>
  <c r="ED91" i="1"/>
  <c r="EE91" i="1"/>
  <c r="EF91" i="1"/>
  <c r="EG91" i="1"/>
  <c r="EH91" i="1"/>
  <c r="EI91" i="1"/>
  <c r="EJ91" i="1"/>
  <c r="EK91" i="1"/>
  <c r="EL91" i="1"/>
  <c r="EM91" i="1"/>
  <c r="EN91" i="1"/>
  <c r="EO91" i="1"/>
  <c r="EP91" i="1"/>
  <c r="EQ91" i="1"/>
  <c r="ER91" i="1"/>
  <c r="ES91" i="1"/>
  <c r="ET91" i="1"/>
  <c r="EU91" i="1"/>
  <c r="EV91" i="1"/>
  <c r="EW91" i="1"/>
  <c r="EX91" i="1"/>
  <c r="EY91" i="1"/>
  <c r="EZ91" i="1"/>
  <c r="FA91" i="1"/>
  <c r="FB91" i="1"/>
  <c r="FC91" i="1"/>
  <c r="FD91" i="1"/>
  <c r="FE91" i="1"/>
  <c r="FF91" i="1"/>
  <c r="FG91" i="1"/>
  <c r="FH91" i="1"/>
  <c r="FI91" i="1"/>
  <c r="FJ91" i="1"/>
  <c r="FK91" i="1"/>
  <c r="FL91" i="1"/>
  <c r="FM91" i="1"/>
  <c r="FN91" i="1"/>
  <c r="FO91" i="1"/>
  <c r="FP91" i="1"/>
  <c r="FQ91" i="1"/>
  <c r="FR91" i="1"/>
  <c r="FS91" i="1"/>
  <c r="FT91" i="1"/>
  <c r="FU91" i="1"/>
  <c r="FV91" i="1"/>
  <c r="FW91" i="1"/>
  <c r="FX91" i="1"/>
  <c r="FY91" i="1"/>
  <c r="FZ91" i="1"/>
  <c r="GA91" i="1"/>
  <c r="GB91" i="1"/>
  <c r="GC91" i="1"/>
  <c r="GD91" i="1"/>
  <c r="GE91" i="1"/>
  <c r="GF91" i="1"/>
  <c r="GG91" i="1"/>
  <c r="GH91" i="1"/>
  <c r="GI91" i="1"/>
  <c r="GJ91" i="1"/>
  <c r="GK91" i="1"/>
  <c r="GL91" i="1"/>
  <c r="GM91" i="1"/>
  <c r="GN91" i="1"/>
  <c r="GO91" i="1"/>
  <c r="GP91" i="1"/>
  <c r="GQ91" i="1"/>
  <c r="GR91" i="1"/>
  <c r="GS91" i="1"/>
  <c r="GT91" i="1"/>
  <c r="GU91" i="1"/>
  <c r="GV91" i="1"/>
  <c r="GW91" i="1"/>
  <c r="GX91" i="1"/>
  <c r="C93" i="1"/>
  <c r="D93" i="1"/>
  <c r="AC93" i="1"/>
  <c r="AE93" i="1"/>
  <c r="CS93" i="1" s="1"/>
  <c r="R93" i="1" s="1"/>
  <c r="GK93" i="1" s="1"/>
  <c r="AF93" i="1"/>
  <c r="AG93" i="1"/>
  <c r="CU93" i="1" s="1"/>
  <c r="T93" i="1" s="1"/>
  <c r="AH93" i="1"/>
  <c r="AI93" i="1"/>
  <c r="CW93" i="1" s="1"/>
  <c r="V93" i="1" s="1"/>
  <c r="AJ93" i="1"/>
  <c r="CR93" i="1"/>
  <c r="Q93" i="1" s="1"/>
  <c r="CT93" i="1"/>
  <c r="S93" i="1" s="1"/>
  <c r="CV93" i="1"/>
  <c r="U93" i="1" s="1"/>
  <c r="CX93" i="1"/>
  <c r="W93" i="1" s="1"/>
  <c r="FR93" i="1"/>
  <c r="GL93" i="1"/>
  <c r="GN93" i="1"/>
  <c r="GO93" i="1"/>
  <c r="GV93" i="1"/>
  <c r="HC93" i="1"/>
  <c r="GX93" i="1" s="1"/>
  <c r="C94" i="1"/>
  <c r="D94" i="1"/>
  <c r="I94" i="1"/>
  <c r="AC94" i="1"/>
  <c r="AE94" i="1"/>
  <c r="AF94" i="1"/>
  <c r="AG94" i="1"/>
  <c r="CU94" i="1" s="1"/>
  <c r="T94" i="1" s="1"/>
  <c r="AH94" i="1"/>
  <c r="AI94" i="1"/>
  <c r="CW94" i="1" s="1"/>
  <c r="V94" i="1" s="1"/>
  <c r="AJ94" i="1"/>
  <c r="CR94" i="1"/>
  <c r="Q94" i="1" s="1"/>
  <c r="CT94" i="1"/>
  <c r="S94" i="1" s="1"/>
  <c r="CY94" i="1" s="1"/>
  <c r="X94" i="1" s="1"/>
  <c r="CV94" i="1"/>
  <c r="U94" i="1" s="1"/>
  <c r="CX94" i="1"/>
  <c r="W94" i="1" s="1"/>
  <c r="CZ94" i="1"/>
  <c r="Y94" i="1" s="1"/>
  <c r="FR94" i="1"/>
  <c r="GL94" i="1"/>
  <c r="GN94" i="1"/>
  <c r="GO94" i="1"/>
  <c r="GV94" i="1"/>
  <c r="HC94" i="1"/>
  <c r="GX94" i="1" s="1"/>
  <c r="C95" i="1"/>
  <c r="D95" i="1"/>
  <c r="I95" i="1"/>
  <c r="Q95" i="1"/>
  <c r="S95" i="1"/>
  <c r="CY95" i="1" s="1"/>
  <c r="X95" i="1" s="1"/>
  <c r="W95" i="1"/>
  <c r="Y95" i="1"/>
  <c r="AC95" i="1"/>
  <c r="AE95" i="1"/>
  <c r="AF95" i="1"/>
  <c r="AG95" i="1"/>
  <c r="CU95" i="1" s="1"/>
  <c r="T95" i="1" s="1"/>
  <c r="AH95" i="1"/>
  <c r="AI95" i="1"/>
  <c r="CW95" i="1" s="1"/>
  <c r="V95" i="1" s="1"/>
  <c r="AJ95" i="1"/>
  <c r="CR95" i="1"/>
  <c r="CT95" i="1"/>
  <c r="CV95" i="1"/>
  <c r="U95" i="1" s="1"/>
  <c r="CX95" i="1"/>
  <c r="CZ95" i="1"/>
  <c r="FR95" i="1"/>
  <c r="GL95" i="1"/>
  <c r="GN95" i="1"/>
  <c r="GO95" i="1"/>
  <c r="GV95" i="1"/>
  <c r="HC95" i="1" s="1"/>
  <c r="GX95" i="1" s="1"/>
  <c r="I96" i="1"/>
  <c r="Q96" i="1"/>
  <c r="S96" i="1"/>
  <c r="CY96" i="1" s="1"/>
  <c r="X96" i="1" s="1"/>
  <c r="W96" i="1"/>
  <c r="Y96" i="1"/>
  <c r="AC96" i="1"/>
  <c r="AE96" i="1"/>
  <c r="AF96" i="1"/>
  <c r="AG96" i="1"/>
  <c r="CU96" i="1" s="1"/>
  <c r="T96" i="1" s="1"/>
  <c r="AH96" i="1"/>
  <c r="AI96" i="1"/>
  <c r="CW96" i="1" s="1"/>
  <c r="V96" i="1" s="1"/>
  <c r="AJ96" i="1"/>
  <c r="CR96" i="1"/>
  <c r="CT96" i="1"/>
  <c r="CV96" i="1"/>
  <c r="U96" i="1" s="1"/>
  <c r="CX96" i="1"/>
  <c r="CZ96" i="1"/>
  <c r="FR96" i="1"/>
  <c r="GL96" i="1"/>
  <c r="GN96" i="1"/>
  <c r="GO96" i="1"/>
  <c r="GV96" i="1"/>
  <c r="HC96" i="1" s="1"/>
  <c r="GX96" i="1" s="1"/>
  <c r="I97" i="1"/>
  <c r="Q97" i="1"/>
  <c r="S97" i="1"/>
  <c r="CY97" i="1" s="1"/>
  <c r="X97" i="1" s="1"/>
  <c r="W97" i="1"/>
  <c r="Y97" i="1"/>
  <c r="AC97" i="1"/>
  <c r="AE97" i="1"/>
  <c r="AF97" i="1"/>
  <c r="AG97" i="1"/>
  <c r="CU97" i="1" s="1"/>
  <c r="T97" i="1" s="1"/>
  <c r="AH97" i="1"/>
  <c r="AI97" i="1"/>
  <c r="CW97" i="1" s="1"/>
  <c r="V97" i="1" s="1"/>
  <c r="AJ97" i="1"/>
  <c r="CR97" i="1"/>
  <c r="CT97" i="1"/>
  <c r="CV97" i="1"/>
  <c r="U97" i="1" s="1"/>
  <c r="CX97" i="1"/>
  <c r="CZ97" i="1"/>
  <c r="FR97" i="1"/>
  <c r="GL97" i="1"/>
  <c r="GN97" i="1"/>
  <c r="GO97" i="1"/>
  <c r="GV97" i="1"/>
  <c r="HC97" i="1" s="1"/>
  <c r="GX97" i="1" s="1"/>
  <c r="C98" i="1"/>
  <c r="D98" i="1"/>
  <c r="I98" i="1"/>
  <c r="S98" i="1"/>
  <c r="CY98" i="1" s="1"/>
  <c r="X98" i="1" s="1"/>
  <c r="U98" i="1"/>
  <c r="W98" i="1"/>
  <c r="AC98" i="1"/>
  <c r="AE98" i="1"/>
  <c r="AF98" i="1"/>
  <c r="AG98" i="1"/>
  <c r="CU98" i="1" s="1"/>
  <c r="T98" i="1" s="1"/>
  <c r="AH98" i="1"/>
  <c r="AI98" i="1"/>
  <c r="CW98" i="1" s="1"/>
  <c r="V98" i="1" s="1"/>
  <c r="AJ98" i="1"/>
  <c r="CR98" i="1"/>
  <c r="Q98" i="1" s="1"/>
  <c r="CT98" i="1"/>
  <c r="CV98" i="1"/>
  <c r="CX98" i="1"/>
  <c r="FR98" i="1"/>
  <c r="GL98" i="1"/>
  <c r="GN98" i="1"/>
  <c r="GO98" i="1"/>
  <c r="GV98" i="1"/>
  <c r="HC98" i="1"/>
  <c r="GX98" i="1" s="1"/>
  <c r="C99" i="1"/>
  <c r="D99" i="1"/>
  <c r="I99" i="1"/>
  <c r="Q99" i="1"/>
  <c r="S99" i="1"/>
  <c r="CY99" i="1" s="1"/>
  <c r="X99" i="1" s="1"/>
  <c r="W99" i="1"/>
  <c r="Y99" i="1"/>
  <c r="AC99" i="1"/>
  <c r="AE99" i="1"/>
  <c r="AF99" i="1"/>
  <c r="AG99" i="1"/>
  <c r="CU99" i="1" s="1"/>
  <c r="T99" i="1" s="1"/>
  <c r="AH99" i="1"/>
  <c r="AI99" i="1"/>
  <c r="CW99" i="1" s="1"/>
  <c r="V99" i="1" s="1"/>
  <c r="AJ99" i="1"/>
  <c r="CR99" i="1"/>
  <c r="CT99" i="1"/>
  <c r="CV99" i="1"/>
  <c r="U99" i="1" s="1"/>
  <c r="CX99" i="1"/>
  <c r="CZ99" i="1"/>
  <c r="FR99" i="1"/>
  <c r="GL99" i="1"/>
  <c r="GN99" i="1"/>
  <c r="GO99" i="1"/>
  <c r="GV99" i="1"/>
  <c r="HC99" i="1" s="1"/>
  <c r="GX99" i="1" s="1"/>
  <c r="C100" i="1"/>
  <c r="D100" i="1"/>
  <c r="I100" i="1"/>
  <c r="S100" i="1"/>
  <c r="CY100" i="1" s="1"/>
  <c r="X100" i="1" s="1"/>
  <c r="U100" i="1"/>
  <c r="W100" i="1"/>
  <c r="AC100" i="1"/>
  <c r="AE100" i="1"/>
  <c r="AF100" i="1"/>
  <c r="AG100" i="1"/>
  <c r="CU100" i="1" s="1"/>
  <c r="T100" i="1" s="1"/>
  <c r="AH100" i="1"/>
  <c r="AI100" i="1"/>
  <c r="CW100" i="1" s="1"/>
  <c r="V100" i="1" s="1"/>
  <c r="AJ100" i="1"/>
  <c r="CR100" i="1"/>
  <c r="Q100" i="1" s="1"/>
  <c r="CT100" i="1"/>
  <c r="CV100" i="1"/>
  <c r="CX100" i="1"/>
  <c r="FR100" i="1"/>
  <c r="GL100" i="1"/>
  <c r="GN100" i="1"/>
  <c r="GO100" i="1"/>
  <c r="GV100" i="1"/>
  <c r="HC100" i="1"/>
  <c r="GX100" i="1" s="1"/>
  <c r="C101" i="1"/>
  <c r="D101" i="1"/>
  <c r="R101" i="1"/>
  <c r="GK101" i="1" s="1"/>
  <c r="AC101" i="1"/>
  <c r="AD101" i="1"/>
  <c r="AE101" i="1"/>
  <c r="AF101" i="1"/>
  <c r="CT101" i="1" s="1"/>
  <c r="S101" i="1" s="1"/>
  <c r="AG101" i="1"/>
  <c r="AH101" i="1"/>
  <c r="CV101" i="1" s="1"/>
  <c r="U101" i="1" s="1"/>
  <c r="AI101" i="1"/>
  <c r="AJ101" i="1"/>
  <c r="CX101" i="1" s="1"/>
  <c r="W101" i="1" s="1"/>
  <c r="CQ101" i="1"/>
  <c r="P101" i="1" s="1"/>
  <c r="CR101" i="1"/>
  <c r="Q101" i="1" s="1"/>
  <c r="CS101" i="1"/>
  <c r="CU101" i="1"/>
  <c r="T101" i="1" s="1"/>
  <c r="CW101" i="1"/>
  <c r="V101" i="1" s="1"/>
  <c r="FR101" i="1"/>
  <c r="GL101" i="1"/>
  <c r="GN101" i="1"/>
  <c r="GO101" i="1"/>
  <c r="GV101" i="1"/>
  <c r="HC101" i="1" s="1"/>
  <c r="GX101" i="1" s="1"/>
  <c r="C102" i="1"/>
  <c r="D102" i="1"/>
  <c r="AB102" i="1"/>
  <c r="AC102" i="1"/>
  <c r="CQ102" i="1" s="1"/>
  <c r="P102" i="1" s="1"/>
  <c r="AE102" i="1"/>
  <c r="AD102" i="1" s="1"/>
  <c r="AF102" i="1"/>
  <c r="AG102" i="1"/>
  <c r="CU102" i="1" s="1"/>
  <c r="T102" i="1" s="1"/>
  <c r="AH102" i="1"/>
  <c r="AI102" i="1"/>
  <c r="AJ102" i="1"/>
  <c r="CR102" i="1"/>
  <c r="Q102" i="1" s="1"/>
  <c r="CP102" i="1" s="1"/>
  <c r="O102" i="1" s="1"/>
  <c r="CS102" i="1"/>
  <c r="R102" i="1" s="1"/>
  <c r="GK102" i="1" s="1"/>
  <c r="CT102" i="1"/>
  <c r="S102" i="1" s="1"/>
  <c r="CV102" i="1"/>
  <c r="U102" i="1" s="1"/>
  <c r="CW102" i="1"/>
  <c r="V102" i="1" s="1"/>
  <c r="CX102" i="1"/>
  <c r="W102" i="1" s="1"/>
  <c r="FR102" i="1"/>
  <c r="GL102" i="1"/>
  <c r="GN102" i="1"/>
  <c r="GO102" i="1"/>
  <c r="GV102" i="1"/>
  <c r="HC102" i="1"/>
  <c r="GX102" i="1" s="1"/>
  <c r="C103" i="1"/>
  <c r="D103" i="1"/>
  <c r="I103" i="1"/>
  <c r="U103" i="1"/>
  <c r="AB103" i="1"/>
  <c r="AC103" i="1"/>
  <c r="CQ103" i="1" s="1"/>
  <c r="P103" i="1" s="1"/>
  <c r="CP103" i="1" s="1"/>
  <c r="O103" i="1" s="1"/>
  <c r="AE103" i="1"/>
  <c r="AD103" i="1" s="1"/>
  <c r="AF103" i="1"/>
  <c r="AG103" i="1"/>
  <c r="CU103" i="1" s="1"/>
  <c r="T103" i="1" s="1"/>
  <c r="AH103" i="1"/>
  <c r="AI103" i="1"/>
  <c r="AJ103" i="1"/>
  <c r="CR103" i="1"/>
  <c r="Q103" i="1" s="1"/>
  <c r="CS103" i="1"/>
  <c r="R103" i="1" s="1"/>
  <c r="GK103" i="1" s="1"/>
  <c r="CT103" i="1"/>
  <c r="S103" i="1" s="1"/>
  <c r="CV103" i="1"/>
  <c r="CW103" i="1"/>
  <c r="V103" i="1" s="1"/>
  <c r="CX103" i="1"/>
  <c r="W103" i="1" s="1"/>
  <c r="FR103" i="1"/>
  <c r="GL103" i="1"/>
  <c r="GN103" i="1"/>
  <c r="GO103" i="1"/>
  <c r="GV103" i="1"/>
  <c r="HC103" i="1"/>
  <c r="GX103" i="1" s="1"/>
  <c r="C104" i="1"/>
  <c r="D104" i="1"/>
  <c r="I104" i="1"/>
  <c r="U104" i="1"/>
  <c r="AC104" i="1"/>
  <c r="CQ104" i="1" s="1"/>
  <c r="P104" i="1" s="1"/>
  <c r="AE104" i="1"/>
  <c r="AD104" i="1" s="1"/>
  <c r="AF104" i="1"/>
  <c r="AG104" i="1"/>
  <c r="CU104" i="1" s="1"/>
  <c r="T104" i="1" s="1"/>
  <c r="AH104" i="1"/>
  <c r="AI104" i="1"/>
  <c r="AJ104" i="1"/>
  <c r="CR104" i="1"/>
  <c r="Q104" i="1" s="1"/>
  <c r="CS104" i="1"/>
  <c r="R104" i="1" s="1"/>
  <c r="GK104" i="1" s="1"/>
  <c r="CT104" i="1"/>
  <c r="S104" i="1" s="1"/>
  <c r="CY104" i="1" s="1"/>
  <c r="X104" i="1" s="1"/>
  <c r="CV104" i="1"/>
  <c r="CW104" i="1"/>
  <c r="V104" i="1" s="1"/>
  <c r="AI117" i="1" s="1"/>
  <c r="CX104" i="1"/>
  <c r="W104" i="1" s="1"/>
  <c r="AJ117" i="1" s="1"/>
  <c r="CZ104" i="1"/>
  <c r="Y104" i="1" s="1"/>
  <c r="FR104" i="1"/>
  <c r="GL104" i="1"/>
  <c r="GN104" i="1"/>
  <c r="GO104" i="1"/>
  <c r="GV104" i="1"/>
  <c r="HC104" i="1" s="1"/>
  <c r="GX104" i="1"/>
  <c r="I105" i="1"/>
  <c r="S105" i="1"/>
  <c r="CZ105" i="1" s="1"/>
  <c r="Y105" i="1" s="1"/>
  <c r="W105" i="1"/>
  <c r="AC105" i="1"/>
  <c r="AB105" i="1" s="1"/>
  <c r="AD105" i="1"/>
  <c r="AE105" i="1"/>
  <c r="CS105" i="1" s="1"/>
  <c r="R105" i="1" s="1"/>
  <c r="AF105" i="1"/>
  <c r="AG105" i="1"/>
  <c r="AH105" i="1"/>
  <c r="CV105" i="1" s="1"/>
  <c r="U105" i="1" s="1"/>
  <c r="AI105" i="1"/>
  <c r="CW105" i="1" s="1"/>
  <c r="V105" i="1" s="1"/>
  <c r="AJ105" i="1"/>
  <c r="CR105" i="1"/>
  <c r="Q105" i="1" s="1"/>
  <c r="CT105" i="1"/>
  <c r="CU105" i="1"/>
  <c r="T105" i="1" s="1"/>
  <c r="CX105" i="1"/>
  <c r="FR105" i="1"/>
  <c r="GK105" i="1"/>
  <c r="GL105" i="1"/>
  <c r="GN105" i="1"/>
  <c r="GO105" i="1"/>
  <c r="GV105" i="1"/>
  <c r="HC105" i="1"/>
  <c r="GX105" i="1" s="1"/>
  <c r="I106" i="1"/>
  <c r="AC106" i="1"/>
  <c r="CQ106" i="1" s="1"/>
  <c r="P106" i="1" s="1"/>
  <c r="AE106" i="1"/>
  <c r="AD106" i="1" s="1"/>
  <c r="AB106" i="1" s="1"/>
  <c r="AF106" i="1"/>
  <c r="CT106" i="1" s="1"/>
  <c r="S106" i="1" s="1"/>
  <c r="CY106" i="1" s="1"/>
  <c r="X106" i="1" s="1"/>
  <c r="AG106" i="1"/>
  <c r="CU106" i="1" s="1"/>
  <c r="AH106" i="1"/>
  <c r="AI106" i="1"/>
  <c r="AJ106" i="1"/>
  <c r="CX106" i="1" s="1"/>
  <c r="W106" i="1" s="1"/>
  <c r="CS106" i="1"/>
  <c r="R106" i="1" s="1"/>
  <c r="GK106" i="1" s="1"/>
  <c r="CV106" i="1"/>
  <c r="U106" i="1" s="1"/>
  <c r="CW106" i="1"/>
  <c r="V106" i="1" s="1"/>
  <c r="FR106" i="1"/>
  <c r="GL106" i="1"/>
  <c r="GN106" i="1"/>
  <c r="GO106" i="1"/>
  <c r="GV106" i="1"/>
  <c r="HC106" i="1" s="1"/>
  <c r="GX106" i="1"/>
  <c r="I107" i="1"/>
  <c r="S107" i="1"/>
  <c r="CZ107" i="1" s="1"/>
  <c r="Y107" i="1" s="1"/>
  <c r="W107" i="1"/>
  <c r="AC107" i="1"/>
  <c r="AB107" i="1" s="1"/>
  <c r="AD107" i="1"/>
  <c r="AE107" i="1"/>
  <c r="CS107" i="1" s="1"/>
  <c r="R107" i="1" s="1"/>
  <c r="AF107" i="1"/>
  <c r="AG107" i="1"/>
  <c r="AH107" i="1"/>
  <c r="CV107" i="1" s="1"/>
  <c r="U107" i="1" s="1"/>
  <c r="AI107" i="1"/>
  <c r="CW107" i="1" s="1"/>
  <c r="V107" i="1" s="1"/>
  <c r="AJ107" i="1"/>
  <c r="CR107" i="1"/>
  <c r="Q107" i="1" s="1"/>
  <c r="CT107" i="1"/>
  <c r="CU107" i="1"/>
  <c r="T107" i="1" s="1"/>
  <c r="CX107" i="1"/>
  <c r="FR107" i="1"/>
  <c r="GK107" i="1"/>
  <c r="GL107" i="1"/>
  <c r="GN107" i="1"/>
  <c r="GO107" i="1"/>
  <c r="GV107" i="1"/>
  <c r="HC107" i="1"/>
  <c r="GX107" i="1" s="1"/>
  <c r="I108" i="1"/>
  <c r="U108" i="1"/>
  <c r="AC108" i="1"/>
  <c r="CQ108" i="1" s="1"/>
  <c r="P108" i="1" s="1"/>
  <c r="AE108" i="1"/>
  <c r="AD108" i="1" s="1"/>
  <c r="AB108" i="1" s="1"/>
  <c r="AF108" i="1"/>
  <c r="CT108" i="1" s="1"/>
  <c r="S108" i="1" s="1"/>
  <c r="CY108" i="1" s="1"/>
  <c r="X108" i="1" s="1"/>
  <c r="AG108" i="1"/>
  <c r="CU108" i="1" s="1"/>
  <c r="AH108" i="1"/>
  <c r="AI108" i="1"/>
  <c r="AJ108" i="1"/>
  <c r="CX108" i="1" s="1"/>
  <c r="W108" i="1" s="1"/>
  <c r="CS108" i="1"/>
  <c r="R108" i="1" s="1"/>
  <c r="GK108" i="1" s="1"/>
  <c r="CV108" i="1"/>
  <c r="CW108" i="1"/>
  <c r="V108" i="1" s="1"/>
  <c r="FR108" i="1"/>
  <c r="GL108" i="1"/>
  <c r="GN108" i="1"/>
  <c r="GO108" i="1"/>
  <c r="GV108" i="1"/>
  <c r="HC108" i="1" s="1"/>
  <c r="GX108" i="1"/>
  <c r="I109" i="1"/>
  <c r="S109" i="1"/>
  <c r="CZ109" i="1" s="1"/>
  <c r="Y109" i="1" s="1"/>
  <c r="W109" i="1"/>
  <c r="AC109" i="1"/>
  <c r="AB109" i="1" s="1"/>
  <c r="AD109" i="1"/>
  <c r="AE109" i="1"/>
  <c r="CS109" i="1" s="1"/>
  <c r="R109" i="1" s="1"/>
  <c r="AF109" i="1"/>
  <c r="AG109" i="1"/>
  <c r="AH109" i="1"/>
  <c r="CV109" i="1" s="1"/>
  <c r="U109" i="1" s="1"/>
  <c r="AI109" i="1"/>
  <c r="CW109" i="1" s="1"/>
  <c r="V109" i="1" s="1"/>
  <c r="AJ109" i="1"/>
  <c r="CR109" i="1"/>
  <c r="Q109" i="1" s="1"/>
  <c r="CT109" i="1"/>
  <c r="CU109" i="1"/>
  <c r="T109" i="1" s="1"/>
  <c r="CX109" i="1"/>
  <c r="FR109" i="1"/>
  <c r="GK109" i="1"/>
  <c r="GL109" i="1"/>
  <c r="GN109" i="1"/>
  <c r="GO109" i="1"/>
  <c r="GV109" i="1"/>
  <c r="HC109" i="1"/>
  <c r="GX109" i="1" s="1"/>
  <c r="I110" i="1"/>
  <c r="U110" i="1"/>
  <c r="AC110" i="1"/>
  <c r="CQ110" i="1" s="1"/>
  <c r="P110" i="1" s="1"/>
  <c r="AE110" i="1"/>
  <c r="AD110" i="1" s="1"/>
  <c r="AB110" i="1" s="1"/>
  <c r="AF110" i="1"/>
  <c r="CT110" i="1" s="1"/>
  <c r="S110" i="1" s="1"/>
  <c r="CY110" i="1" s="1"/>
  <c r="X110" i="1" s="1"/>
  <c r="AG110" i="1"/>
  <c r="CU110" i="1" s="1"/>
  <c r="AH110" i="1"/>
  <c r="AI110" i="1"/>
  <c r="AJ110" i="1"/>
  <c r="CX110" i="1" s="1"/>
  <c r="W110" i="1" s="1"/>
  <c r="CS110" i="1"/>
  <c r="R110" i="1" s="1"/>
  <c r="GK110" i="1" s="1"/>
  <c r="CV110" i="1"/>
  <c r="CW110" i="1"/>
  <c r="V110" i="1" s="1"/>
  <c r="FR110" i="1"/>
  <c r="GL110" i="1"/>
  <c r="GN110" i="1"/>
  <c r="GO110" i="1"/>
  <c r="GV110" i="1"/>
  <c r="HC110" i="1" s="1"/>
  <c r="GX110" i="1"/>
  <c r="I111" i="1"/>
  <c r="S111" i="1"/>
  <c r="CZ111" i="1" s="1"/>
  <c r="Y111" i="1" s="1"/>
  <c r="W111" i="1"/>
  <c r="AC111" i="1"/>
  <c r="AB111" i="1" s="1"/>
  <c r="AD111" i="1"/>
  <c r="AE111" i="1"/>
  <c r="CS111" i="1" s="1"/>
  <c r="R111" i="1" s="1"/>
  <c r="AF111" i="1"/>
  <c r="AG111" i="1"/>
  <c r="AH111" i="1"/>
  <c r="CV111" i="1" s="1"/>
  <c r="U111" i="1" s="1"/>
  <c r="AI111" i="1"/>
  <c r="CW111" i="1" s="1"/>
  <c r="V111" i="1" s="1"/>
  <c r="AJ111" i="1"/>
  <c r="CR111" i="1"/>
  <c r="Q111" i="1" s="1"/>
  <c r="CT111" i="1"/>
  <c r="CU111" i="1"/>
  <c r="T111" i="1" s="1"/>
  <c r="CX111" i="1"/>
  <c r="FR111" i="1"/>
  <c r="GK111" i="1"/>
  <c r="GL111" i="1"/>
  <c r="GN111" i="1"/>
  <c r="GO111" i="1"/>
  <c r="GV111" i="1"/>
  <c r="HC111" i="1"/>
  <c r="GX111" i="1" s="1"/>
  <c r="I112" i="1"/>
  <c r="U112" i="1"/>
  <c r="AC112" i="1"/>
  <c r="CQ112" i="1" s="1"/>
  <c r="P112" i="1" s="1"/>
  <c r="AE112" i="1"/>
  <c r="AD112" i="1" s="1"/>
  <c r="AB112" i="1" s="1"/>
  <c r="AF112" i="1"/>
  <c r="CT112" i="1" s="1"/>
  <c r="S112" i="1" s="1"/>
  <c r="CY112" i="1" s="1"/>
  <c r="X112" i="1" s="1"/>
  <c r="AG112" i="1"/>
  <c r="CU112" i="1" s="1"/>
  <c r="AH112" i="1"/>
  <c r="AI112" i="1"/>
  <c r="AJ112" i="1"/>
  <c r="CX112" i="1" s="1"/>
  <c r="W112" i="1" s="1"/>
  <c r="CS112" i="1"/>
  <c r="R112" i="1" s="1"/>
  <c r="GK112" i="1" s="1"/>
  <c r="CV112" i="1"/>
  <c r="CW112" i="1"/>
  <c r="V112" i="1" s="1"/>
  <c r="FR112" i="1"/>
  <c r="GL112" i="1"/>
  <c r="GN112" i="1"/>
  <c r="GO112" i="1"/>
  <c r="GV112" i="1"/>
  <c r="HC112" i="1" s="1"/>
  <c r="GX112" i="1"/>
  <c r="I113" i="1"/>
  <c r="S113" i="1"/>
  <c r="CZ113" i="1" s="1"/>
  <c r="Y113" i="1" s="1"/>
  <c r="W113" i="1"/>
  <c r="AC113" i="1"/>
  <c r="AB113" i="1" s="1"/>
  <c r="AD113" i="1"/>
  <c r="AE113" i="1"/>
  <c r="CS113" i="1" s="1"/>
  <c r="R113" i="1" s="1"/>
  <c r="AF113" i="1"/>
  <c r="AG113" i="1"/>
  <c r="AH113" i="1"/>
  <c r="CV113" i="1" s="1"/>
  <c r="U113" i="1" s="1"/>
  <c r="AI113" i="1"/>
  <c r="CW113" i="1" s="1"/>
  <c r="V113" i="1" s="1"/>
  <c r="AJ113" i="1"/>
  <c r="CR113" i="1"/>
  <c r="Q113" i="1" s="1"/>
  <c r="CT113" i="1"/>
  <c r="CU113" i="1"/>
  <c r="T113" i="1" s="1"/>
  <c r="CX113" i="1"/>
  <c r="FR113" i="1"/>
  <c r="GK113" i="1"/>
  <c r="GL113" i="1"/>
  <c r="GN113" i="1"/>
  <c r="GO113" i="1"/>
  <c r="GV113" i="1"/>
  <c r="HC113" i="1"/>
  <c r="GX113" i="1" s="1"/>
  <c r="I114" i="1"/>
  <c r="U114" i="1"/>
  <c r="AC114" i="1"/>
  <c r="CQ114" i="1" s="1"/>
  <c r="P114" i="1" s="1"/>
  <c r="AE114" i="1"/>
  <c r="AD114" i="1" s="1"/>
  <c r="AB114" i="1" s="1"/>
  <c r="AF114" i="1"/>
  <c r="CT114" i="1" s="1"/>
  <c r="S114" i="1" s="1"/>
  <c r="CY114" i="1" s="1"/>
  <c r="X114" i="1" s="1"/>
  <c r="AG114" i="1"/>
  <c r="CU114" i="1" s="1"/>
  <c r="AH114" i="1"/>
  <c r="AI114" i="1"/>
  <c r="AJ114" i="1"/>
  <c r="CX114" i="1" s="1"/>
  <c r="W114" i="1" s="1"/>
  <c r="CS114" i="1"/>
  <c r="R114" i="1" s="1"/>
  <c r="GK114" i="1" s="1"/>
  <c r="CV114" i="1"/>
  <c r="CW114" i="1"/>
  <c r="V114" i="1" s="1"/>
  <c r="FR114" i="1"/>
  <c r="BY117" i="1" s="1"/>
  <c r="GL114" i="1"/>
  <c r="GN114" i="1"/>
  <c r="GO114" i="1"/>
  <c r="GV114" i="1"/>
  <c r="HC114" i="1" s="1"/>
  <c r="GX114" i="1"/>
  <c r="I115" i="1"/>
  <c r="S115" i="1"/>
  <c r="CZ115" i="1" s="1"/>
  <c r="Y115" i="1" s="1"/>
  <c r="W115" i="1"/>
  <c r="AC115" i="1"/>
  <c r="AB115" i="1" s="1"/>
  <c r="AD115" i="1"/>
  <c r="AE115" i="1"/>
  <c r="CS115" i="1" s="1"/>
  <c r="R115" i="1" s="1"/>
  <c r="AF115" i="1"/>
  <c r="AG115" i="1"/>
  <c r="AH115" i="1"/>
  <c r="CV115" i="1" s="1"/>
  <c r="U115" i="1" s="1"/>
  <c r="AI115" i="1"/>
  <c r="CW115" i="1" s="1"/>
  <c r="V115" i="1" s="1"/>
  <c r="AJ115" i="1"/>
  <c r="CR115" i="1"/>
  <c r="Q115" i="1" s="1"/>
  <c r="CT115" i="1"/>
  <c r="CU115" i="1"/>
  <c r="T115" i="1" s="1"/>
  <c r="CX115" i="1"/>
  <c r="FR115" i="1"/>
  <c r="GK115" i="1"/>
  <c r="GL115" i="1"/>
  <c r="GN115" i="1"/>
  <c r="GO115" i="1"/>
  <c r="GV115" i="1"/>
  <c r="HC115" i="1"/>
  <c r="GX115" i="1" s="1"/>
  <c r="B117" i="1"/>
  <c r="B91" i="1" s="1"/>
  <c r="C117" i="1"/>
  <c r="C91" i="1" s="1"/>
  <c r="D117" i="1"/>
  <c r="D91" i="1" s="1"/>
  <c r="F117" i="1"/>
  <c r="F91" i="1" s="1"/>
  <c r="G117" i="1"/>
  <c r="G91" i="1" s="1"/>
  <c r="BX117" i="1"/>
  <c r="BX91" i="1" s="1"/>
  <c r="CB117" i="1"/>
  <c r="CB91" i="1" s="1"/>
  <c r="CC117" i="1"/>
  <c r="CC91" i="1" s="1"/>
  <c r="CJ117" i="1"/>
  <c r="CJ91" i="1" s="1"/>
  <c r="CK117" i="1"/>
  <c r="CK91" i="1" s="1"/>
  <c r="CL117" i="1"/>
  <c r="CL91" i="1" s="1"/>
  <c r="CM117" i="1"/>
  <c r="CM91" i="1" s="1"/>
  <c r="D147" i="1"/>
  <c r="E149" i="1"/>
  <c r="Z149" i="1"/>
  <c r="AA149" i="1"/>
  <c r="AM149" i="1"/>
  <c r="AN149" i="1"/>
  <c r="BE149" i="1"/>
  <c r="BF149" i="1"/>
  <c r="BG149" i="1"/>
  <c r="BH149" i="1"/>
  <c r="BI149" i="1"/>
  <c r="BJ149" i="1"/>
  <c r="BK149" i="1"/>
  <c r="BL149" i="1"/>
  <c r="BM149" i="1"/>
  <c r="BN149" i="1"/>
  <c r="BO149" i="1"/>
  <c r="BP149" i="1"/>
  <c r="BQ149" i="1"/>
  <c r="BR149" i="1"/>
  <c r="BS149" i="1"/>
  <c r="BT149" i="1"/>
  <c r="BU149" i="1"/>
  <c r="BV149" i="1"/>
  <c r="BW149" i="1"/>
  <c r="CN149" i="1"/>
  <c r="CO149" i="1"/>
  <c r="CP149" i="1"/>
  <c r="CQ149" i="1"/>
  <c r="CR149" i="1"/>
  <c r="CS149" i="1"/>
  <c r="CT149" i="1"/>
  <c r="CU149" i="1"/>
  <c r="CV149" i="1"/>
  <c r="CW149" i="1"/>
  <c r="CX149" i="1"/>
  <c r="CY149" i="1"/>
  <c r="CZ149" i="1"/>
  <c r="DA149" i="1"/>
  <c r="DB149" i="1"/>
  <c r="DC149" i="1"/>
  <c r="DD149" i="1"/>
  <c r="DE149" i="1"/>
  <c r="DF149" i="1"/>
  <c r="DG149" i="1"/>
  <c r="DH149" i="1"/>
  <c r="DI149" i="1"/>
  <c r="DJ149" i="1"/>
  <c r="DK149" i="1"/>
  <c r="DL149" i="1"/>
  <c r="DM149" i="1"/>
  <c r="DN149" i="1"/>
  <c r="DO149" i="1"/>
  <c r="DP149" i="1"/>
  <c r="DQ149" i="1"/>
  <c r="DR149" i="1"/>
  <c r="DS149" i="1"/>
  <c r="DT149" i="1"/>
  <c r="DU149" i="1"/>
  <c r="DV149" i="1"/>
  <c r="DW149" i="1"/>
  <c r="DX149" i="1"/>
  <c r="DY149" i="1"/>
  <c r="DZ149" i="1"/>
  <c r="EA149" i="1"/>
  <c r="EB149" i="1"/>
  <c r="EC149" i="1"/>
  <c r="ED149" i="1"/>
  <c r="EE149" i="1"/>
  <c r="EF149" i="1"/>
  <c r="EG149" i="1"/>
  <c r="EH149" i="1"/>
  <c r="EI149" i="1"/>
  <c r="EJ149" i="1"/>
  <c r="EK149" i="1"/>
  <c r="EL149" i="1"/>
  <c r="EM149" i="1"/>
  <c r="EN149" i="1"/>
  <c r="EO149" i="1"/>
  <c r="EP149" i="1"/>
  <c r="EQ149" i="1"/>
  <c r="ER149" i="1"/>
  <c r="ES149" i="1"/>
  <c r="ET149" i="1"/>
  <c r="EU149" i="1"/>
  <c r="EV149" i="1"/>
  <c r="EW149" i="1"/>
  <c r="EX149" i="1"/>
  <c r="EY149" i="1"/>
  <c r="EZ149" i="1"/>
  <c r="FA149" i="1"/>
  <c r="FB149" i="1"/>
  <c r="FC149" i="1"/>
  <c r="FD149" i="1"/>
  <c r="FE149" i="1"/>
  <c r="FF149" i="1"/>
  <c r="FG149" i="1"/>
  <c r="FH149" i="1"/>
  <c r="FI149" i="1"/>
  <c r="FJ149" i="1"/>
  <c r="FK149" i="1"/>
  <c r="FL149" i="1"/>
  <c r="FM149" i="1"/>
  <c r="FN149" i="1"/>
  <c r="FO149" i="1"/>
  <c r="FP149" i="1"/>
  <c r="FQ149" i="1"/>
  <c r="FR149" i="1"/>
  <c r="FS149" i="1"/>
  <c r="FT149" i="1"/>
  <c r="FU149" i="1"/>
  <c r="FV149" i="1"/>
  <c r="FW149" i="1"/>
  <c r="FX149" i="1"/>
  <c r="FY149" i="1"/>
  <c r="FZ149" i="1"/>
  <c r="GA149" i="1"/>
  <c r="GB149" i="1"/>
  <c r="GC149" i="1"/>
  <c r="GD149" i="1"/>
  <c r="GE149" i="1"/>
  <c r="GF149" i="1"/>
  <c r="GG149" i="1"/>
  <c r="GH149" i="1"/>
  <c r="GI149" i="1"/>
  <c r="GJ149" i="1"/>
  <c r="GK149" i="1"/>
  <c r="GL149" i="1"/>
  <c r="GM149" i="1"/>
  <c r="GN149" i="1"/>
  <c r="GO149" i="1"/>
  <c r="GP149" i="1"/>
  <c r="GQ149" i="1"/>
  <c r="GR149" i="1"/>
  <c r="GS149" i="1"/>
  <c r="GT149" i="1"/>
  <c r="GU149" i="1"/>
  <c r="GV149" i="1"/>
  <c r="GW149" i="1"/>
  <c r="GX149" i="1"/>
  <c r="C151" i="1"/>
  <c r="D151" i="1"/>
  <c r="P151" i="1"/>
  <c r="CP151" i="1" s="1"/>
  <c r="O151" i="1" s="1"/>
  <c r="T151" i="1"/>
  <c r="AC151" i="1"/>
  <c r="AD151" i="1"/>
  <c r="AE151" i="1"/>
  <c r="CS151" i="1" s="1"/>
  <c r="R151" i="1" s="1"/>
  <c r="GK151" i="1" s="1"/>
  <c r="AF151" i="1"/>
  <c r="AG151" i="1"/>
  <c r="AH151" i="1"/>
  <c r="CV151" i="1" s="1"/>
  <c r="U151" i="1" s="1"/>
  <c r="AI151" i="1"/>
  <c r="CW151" i="1" s="1"/>
  <c r="V151" i="1" s="1"/>
  <c r="AJ151" i="1"/>
  <c r="CQ151" i="1"/>
  <c r="CR151" i="1"/>
  <c r="Q151" i="1" s="1"/>
  <c r="CT151" i="1"/>
  <c r="S151" i="1" s="1"/>
  <c r="CU151" i="1"/>
  <c r="CX151" i="1"/>
  <c r="W151" i="1" s="1"/>
  <c r="FR151" i="1"/>
  <c r="GL151" i="1"/>
  <c r="GN151" i="1"/>
  <c r="GO151" i="1"/>
  <c r="GV151" i="1"/>
  <c r="HC151" i="1"/>
  <c r="GX151" i="1" s="1"/>
  <c r="C152" i="1"/>
  <c r="D152" i="1"/>
  <c r="I152" i="1"/>
  <c r="P152" i="1"/>
  <c r="T152" i="1"/>
  <c r="AC152" i="1"/>
  <c r="AD152" i="1"/>
  <c r="AE152" i="1"/>
  <c r="CS152" i="1" s="1"/>
  <c r="R152" i="1" s="1"/>
  <c r="GK152" i="1" s="1"/>
  <c r="AF152" i="1"/>
  <c r="AG152" i="1"/>
  <c r="AH152" i="1"/>
  <c r="CV152" i="1" s="1"/>
  <c r="U152" i="1" s="1"/>
  <c r="AI152" i="1"/>
  <c r="CW152" i="1" s="1"/>
  <c r="V152" i="1" s="1"/>
  <c r="AJ152" i="1"/>
  <c r="CQ152" i="1"/>
  <c r="CR152" i="1"/>
  <c r="Q152" i="1" s="1"/>
  <c r="CT152" i="1"/>
  <c r="S152" i="1" s="1"/>
  <c r="CU152" i="1"/>
  <c r="CX152" i="1"/>
  <c r="W152" i="1" s="1"/>
  <c r="FR152" i="1"/>
  <c r="GL152" i="1"/>
  <c r="GN152" i="1"/>
  <c r="GO152" i="1"/>
  <c r="GV152" i="1"/>
  <c r="HC152" i="1"/>
  <c r="GX152" i="1" s="1"/>
  <c r="C153" i="1"/>
  <c r="D153" i="1"/>
  <c r="I153" i="1"/>
  <c r="U153" i="1"/>
  <c r="AC153" i="1"/>
  <c r="AE153" i="1"/>
  <c r="CS153" i="1" s="1"/>
  <c r="R153" i="1" s="1"/>
  <c r="AF153" i="1"/>
  <c r="AG153" i="1"/>
  <c r="CU153" i="1" s="1"/>
  <c r="T153" i="1" s="1"/>
  <c r="AH153" i="1"/>
  <c r="AI153" i="1"/>
  <c r="CW153" i="1" s="1"/>
  <c r="V153" i="1" s="1"/>
  <c r="AJ153" i="1"/>
  <c r="CR153" i="1"/>
  <c r="Q153" i="1" s="1"/>
  <c r="CT153" i="1"/>
  <c r="S153" i="1" s="1"/>
  <c r="CV153" i="1"/>
  <c r="CX153" i="1"/>
  <c r="W153" i="1" s="1"/>
  <c r="FR153" i="1"/>
  <c r="GK153" i="1"/>
  <c r="GL153" i="1"/>
  <c r="GN153" i="1"/>
  <c r="GO153" i="1"/>
  <c r="GV153" i="1"/>
  <c r="HC153" i="1"/>
  <c r="GX153" i="1" s="1"/>
  <c r="I154" i="1"/>
  <c r="AC154" i="1"/>
  <c r="CQ154" i="1" s="1"/>
  <c r="P154" i="1" s="1"/>
  <c r="AE154" i="1"/>
  <c r="AF154" i="1"/>
  <c r="AG154" i="1"/>
  <c r="CU154" i="1" s="1"/>
  <c r="T154" i="1" s="1"/>
  <c r="AH154" i="1"/>
  <c r="AI154" i="1"/>
  <c r="CW154" i="1" s="1"/>
  <c r="V154" i="1" s="1"/>
  <c r="AJ154" i="1"/>
  <c r="CT154" i="1"/>
  <c r="S154" i="1" s="1"/>
  <c r="CY154" i="1" s="1"/>
  <c r="X154" i="1" s="1"/>
  <c r="CV154" i="1"/>
  <c r="U154" i="1" s="1"/>
  <c r="CX154" i="1"/>
  <c r="W154" i="1" s="1"/>
  <c r="CZ154" i="1"/>
  <c r="Y154" i="1" s="1"/>
  <c r="FR154" i="1"/>
  <c r="GL154" i="1"/>
  <c r="GN154" i="1"/>
  <c r="GO154" i="1"/>
  <c r="GV154" i="1"/>
  <c r="HC154" i="1" s="1"/>
  <c r="GX154" i="1" s="1"/>
  <c r="CJ173" i="1" s="1"/>
  <c r="I155" i="1"/>
  <c r="AC155" i="1"/>
  <c r="AE155" i="1"/>
  <c r="CS155" i="1" s="1"/>
  <c r="R155" i="1" s="1"/>
  <c r="AF155" i="1"/>
  <c r="AG155" i="1"/>
  <c r="CU155" i="1" s="1"/>
  <c r="T155" i="1" s="1"/>
  <c r="AH155" i="1"/>
  <c r="AI155" i="1"/>
  <c r="CW155" i="1" s="1"/>
  <c r="V155" i="1" s="1"/>
  <c r="AJ155" i="1"/>
  <c r="CR155" i="1"/>
  <c r="Q155" i="1" s="1"/>
  <c r="CT155" i="1"/>
  <c r="S155" i="1" s="1"/>
  <c r="CV155" i="1"/>
  <c r="U155" i="1" s="1"/>
  <c r="CX155" i="1"/>
  <c r="W155" i="1" s="1"/>
  <c r="FR155" i="1"/>
  <c r="GK155" i="1"/>
  <c r="GL155" i="1"/>
  <c r="GN155" i="1"/>
  <c r="GO155" i="1"/>
  <c r="GV155" i="1"/>
  <c r="HC155" i="1"/>
  <c r="GX155" i="1" s="1"/>
  <c r="C156" i="1"/>
  <c r="D156" i="1"/>
  <c r="I156" i="1"/>
  <c r="S156" i="1"/>
  <c r="AC156" i="1"/>
  <c r="AE156" i="1"/>
  <c r="CS156" i="1" s="1"/>
  <c r="R156" i="1" s="1"/>
  <c r="AF156" i="1"/>
  <c r="AG156" i="1"/>
  <c r="CU156" i="1" s="1"/>
  <c r="T156" i="1" s="1"/>
  <c r="AH156" i="1"/>
  <c r="AI156" i="1"/>
  <c r="CW156" i="1" s="1"/>
  <c r="V156" i="1" s="1"/>
  <c r="AJ156" i="1"/>
  <c r="CR156" i="1"/>
  <c r="Q156" i="1" s="1"/>
  <c r="CT156" i="1"/>
  <c r="CV156" i="1"/>
  <c r="U156" i="1" s="1"/>
  <c r="CX156" i="1"/>
  <c r="W156" i="1" s="1"/>
  <c r="FR156" i="1"/>
  <c r="GK156" i="1"/>
  <c r="GL156" i="1"/>
  <c r="GN156" i="1"/>
  <c r="GO156" i="1"/>
  <c r="GV156" i="1"/>
  <c r="HC156" i="1"/>
  <c r="GX156" i="1" s="1"/>
  <c r="C157" i="1"/>
  <c r="D157" i="1"/>
  <c r="I157" i="1"/>
  <c r="AC157" i="1"/>
  <c r="AE157" i="1"/>
  <c r="CS157" i="1" s="1"/>
  <c r="R157" i="1" s="1"/>
  <c r="AF157" i="1"/>
  <c r="AG157" i="1"/>
  <c r="CU157" i="1" s="1"/>
  <c r="T157" i="1" s="1"/>
  <c r="AH157" i="1"/>
  <c r="AI157" i="1"/>
  <c r="CW157" i="1" s="1"/>
  <c r="V157" i="1" s="1"/>
  <c r="AJ157" i="1"/>
  <c r="CR157" i="1"/>
  <c r="Q157" i="1" s="1"/>
  <c r="CT157" i="1"/>
  <c r="S157" i="1" s="1"/>
  <c r="CV157" i="1"/>
  <c r="U157" i="1" s="1"/>
  <c r="CX157" i="1"/>
  <c r="W157" i="1" s="1"/>
  <c r="FR157" i="1"/>
  <c r="GK157" i="1"/>
  <c r="GL157" i="1"/>
  <c r="GN157" i="1"/>
  <c r="GO157" i="1"/>
  <c r="GV157" i="1"/>
  <c r="HC157" i="1"/>
  <c r="GX157" i="1" s="1"/>
  <c r="C158" i="1"/>
  <c r="D158" i="1"/>
  <c r="I158" i="1"/>
  <c r="AC158" i="1"/>
  <c r="AE158" i="1"/>
  <c r="CS158" i="1" s="1"/>
  <c r="R158" i="1" s="1"/>
  <c r="AF158" i="1"/>
  <c r="AG158" i="1"/>
  <c r="CU158" i="1" s="1"/>
  <c r="T158" i="1" s="1"/>
  <c r="AH158" i="1"/>
  <c r="AI158" i="1"/>
  <c r="CW158" i="1" s="1"/>
  <c r="V158" i="1" s="1"/>
  <c r="AJ158" i="1"/>
  <c r="CR158" i="1"/>
  <c r="Q158" i="1" s="1"/>
  <c r="CT158" i="1"/>
  <c r="S158" i="1" s="1"/>
  <c r="CV158" i="1"/>
  <c r="U158" i="1" s="1"/>
  <c r="CX158" i="1"/>
  <c r="W158" i="1" s="1"/>
  <c r="FR158" i="1"/>
  <c r="GK158" i="1"/>
  <c r="GL158" i="1"/>
  <c r="GN158" i="1"/>
  <c r="GO158" i="1"/>
  <c r="GV158" i="1"/>
  <c r="HC158" i="1"/>
  <c r="GX158" i="1" s="1"/>
  <c r="C159" i="1"/>
  <c r="D159" i="1"/>
  <c r="T159" i="1"/>
  <c r="AC159" i="1"/>
  <c r="AD159" i="1"/>
  <c r="AB159" i="1" s="1"/>
  <c r="AE159" i="1"/>
  <c r="AF159" i="1"/>
  <c r="CT159" i="1" s="1"/>
  <c r="S159" i="1" s="1"/>
  <c r="CZ159" i="1" s="1"/>
  <c r="Y159" i="1" s="1"/>
  <c r="AG159" i="1"/>
  <c r="AH159" i="1"/>
  <c r="CV159" i="1" s="1"/>
  <c r="U159" i="1" s="1"/>
  <c r="AI159" i="1"/>
  <c r="AJ159" i="1"/>
  <c r="CX159" i="1" s="1"/>
  <c r="W159" i="1" s="1"/>
  <c r="CQ159" i="1"/>
  <c r="P159" i="1" s="1"/>
  <c r="CP159" i="1" s="1"/>
  <c r="O159" i="1" s="1"/>
  <c r="CR159" i="1"/>
  <c r="Q159" i="1" s="1"/>
  <c r="CS159" i="1"/>
  <c r="R159" i="1" s="1"/>
  <c r="GK159" i="1" s="1"/>
  <c r="CU159" i="1"/>
  <c r="CW159" i="1"/>
  <c r="V159" i="1" s="1"/>
  <c r="CY159" i="1"/>
  <c r="X159" i="1" s="1"/>
  <c r="FR159" i="1"/>
  <c r="GL159" i="1"/>
  <c r="GN159" i="1"/>
  <c r="GO159" i="1"/>
  <c r="GV159" i="1"/>
  <c r="GX159" i="1"/>
  <c r="HC159" i="1"/>
  <c r="C160" i="1"/>
  <c r="D160" i="1"/>
  <c r="AC160" i="1"/>
  <c r="CQ160" i="1" s="1"/>
  <c r="P160" i="1" s="1"/>
  <c r="AE160" i="1"/>
  <c r="AF160" i="1"/>
  <c r="AG160" i="1"/>
  <c r="CU160" i="1" s="1"/>
  <c r="T160" i="1" s="1"/>
  <c r="AH160" i="1"/>
  <c r="AI160" i="1"/>
  <c r="CW160" i="1" s="1"/>
  <c r="V160" i="1" s="1"/>
  <c r="AJ160" i="1"/>
  <c r="CT160" i="1"/>
  <c r="S160" i="1" s="1"/>
  <c r="CY160" i="1" s="1"/>
  <c r="X160" i="1" s="1"/>
  <c r="CV160" i="1"/>
  <c r="U160" i="1" s="1"/>
  <c r="CX160" i="1"/>
  <c r="W160" i="1" s="1"/>
  <c r="CZ160" i="1"/>
  <c r="Y160" i="1" s="1"/>
  <c r="FR160" i="1"/>
  <c r="GL160" i="1"/>
  <c r="GN160" i="1"/>
  <c r="GO160" i="1"/>
  <c r="GV160" i="1"/>
  <c r="HC160" i="1" s="1"/>
  <c r="GX160" i="1" s="1"/>
  <c r="C161" i="1"/>
  <c r="D161" i="1"/>
  <c r="I161" i="1"/>
  <c r="S161" i="1"/>
  <c r="CY161" i="1" s="1"/>
  <c r="X161" i="1" s="1"/>
  <c r="W161" i="1"/>
  <c r="AC161" i="1"/>
  <c r="AE161" i="1"/>
  <c r="AF161" i="1"/>
  <c r="AG161" i="1"/>
  <c r="CU161" i="1" s="1"/>
  <c r="T161" i="1" s="1"/>
  <c r="AH161" i="1"/>
  <c r="AI161" i="1"/>
  <c r="CW161" i="1" s="1"/>
  <c r="V161" i="1" s="1"/>
  <c r="AJ161" i="1"/>
  <c r="CR161" i="1"/>
  <c r="Q161" i="1" s="1"/>
  <c r="CT161" i="1"/>
  <c r="CV161" i="1"/>
  <c r="U161" i="1" s="1"/>
  <c r="CX161" i="1"/>
  <c r="CZ161" i="1"/>
  <c r="Y161" i="1" s="1"/>
  <c r="FR161" i="1"/>
  <c r="GL161" i="1"/>
  <c r="GN161" i="1"/>
  <c r="GO161" i="1"/>
  <c r="GV161" i="1"/>
  <c r="HC161" i="1"/>
  <c r="GX161" i="1" s="1"/>
  <c r="C162" i="1"/>
  <c r="D162" i="1"/>
  <c r="I162" i="1"/>
  <c r="S162" i="1"/>
  <c r="CY162" i="1" s="1"/>
  <c r="X162" i="1" s="1"/>
  <c r="W162" i="1"/>
  <c r="AC162" i="1"/>
  <c r="AE162" i="1"/>
  <c r="AF162" i="1"/>
  <c r="AG162" i="1"/>
  <c r="CU162" i="1" s="1"/>
  <c r="T162" i="1" s="1"/>
  <c r="AH162" i="1"/>
  <c r="AI162" i="1"/>
  <c r="CW162" i="1" s="1"/>
  <c r="V162" i="1" s="1"/>
  <c r="AJ162" i="1"/>
  <c r="CR162" i="1"/>
  <c r="Q162" i="1" s="1"/>
  <c r="CT162" i="1"/>
  <c r="CV162" i="1"/>
  <c r="U162" i="1" s="1"/>
  <c r="CX162" i="1"/>
  <c r="FR162" i="1"/>
  <c r="GL162" i="1"/>
  <c r="GN162" i="1"/>
  <c r="GO162" i="1"/>
  <c r="GV162" i="1"/>
  <c r="HC162" i="1"/>
  <c r="GX162" i="1" s="1"/>
  <c r="I163" i="1"/>
  <c r="S163" i="1"/>
  <c r="W163" i="1"/>
  <c r="AC163" i="1"/>
  <c r="AE163" i="1"/>
  <c r="AF163" i="1"/>
  <c r="AG163" i="1"/>
  <c r="CU163" i="1" s="1"/>
  <c r="T163" i="1" s="1"/>
  <c r="AH163" i="1"/>
  <c r="AI163" i="1"/>
  <c r="CW163" i="1" s="1"/>
  <c r="V163" i="1" s="1"/>
  <c r="AJ163" i="1"/>
  <c r="CR163" i="1"/>
  <c r="Q163" i="1" s="1"/>
  <c r="CT163" i="1"/>
  <c r="CV163" i="1"/>
  <c r="U163" i="1" s="1"/>
  <c r="CX163" i="1"/>
  <c r="FR163" i="1"/>
  <c r="GL163" i="1"/>
  <c r="GN163" i="1"/>
  <c r="GO163" i="1"/>
  <c r="GV163" i="1"/>
  <c r="HC163" i="1"/>
  <c r="GX163" i="1" s="1"/>
  <c r="I164" i="1"/>
  <c r="S164" i="1"/>
  <c r="CY164" i="1" s="1"/>
  <c r="X164" i="1" s="1"/>
  <c r="W164" i="1"/>
  <c r="AC164" i="1"/>
  <c r="AE164" i="1"/>
  <c r="AF164" i="1"/>
  <c r="AG164" i="1"/>
  <c r="CU164" i="1" s="1"/>
  <c r="T164" i="1" s="1"/>
  <c r="AH164" i="1"/>
  <c r="AI164" i="1"/>
  <c r="CW164" i="1" s="1"/>
  <c r="V164" i="1" s="1"/>
  <c r="AJ164" i="1"/>
  <c r="CR164" i="1"/>
  <c r="Q164" i="1" s="1"/>
  <c r="CT164" i="1"/>
  <c r="CV164" i="1"/>
  <c r="U164" i="1" s="1"/>
  <c r="CX164" i="1"/>
  <c r="FR164" i="1"/>
  <c r="GL164" i="1"/>
  <c r="GN164" i="1"/>
  <c r="GO164" i="1"/>
  <c r="GV164" i="1"/>
  <c r="HC164" i="1"/>
  <c r="GX164" i="1" s="1"/>
  <c r="I165" i="1"/>
  <c r="S165" i="1"/>
  <c r="W165" i="1"/>
  <c r="AC165" i="1"/>
  <c r="AE165" i="1"/>
  <c r="AF165" i="1"/>
  <c r="AG165" i="1"/>
  <c r="CU165" i="1" s="1"/>
  <c r="T165" i="1" s="1"/>
  <c r="AH165" i="1"/>
  <c r="AI165" i="1"/>
  <c r="CW165" i="1" s="1"/>
  <c r="V165" i="1" s="1"/>
  <c r="AJ165" i="1"/>
  <c r="CR165" i="1"/>
  <c r="Q165" i="1" s="1"/>
  <c r="CT165" i="1"/>
  <c r="CV165" i="1"/>
  <c r="U165" i="1" s="1"/>
  <c r="CX165" i="1"/>
  <c r="FR165" i="1"/>
  <c r="GL165" i="1"/>
  <c r="GN165" i="1"/>
  <c r="GO165" i="1"/>
  <c r="GV165" i="1"/>
  <c r="HC165" i="1"/>
  <c r="GX165" i="1" s="1"/>
  <c r="I166" i="1"/>
  <c r="S166" i="1"/>
  <c r="CY166" i="1" s="1"/>
  <c r="X166" i="1" s="1"/>
  <c r="W166" i="1"/>
  <c r="AC166" i="1"/>
  <c r="AE166" i="1"/>
  <c r="AF166" i="1"/>
  <c r="AG166" i="1"/>
  <c r="CU166" i="1" s="1"/>
  <c r="T166" i="1" s="1"/>
  <c r="AH166" i="1"/>
  <c r="AI166" i="1"/>
  <c r="CW166" i="1" s="1"/>
  <c r="V166" i="1" s="1"/>
  <c r="AJ166" i="1"/>
  <c r="CR166" i="1"/>
  <c r="Q166" i="1" s="1"/>
  <c r="CT166" i="1"/>
  <c r="CV166" i="1"/>
  <c r="U166" i="1" s="1"/>
  <c r="CX166" i="1"/>
  <c r="FR166" i="1"/>
  <c r="GL166" i="1"/>
  <c r="GN166" i="1"/>
  <c r="GO166" i="1"/>
  <c r="GV166" i="1"/>
  <c r="HC166" i="1" s="1"/>
  <c r="GX166" i="1" s="1"/>
  <c r="I167" i="1"/>
  <c r="S167" i="1"/>
  <c r="AC167" i="1"/>
  <c r="AE167" i="1"/>
  <c r="AD167" i="1" s="1"/>
  <c r="AF167" i="1"/>
  <c r="AG167" i="1"/>
  <c r="CU167" i="1" s="1"/>
  <c r="T167" i="1" s="1"/>
  <c r="AH167" i="1"/>
  <c r="AI167" i="1"/>
  <c r="CW167" i="1" s="1"/>
  <c r="V167" i="1" s="1"/>
  <c r="AJ167" i="1"/>
  <c r="CR167" i="1"/>
  <c r="Q167" i="1" s="1"/>
  <c r="CT167" i="1"/>
  <c r="CV167" i="1"/>
  <c r="U167" i="1" s="1"/>
  <c r="CX167" i="1"/>
  <c r="W167" i="1" s="1"/>
  <c r="FR167" i="1"/>
  <c r="GL167" i="1"/>
  <c r="GN167" i="1"/>
  <c r="GO167" i="1"/>
  <c r="GV167" i="1"/>
  <c r="HC167" i="1"/>
  <c r="GX167" i="1" s="1"/>
  <c r="I168" i="1"/>
  <c r="AC168" i="1"/>
  <c r="AE168" i="1"/>
  <c r="AF168" i="1"/>
  <c r="AG168" i="1"/>
  <c r="CU168" i="1" s="1"/>
  <c r="T168" i="1" s="1"/>
  <c r="AH168" i="1"/>
  <c r="AI168" i="1"/>
  <c r="CW168" i="1" s="1"/>
  <c r="V168" i="1" s="1"/>
  <c r="AJ168" i="1"/>
  <c r="CR168" i="1"/>
  <c r="Q168" i="1" s="1"/>
  <c r="CT168" i="1"/>
  <c r="S168" i="1" s="1"/>
  <c r="CY168" i="1" s="1"/>
  <c r="X168" i="1" s="1"/>
  <c r="CV168" i="1"/>
  <c r="U168" i="1" s="1"/>
  <c r="CX168" i="1"/>
  <c r="W168" i="1" s="1"/>
  <c r="CZ168" i="1"/>
  <c r="Y168" i="1" s="1"/>
  <c r="FR168" i="1"/>
  <c r="GL168" i="1"/>
  <c r="GN168" i="1"/>
  <c r="GO168" i="1"/>
  <c r="GV168" i="1"/>
  <c r="HC168" i="1" s="1"/>
  <c r="GX168" i="1" s="1"/>
  <c r="I169" i="1"/>
  <c r="AC169" i="1"/>
  <c r="AE169" i="1"/>
  <c r="AD169" i="1" s="1"/>
  <c r="AF169" i="1"/>
  <c r="AG169" i="1"/>
  <c r="CU169" i="1" s="1"/>
  <c r="T169" i="1" s="1"/>
  <c r="AH169" i="1"/>
  <c r="AI169" i="1"/>
  <c r="CW169" i="1" s="1"/>
  <c r="V169" i="1" s="1"/>
  <c r="AJ169" i="1"/>
  <c r="CR169" i="1"/>
  <c r="Q169" i="1" s="1"/>
  <c r="CT169" i="1"/>
  <c r="S169" i="1" s="1"/>
  <c r="CV169" i="1"/>
  <c r="U169" i="1" s="1"/>
  <c r="CX169" i="1"/>
  <c r="W169" i="1" s="1"/>
  <c r="FR169" i="1"/>
  <c r="GL169" i="1"/>
  <c r="GN169" i="1"/>
  <c r="GO169" i="1"/>
  <c r="GV169" i="1"/>
  <c r="HC169" i="1"/>
  <c r="GX169" i="1" s="1"/>
  <c r="I170" i="1"/>
  <c r="U170" i="1"/>
  <c r="AC170" i="1"/>
  <c r="AE170" i="1"/>
  <c r="AF170" i="1"/>
  <c r="AG170" i="1"/>
  <c r="CU170" i="1" s="1"/>
  <c r="T170" i="1" s="1"/>
  <c r="AH170" i="1"/>
  <c r="AI170" i="1"/>
  <c r="CW170" i="1" s="1"/>
  <c r="V170" i="1" s="1"/>
  <c r="AJ170" i="1"/>
  <c r="CR170" i="1"/>
  <c r="Q170" i="1" s="1"/>
  <c r="CT170" i="1"/>
  <c r="S170" i="1" s="1"/>
  <c r="CY170" i="1" s="1"/>
  <c r="X170" i="1" s="1"/>
  <c r="CV170" i="1"/>
  <c r="CX170" i="1"/>
  <c r="W170" i="1" s="1"/>
  <c r="FR170" i="1"/>
  <c r="GL170" i="1"/>
  <c r="GN170" i="1"/>
  <c r="GO170" i="1"/>
  <c r="GV170" i="1"/>
  <c r="HC170" i="1" s="1"/>
  <c r="GX170" i="1" s="1"/>
  <c r="I171" i="1"/>
  <c r="S171" i="1"/>
  <c r="AC171" i="1"/>
  <c r="AE171" i="1"/>
  <c r="AD171" i="1" s="1"/>
  <c r="AF171" i="1"/>
  <c r="AG171" i="1"/>
  <c r="CU171" i="1" s="1"/>
  <c r="T171" i="1" s="1"/>
  <c r="AH171" i="1"/>
  <c r="AI171" i="1"/>
  <c r="CW171" i="1" s="1"/>
  <c r="V171" i="1" s="1"/>
  <c r="AJ171" i="1"/>
  <c r="CR171" i="1"/>
  <c r="Q171" i="1" s="1"/>
  <c r="CT171" i="1"/>
  <c r="CV171" i="1"/>
  <c r="U171" i="1" s="1"/>
  <c r="CX171" i="1"/>
  <c r="W171" i="1" s="1"/>
  <c r="FR171" i="1"/>
  <c r="GL171" i="1"/>
  <c r="GN171" i="1"/>
  <c r="GO171" i="1"/>
  <c r="GV171" i="1"/>
  <c r="HC171" i="1"/>
  <c r="GX171" i="1" s="1"/>
  <c r="B173" i="1"/>
  <c r="B149" i="1" s="1"/>
  <c r="C173" i="1"/>
  <c r="C149" i="1" s="1"/>
  <c r="D173" i="1"/>
  <c r="D149" i="1" s="1"/>
  <c r="F173" i="1"/>
  <c r="F149" i="1" s="1"/>
  <c r="G173" i="1"/>
  <c r="G149" i="1" s="1"/>
  <c r="AI173" i="1"/>
  <c r="BX173" i="1"/>
  <c r="BY173" i="1"/>
  <c r="BY149" i="1" s="1"/>
  <c r="BZ173" i="1"/>
  <c r="BZ149" i="1" s="1"/>
  <c r="CB173" i="1"/>
  <c r="CK173" i="1"/>
  <c r="CK149" i="1" s="1"/>
  <c r="CL173" i="1"/>
  <c r="CL149" i="1" s="1"/>
  <c r="CM173" i="1"/>
  <c r="CM149" i="1" s="1"/>
  <c r="D203" i="1"/>
  <c r="E205" i="1"/>
  <c r="F205" i="1"/>
  <c r="Z205" i="1"/>
  <c r="AA205" i="1"/>
  <c r="AM205" i="1"/>
  <c r="AN205" i="1"/>
  <c r="BE205" i="1"/>
  <c r="BF205" i="1"/>
  <c r="BG205" i="1"/>
  <c r="BH205" i="1"/>
  <c r="BI205" i="1"/>
  <c r="BJ205" i="1"/>
  <c r="BK205" i="1"/>
  <c r="BL205" i="1"/>
  <c r="BM205" i="1"/>
  <c r="BN205" i="1"/>
  <c r="BO205" i="1"/>
  <c r="BP205" i="1"/>
  <c r="BQ205" i="1"/>
  <c r="BR205" i="1"/>
  <c r="BS205" i="1"/>
  <c r="BT205" i="1"/>
  <c r="BU205" i="1"/>
  <c r="BV205" i="1"/>
  <c r="BW205" i="1"/>
  <c r="CN205" i="1"/>
  <c r="CO205" i="1"/>
  <c r="CP205" i="1"/>
  <c r="CQ205" i="1"/>
  <c r="CR205" i="1"/>
  <c r="CS205" i="1"/>
  <c r="CT205" i="1"/>
  <c r="CU205" i="1"/>
  <c r="CV205" i="1"/>
  <c r="CW205" i="1"/>
  <c r="CX205" i="1"/>
  <c r="CY205" i="1"/>
  <c r="CZ205" i="1"/>
  <c r="DA205" i="1"/>
  <c r="DB205" i="1"/>
  <c r="DC205" i="1"/>
  <c r="DD205" i="1"/>
  <c r="DE205" i="1"/>
  <c r="DF205" i="1"/>
  <c r="DG205" i="1"/>
  <c r="DH205" i="1"/>
  <c r="DI205" i="1"/>
  <c r="DJ205" i="1"/>
  <c r="DK205" i="1"/>
  <c r="DL205" i="1"/>
  <c r="DM205" i="1"/>
  <c r="DN205" i="1"/>
  <c r="DO205" i="1"/>
  <c r="DP205" i="1"/>
  <c r="DQ205" i="1"/>
  <c r="DR205" i="1"/>
  <c r="DS205" i="1"/>
  <c r="DT205" i="1"/>
  <c r="DU205" i="1"/>
  <c r="DV205" i="1"/>
  <c r="DW205" i="1"/>
  <c r="DX205" i="1"/>
  <c r="DY205" i="1"/>
  <c r="DZ205" i="1"/>
  <c r="EA205" i="1"/>
  <c r="EB205" i="1"/>
  <c r="EC205" i="1"/>
  <c r="ED205" i="1"/>
  <c r="EE205" i="1"/>
  <c r="EF205" i="1"/>
  <c r="EG205" i="1"/>
  <c r="EH205" i="1"/>
  <c r="EI205" i="1"/>
  <c r="EJ205" i="1"/>
  <c r="EK205" i="1"/>
  <c r="EL205" i="1"/>
  <c r="EM205" i="1"/>
  <c r="EN205" i="1"/>
  <c r="EO205" i="1"/>
  <c r="EP205" i="1"/>
  <c r="EQ205" i="1"/>
  <c r="ER205" i="1"/>
  <c r="ES205" i="1"/>
  <c r="ET205" i="1"/>
  <c r="EU205" i="1"/>
  <c r="EV205" i="1"/>
  <c r="EW205" i="1"/>
  <c r="EX205" i="1"/>
  <c r="EY205" i="1"/>
  <c r="EZ205" i="1"/>
  <c r="FA205" i="1"/>
  <c r="FB205" i="1"/>
  <c r="FC205" i="1"/>
  <c r="FD205" i="1"/>
  <c r="FE205" i="1"/>
  <c r="FF205" i="1"/>
  <c r="FG205" i="1"/>
  <c r="FH205" i="1"/>
  <c r="FI205" i="1"/>
  <c r="FJ205" i="1"/>
  <c r="FK205" i="1"/>
  <c r="FL205" i="1"/>
  <c r="FM205" i="1"/>
  <c r="FN205" i="1"/>
  <c r="FO205" i="1"/>
  <c r="FP205" i="1"/>
  <c r="FQ205" i="1"/>
  <c r="FR205" i="1"/>
  <c r="FS205" i="1"/>
  <c r="FT205" i="1"/>
  <c r="FU205" i="1"/>
  <c r="FV205" i="1"/>
  <c r="FW205" i="1"/>
  <c r="FX205" i="1"/>
  <c r="FY205" i="1"/>
  <c r="FZ205" i="1"/>
  <c r="GA205" i="1"/>
  <c r="GB205" i="1"/>
  <c r="GC205" i="1"/>
  <c r="GD205" i="1"/>
  <c r="GE205" i="1"/>
  <c r="GF205" i="1"/>
  <c r="GG205" i="1"/>
  <c r="GH205" i="1"/>
  <c r="GI205" i="1"/>
  <c r="GJ205" i="1"/>
  <c r="GK205" i="1"/>
  <c r="GL205" i="1"/>
  <c r="GM205" i="1"/>
  <c r="GN205" i="1"/>
  <c r="GO205" i="1"/>
  <c r="GP205" i="1"/>
  <c r="GQ205" i="1"/>
  <c r="GR205" i="1"/>
  <c r="GS205" i="1"/>
  <c r="GT205" i="1"/>
  <c r="GU205" i="1"/>
  <c r="GV205" i="1"/>
  <c r="GW205" i="1"/>
  <c r="GX205" i="1"/>
  <c r="C207" i="1"/>
  <c r="D207" i="1"/>
  <c r="S207" i="1"/>
  <c r="AC207" i="1"/>
  <c r="AE207" i="1"/>
  <c r="AD207" i="1" s="1"/>
  <c r="AF207" i="1"/>
  <c r="AG207" i="1"/>
  <c r="CU207" i="1" s="1"/>
  <c r="T207" i="1" s="1"/>
  <c r="AH207" i="1"/>
  <c r="AI207" i="1"/>
  <c r="CW207" i="1" s="1"/>
  <c r="V207" i="1" s="1"/>
  <c r="AJ207" i="1"/>
  <c r="CR207" i="1"/>
  <c r="Q207" i="1" s="1"/>
  <c r="CT207" i="1"/>
  <c r="CV207" i="1"/>
  <c r="U207" i="1" s="1"/>
  <c r="CX207" i="1"/>
  <c r="W207" i="1" s="1"/>
  <c r="FR207" i="1"/>
  <c r="GL207" i="1"/>
  <c r="GN207" i="1"/>
  <c r="GO207" i="1"/>
  <c r="GV207" i="1"/>
  <c r="HC207" i="1"/>
  <c r="GX207" i="1" s="1"/>
  <c r="C208" i="1"/>
  <c r="D208" i="1"/>
  <c r="I208" i="1"/>
  <c r="AC208" i="1"/>
  <c r="AE208" i="1"/>
  <c r="AD208" i="1" s="1"/>
  <c r="AF208" i="1"/>
  <c r="AG208" i="1"/>
  <c r="CU208" i="1" s="1"/>
  <c r="T208" i="1" s="1"/>
  <c r="AH208" i="1"/>
  <c r="AI208" i="1"/>
  <c r="CW208" i="1" s="1"/>
  <c r="V208" i="1" s="1"/>
  <c r="AJ208" i="1"/>
  <c r="CR208" i="1"/>
  <c r="Q208" i="1" s="1"/>
  <c r="CT208" i="1"/>
  <c r="S208" i="1" s="1"/>
  <c r="CV208" i="1"/>
  <c r="U208" i="1" s="1"/>
  <c r="CX208" i="1"/>
  <c r="W208" i="1" s="1"/>
  <c r="FR208" i="1"/>
  <c r="GL208" i="1"/>
  <c r="GN208" i="1"/>
  <c r="GO208" i="1"/>
  <c r="GV208" i="1"/>
  <c r="HC208" i="1"/>
  <c r="GX208" i="1" s="1"/>
  <c r="C209" i="1"/>
  <c r="D209" i="1"/>
  <c r="I209" i="1"/>
  <c r="S209" i="1"/>
  <c r="AC209" i="1"/>
  <c r="AE209" i="1"/>
  <c r="AD209" i="1" s="1"/>
  <c r="AF209" i="1"/>
  <c r="AG209" i="1"/>
  <c r="CU209" i="1" s="1"/>
  <c r="T209" i="1" s="1"/>
  <c r="AH209" i="1"/>
  <c r="AI209" i="1"/>
  <c r="CW209" i="1" s="1"/>
  <c r="V209" i="1" s="1"/>
  <c r="AJ209" i="1"/>
  <c r="CR209" i="1"/>
  <c r="Q209" i="1" s="1"/>
  <c r="CT209" i="1"/>
  <c r="CV209" i="1"/>
  <c r="U209" i="1" s="1"/>
  <c r="CX209" i="1"/>
  <c r="W209" i="1" s="1"/>
  <c r="FR209" i="1"/>
  <c r="GL209" i="1"/>
  <c r="GN209" i="1"/>
  <c r="GO209" i="1"/>
  <c r="GV209" i="1"/>
  <c r="HC209" i="1"/>
  <c r="GX209" i="1" s="1"/>
  <c r="I210" i="1"/>
  <c r="AC210" i="1"/>
  <c r="AE210" i="1"/>
  <c r="AF210" i="1"/>
  <c r="AG210" i="1"/>
  <c r="CU210" i="1" s="1"/>
  <c r="T210" i="1" s="1"/>
  <c r="AH210" i="1"/>
  <c r="AI210" i="1"/>
  <c r="CW210" i="1" s="1"/>
  <c r="V210" i="1" s="1"/>
  <c r="AJ210" i="1"/>
  <c r="CT210" i="1"/>
  <c r="S210" i="1" s="1"/>
  <c r="CY210" i="1" s="1"/>
  <c r="X210" i="1" s="1"/>
  <c r="CV210" i="1"/>
  <c r="U210" i="1" s="1"/>
  <c r="CX210" i="1"/>
  <c r="W210" i="1" s="1"/>
  <c r="CZ210" i="1"/>
  <c r="Y210" i="1" s="1"/>
  <c r="FR210" i="1"/>
  <c r="GL210" i="1"/>
  <c r="GN210" i="1"/>
  <c r="GO210" i="1"/>
  <c r="GV210" i="1"/>
  <c r="HC210" i="1" s="1"/>
  <c r="GX210" i="1" s="1"/>
  <c r="I211" i="1"/>
  <c r="AC211" i="1"/>
  <c r="AE211" i="1"/>
  <c r="AD211" i="1" s="1"/>
  <c r="AF211" i="1"/>
  <c r="AG211" i="1"/>
  <c r="CU211" i="1" s="1"/>
  <c r="T211" i="1" s="1"/>
  <c r="AH211" i="1"/>
  <c r="AI211" i="1"/>
  <c r="CW211" i="1" s="1"/>
  <c r="V211" i="1" s="1"/>
  <c r="AJ211" i="1"/>
  <c r="CR211" i="1"/>
  <c r="Q211" i="1" s="1"/>
  <c r="CT211" i="1"/>
  <c r="S211" i="1" s="1"/>
  <c r="CV211" i="1"/>
  <c r="U211" i="1" s="1"/>
  <c r="CX211" i="1"/>
  <c r="W211" i="1" s="1"/>
  <c r="FR211" i="1"/>
  <c r="GL211" i="1"/>
  <c r="GN211" i="1"/>
  <c r="GO211" i="1"/>
  <c r="GV211" i="1"/>
  <c r="HC211" i="1"/>
  <c r="GX211" i="1" s="1"/>
  <c r="C212" i="1"/>
  <c r="D212" i="1"/>
  <c r="I212" i="1"/>
  <c r="S212" i="1"/>
  <c r="AC212" i="1"/>
  <c r="AE212" i="1"/>
  <c r="AD212" i="1" s="1"/>
  <c r="AF212" i="1"/>
  <c r="AG212" i="1"/>
  <c r="CU212" i="1" s="1"/>
  <c r="T212" i="1" s="1"/>
  <c r="AH212" i="1"/>
  <c r="AI212" i="1"/>
  <c r="CW212" i="1" s="1"/>
  <c r="V212" i="1" s="1"/>
  <c r="AJ212" i="1"/>
  <c r="CR212" i="1"/>
  <c r="Q212" i="1" s="1"/>
  <c r="CT212" i="1"/>
  <c r="CV212" i="1"/>
  <c r="U212" i="1" s="1"/>
  <c r="CX212" i="1"/>
  <c r="W212" i="1" s="1"/>
  <c r="FR212" i="1"/>
  <c r="GL212" i="1"/>
  <c r="GN212" i="1"/>
  <c r="GO212" i="1"/>
  <c r="GV212" i="1"/>
  <c r="HC212" i="1"/>
  <c r="GX212" i="1" s="1"/>
  <c r="C213" i="1"/>
  <c r="D213" i="1"/>
  <c r="I213" i="1"/>
  <c r="AC213" i="1"/>
  <c r="AE213" i="1"/>
  <c r="AD213" i="1" s="1"/>
  <c r="AF213" i="1"/>
  <c r="AG213" i="1"/>
  <c r="CU213" i="1" s="1"/>
  <c r="T213" i="1" s="1"/>
  <c r="AH213" i="1"/>
  <c r="AI213" i="1"/>
  <c r="CW213" i="1" s="1"/>
  <c r="V213" i="1" s="1"/>
  <c r="AJ213" i="1"/>
  <c r="CR213" i="1"/>
  <c r="Q213" i="1" s="1"/>
  <c r="CT213" i="1"/>
  <c r="S213" i="1" s="1"/>
  <c r="CV213" i="1"/>
  <c r="U213" i="1" s="1"/>
  <c r="CX213" i="1"/>
  <c r="W213" i="1" s="1"/>
  <c r="FR213" i="1"/>
  <c r="GL213" i="1"/>
  <c r="GN213" i="1"/>
  <c r="GO213" i="1"/>
  <c r="GV213" i="1"/>
  <c r="HC213" i="1"/>
  <c r="GX213" i="1" s="1"/>
  <c r="C214" i="1"/>
  <c r="D214" i="1"/>
  <c r="I214" i="1"/>
  <c r="S214" i="1"/>
  <c r="AC214" i="1"/>
  <c r="AE214" i="1"/>
  <c r="AD214" i="1" s="1"/>
  <c r="AF214" i="1"/>
  <c r="AG214" i="1"/>
  <c r="CU214" i="1" s="1"/>
  <c r="T214" i="1" s="1"/>
  <c r="AH214" i="1"/>
  <c r="AI214" i="1"/>
  <c r="CW214" i="1" s="1"/>
  <c r="V214" i="1" s="1"/>
  <c r="AJ214" i="1"/>
  <c r="CR214" i="1"/>
  <c r="Q214" i="1" s="1"/>
  <c r="CT214" i="1"/>
  <c r="CV214" i="1"/>
  <c r="U214" i="1" s="1"/>
  <c r="CX214" i="1"/>
  <c r="W214" i="1" s="1"/>
  <c r="FR214" i="1"/>
  <c r="GL214" i="1"/>
  <c r="GN214" i="1"/>
  <c r="GO214" i="1"/>
  <c r="GV214" i="1"/>
  <c r="HC214" i="1" s="1"/>
  <c r="GX214" i="1" s="1"/>
  <c r="C215" i="1"/>
  <c r="D215" i="1"/>
  <c r="T215" i="1"/>
  <c r="X215" i="1"/>
  <c r="AC215" i="1"/>
  <c r="AD215" i="1"/>
  <c r="AB215" i="1" s="1"/>
  <c r="AE215" i="1"/>
  <c r="AF215" i="1"/>
  <c r="CT215" i="1" s="1"/>
  <c r="S215" i="1" s="1"/>
  <c r="CZ215" i="1" s="1"/>
  <c r="Y215" i="1" s="1"/>
  <c r="AG215" i="1"/>
  <c r="AH215" i="1"/>
  <c r="CV215" i="1" s="1"/>
  <c r="U215" i="1" s="1"/>
  <c r="AI215" i="1"/>
  <c r="AJ215" i="1"/>
  <c r="CX215" i="1" s="1"/>
  <c r="W215" i="1" s="1"/>
  <c r="CQ215" i="1"/>
  <c r="P215" i="1" s="1"/>
  <c r="CP215" i="1" s="1"/>
  <c r="O215" i="1" s="1"/>
  <c r="CR215" i="1"/>
  <c r="Q215" i="1" s="1"/>
  <c r="CS215" i="1"/>
  <c r="R215" i="1" s="1"/>
  <c r="GK215" i="1" s="1"/>
  <c r="CU215" i="1"/>
  <c r="CW215" i="1"/>
  <c r="V215" i="1" s="1"/>
  <c r="CY215" i="1"/>
  <c r="FR215" i="1"/>
  <c r="GL215" i="1"/>
  <c r="GN215" i="1"/>
  <c r="GO215" i="1"/>
  <c r="GV215" i="1"/>
  <c r="GX215" i="1"/>
  <c r="HC215" i="1"/>
  <c r="C216" i="1"/>
  <c r="D216" i="1"/>
  <c r="S216" i="1"/>
  <c r="CY216" i="1" s="1"/>
  <c r="X216" i="1" s="1"/>
  <c r="W216" i="1"/>
  <c r="AC216" i="1"/>
  <c r="AE216" i="1"/>
  <c r="AF216" i="1"/>
  <c r="AG216" i="1"/>
  <c r="CU216" i="1" s="1"/>
  <c r="T216" i="1" s="1"/>
  <c r="AH216" i="1"/>
  <c r="AI216" i="1"/>
  <c r="CW216" i="1" s="1"/>
  <c r="V216" i="1" s="1"/>
  <c r="AJ216" i="1"/>
  <c r="CR216" i="1"/>
  <c r="Q216" i="1" s="1"/>
  <c r="CT216" i="1"/>
  <c r="CV216" i="1"/>
  <c r="U216" i="1" s="1"/>
  <c r="AH229" i="1" s="1"/>
  <c r="CX216" i="1"/>
  <c r="CZ216" i="1"/>
  <c r="Y216" i="1" s="1"/>
  <c r="FR216" i="1"/>
  <c r="GL216" i="1"/>
  <c r="GN216" i="1"/>
  <c r="GO216" i="1"/>
  <c r="GV216" i="1"/>
  <c r="HC216" i="1"/>
  <c r="GX216" i="1" s="1"/>
  <c r="C217" i="1"/>
  <c r="D217" i="1"/>
  <c r="I217" i="1"/>
  <c r="S217" i="1"/>
  <c r="AC217" i="1"/>
  <c r="AE217" i="1"/>
  <c r="AF217" i="1"/>
  <c r="AG217" i="1"/>
  <c r="CU217" i="1" s="1"/>
  <c r="T217" i="1" s="1"/>
  <c r="AH217" i="1"/>
  <c r="AI217" i="1"/>
  <c r="CW217" i="1" s="1"/>
  <c r="V217" i="1" s="1"/>
  <c r="AJ217" i="1"/>
  <c r="CR217" i="1"/>
  <c r="Q217" i="1" s="1"/>
  <c r="CT217" i="1"/>
  <c r="CV217" i="1"/>
  <c r="U217" i="1" s="1"/>
  <c r="CX217" i="1"/>
  <c r="W217" i="1" s="1"/>
  <c r="FR217" i="1"/>
  <c r="GL217" i="1"/>
  <c r="GN217" i="1"/>
  <c r="GO217" i="1"/>
  <c r="GV217" i="1"/>
  <c r="HC217" i="1" s="1"/>
  <c r="GX217" i="1" s="1"/>
  <c r="C218" i="1"/>
  <c r="D218" i="1"/>
  <c r="I218" i="1"/>
  <c r="P218" i="1"/>
  <c r="AC218" i="1"/>
  <c r="AD218" i="1"/>
  <c r="AB218" i="1" s="1"/>
  <c r="AE218" i="1"/>
  <c r="AF218" i="1"/>
  <c r="CT218" i="1" s="1"/>
  <c r="S218" i="1" s="1"/>
  <c r="AG218" i="1"/>
  <c r="AH218" i="1"/>
  <c r="CV218" i="1" s="1"/>
  <c r="U218" i="1" s="1"/>
  <c r="AI218" i="1"/>
  <c r="AJ218" i="1"/>
  <c r="CX218" i="1" s="1"/>
  <c r="W218" i="1" s="1"/>
  <c r="CQ218" i="1"/>
  <c r="CR218" i="1"/>
  <c r="Q218" i="1" s="1"/>
  <c r="CS218" i="1"/>
  <c r="R218" i="1" s="1"/>
  <c r="GK218" i="1" s="1"/>
  <c r="CU218" i="1"/>
  <c r="T218" i="1" s="1"/>
  <c r="CW218" i="1"/>
  <c r="V218" i="1" s="1"/>
  <c r="FR218" i="1"/>
  <c r="GL218" i="1"/>
  <c r="GN218" i="1"/>
  <c r="GO218" i="1"/>
  <c r="GV218" i="1"/>
  <c r="HC218" i="1" s="1"/>
  <c r="GX218" i="1" s="1"/>
  <c r="I219" i="1"/>
  <c r="GX219" i="1" s="1"/>
  <c r="R219" i="1"/>
  <c r="GK219" i="1" s="1"/>
  <c r="AC219" i="1"/>
  <c r="AD219" i="1"/>
  <c r="AE219" i="1"/>
  <c r="AF219" i="1"/>
  <c r="CT219" i="1" s="1"/>
  <c r="S219" i="1" s="1"/>
  <c r="AG219" i="1"/>
  <c r="AH219" i="1"/>
  <c r="CV219" i="1" s="1"/>
  <c r="U219" i="1" s="1"/>
  <c r="AI219" i="1"/>
  <c r="AJ219" i="1"/>
  <c r="CX219" i="1" s="1"/>
  <c r="W219" i="1" s="1"/>
  <c r="CQ219" i="1"/>
  <c r="P219" i="1" s="1"/>
  <c r="CR219" i="1"/>
  <c r="Q219" i="1" s="1"/>
  <c r="CS219" i="1"/>
  <c r="CU219" i="1"/>
  <c r="T219" i="1" s="1"/>
  <c r="CW219" i="1"/>
  <c r="V219" i="1" s="1"/>
  <c r="FR219" i="1"/>
  <c r="GL219" i="1"/>
  <c r="GN219" i="1"/>
  <c r="GO219" i="1"/>
  <c r="GV219" i="1"/>
  <c r="HC219" i="1"/>
  <c r="I220" i="1"/>
  <c r="P220" i="1"/>
  <c r="AC220" i="1"/>
  <c r="AD220" i="1"/>
  <c r="AB220" i="1" s="1"/>
  <c r="AE220" i="1"/>
  <c r="AF220" i="1"/>
  <c r="CT220" i="1" s="1"/>
  <c r="S220" i="1" s="1"/>
  <c r="AG220" i="1"/>
  <c r="AH220" i="1"/>
  <c r="CV220" i="1" s="1"/>
  <c r="U220" i="1" s="1"/>
  <c r="AI220" i="1"/>
  <c r="AJ220" i="1"/>
  <c r="CX220" i="1" s="1"/>
  <c r="W220" i="1" s="1"/>
  <c r="CQ220" i="1"/>
  <c r="CR220" i="1"/>
  <c r="Q220" i="1" s="1"/>
  <c r="CS220" i="1"/>
  <c r="R220" i="1" s="1"/>
  <c r="GK220" i="1" s="1"/>
  <c r="CU220" i="1"/>
  <c r="T220" i="1" s="1"/>
  <c r="CW220" i="1"/>
  <c r="V220" i="1" s="1"/>
  <c r="FR220" i="1"/>
  <c r="GL220" i="1"/>
  <c r="GN220" i="1"/>
  <c r="GO220" i="1"/>
  <c r="GV220" i="1"/>
  <c r="HC220" i="1" s="1"/>
  <c r="GX220" i="1" s="1"/>
  <c r="I221" i="1"/>
  <c r="R221" i="1"/>
  <c r="GK221" i="1" s="1"/>
  <c r="AC221" i="1"/>
  <c r="AD221" i="1"/>
  <c r="AE221" i="1"/>
  <c r="AF221" i="1"/>
  <c r="CT221" i="1" s="1"/>
  <c r="S221" i="1" s="1"/>
  <c r="AG221" i="1"/>
  <c r="AH221" i="1"/>
  <c r="CV221" i="1" s="1"/>
  <c r="U221" i="1" s="1"/>
  <c r="AI221" i="1"/>
  <c r="AJ221" i="1"/>
  <c r="CX221" i="1" s="1"/>
  <c r="W221" i="1" s="1"/>
  <c r="CQ221" i="1"/>
  <c r="P221" i="1" s="1"/>
  <c r="CR221" i="1"/>
  <c r="Q221" i="1" s="1"/>
  <c r="CS221" i="1"/>
  <c r="CU221" i="1"/>
  <c r="T221" i="1" s="1"/>
  <c r="CW221" i="1"/>
  <c r="V221" i="1" s="1"/>
  <c r="FR221" i="1"/>
  <c r="GL221" i="1"/>
  <c r="GN221" i="1"/>
  <c r="GO221" i="1"/>
  <c r="GV221" i="1"/>
  <c r="GX221" i="1"/>
  <c r="HC221" i="1"/>
  <c r="I222" i="1"/>
  <c r="P222" i="1"/>
  <c r="AC222" i="1"/>
  <c r="AD222" i="1"/>
  <c r="AB222" i="1" s="1"/>
  <c r="AE222" i="1"/>
  <c r="AF222" i="1"/>
  <c r="CT222" i="1" s="1"/>
  <c r="S222" i="1" s="1"/>
  <c r="AG222" i="1"/>
  <c r="AH222" i="1"/>
  <c r="CV222" i="1" s="1"/>
  <c r="U222" i="1" s="1"/>
  <c r="AI222" i="1"/>
  <c r="AJ222" i="1"/>
  <c r="CX222" i="1" s="1"/>
  <c r="W222" i="1" s="1"/>
  <c r="CQ222" i="1"/>
  <c r="CR222" i="1"/>
  <c r="Q222" i="1" s="1"/>
  <c r="CS222" i="1"/>
  <c r="R222" i="1" s="1"/>
  <c r="GK222" i="1" s="1"/>
  <c r="CU222" i="1"/>
  <c r="T222" i="1" s="1"/>
  <c r="CW222" i="1"/>
  <c r="V222" i="1" s="1"/>
  <c r="FR222" i="1"/>
  <c r="GL222" i="1"/>
  <c r="GN222" i="1"/>
  <c r="GO222" i="1"/>
  <c r="GV222" i="1"/>
  <c r="HC222" i="1" s="1"/>
  <c r="GX222" i="1" s="1"/>
  <c r="I223" i="1"/>
  <c r="R223" i="1"/>
  <c r="GK223" i="1" s="1"/>
  <c r="AC223" i="1"/>
  <c r="AD223" i="1"/>
  <c r="AE223" i="1"/>
  <c r="AF223" i="1"/>
  <c r="CT223" i="1" s="1"/>
  <c r="S223" i="1" s="1"/>
  <c r="AG223" i="1"/>
  <c r="AH223" i="1"/>
  <c r="CV223" i="1" s="1"/>
  <c r="U223" i="1" s="1"/>
  <c r="AI223" i="1"/>
  <c r="AJ223" i="1"/>
  <c r="CX223" i="1" s="1"/>
  <c r="W223" i="1" s="1"/>
  <c r="CQ223" i="1"/>
  <c r="P223" i="1" s="1"/>
  <c r="CR223" i="1"/>
  <c r="Q223" i="1" s="1"/>
  <c r="CS223" i="1"/>
  <c r="CU223" i="1"/>
  <c r="T223" i="1" s="1"/>
  <c r="CW223" i="1"/>
  <c r="V223" i="1" s="1"/>
  <c r="FR223" i="1"/>
  <c r="GL223" i="1"/>
  <c r="GN223" i="1"/>
  <c r="GO223" i="1"/>
  <c r="GV223" i="1"/>
  <c r="GX223" i="1"/>
  <c r="HC223" i="1"/>
  <c r="I224" i="1"/>
  <c r="P224" i="1"/>
  <c r="AC224" i="1"/>
  <c r="AD224" i="1"/>
  <c r="AB224" i="1" s="1"/>
  <c r="AE224" i="1"/>
  <c r="AF224" i="1"/>
  <c r="CT224" i="1" s="1"/>
  <c r="S224" i="1" s="1"/>
  <c r="AG224" i="1"/>
  <c r="AH224" i="1"/>
  <c r="CV224" i="1" s="1"/>
  <c r="U224" i="1" s="1"/>
  <c r="AI224" i="1"/>
  <c r="AJ224" i="1"/>
  <c r="CX224" i="1" s="1"/>
  <c r="W224" i="1" s="1"/>
  <c r="CQ224" i="1"/>
  <c r="CR224" i="1"/>
  <c r="Q224" i="1" s="1"/>
  <c r="CS224" i="1"/>
  <c r="R224" i="1" s="1"/>
  <c r="GK224" i="1" s="1"/>
  <c r="CU224" i="1"/>
  <c r="T224" i="1" s="1"/>
  <c r="CW224" i="1"/>
  <c r="V224" i="1" s="1"/>
  <c r="FR224" i="1"/>
  <c r="GL224" i="1"/>
  <c r="GN224" i="1"/>
  <c r="GO224" i="1"/>
  <c r="GV224" i="1"/>
  <c r="HC224" i="1" s="1"/>
  <c r="GX224" i="1" s="1"/>
  <c r="I225" i="1"/>
  <c r="R225" i="1"/>
  <c r="GK225" i="1" s="1"/>
  <c r="V225" i="1"/>
  <c r="AC225" i="1"/>
  <c r="AD225" i="1"/>
  <c r="AE225" i="1"/>
  <c r="AF225" i="1"/>
  <c r="CT225" i="1" s="1"/>
  <c r="S225" i="1" s="1"/>
  <c r="AG225" i="1"/>
  <c r="AH225" i="1"/>
  <c r="CV225" i="1" s="1"/>
  <c r="U225" i="1" s="1"/>
  <c r="AI225" i="1"/>
  <c r="AJ225" i="1"/>
  <c r="CX225" i="1" s="1"/>
  <c r="W225" i="1" s="1"/>
  <c r="CQ225" i="1"/>
  <c r="P225" i="1" s="1"/>
  <c r="CR225" i="1"/>
  <c r="Q225" i="1" s="1"/>
  <c r="CS225" i="1"/>
  <c r="CU225" i="1"/>
  <c r="T225" i="1" s="1"/>
  <c r="CW225" i="1"/>
  <c r="FR225" i="1"/>
  <c r="GL225" i="1"/>
  <c r="GN225" i="1"/>
  <c r="GO225" i="1"/>
  <c r="GV225" i="1"/>
  <c r="GX225" i="1"/>
  <c r="HC225" i="1"/>
  <c r="I226" i="1"/>
  <c r="P226" i="1"/>
  <c r="AC226" i="1"/>
  <c r="AD226" i="1"/>
  <c r="AB226" i="1" s="1"/>
  <c r="AE226" i="1"/>
  <c r="AF226" i="1"/>
  <c r="CT226" i="1" s="1"/>
  <c r="S226" i="1" s="1"/>
  <c r="AG226" i="1"/>
  <c r="AH226" i="1"/>
  <c r="CV226" i="1" s="1"/>
  <c r="U226" i="1" s="1"/>
  <c r="AI226" i="1"/>
  <c r="AJ226" i="1"/>
  <c r="CX226" i="1" s="1"/>
  <c r="W226" i="1" s="1"/>
  <c r="CQ226" i="1"/>
  <c r="CR226" i="1"/>
  <c r="Q226" i="1" s="1"/>
  <c r="CS226" i="1"/>
  <c r="R226" i="1" s="1"/>
  <c r="GK226" i="1" s="1"/>
  <c r="CU226" i="1"/>
  <c r="T226" i="1" s="1"/>
  <c r="CW226" i="1"/>
  <c r="V226" i="1" s="1"/>
  <c r="FR226" i="1"/>
  <c r="GL226" i="1"/>
  <c r="GN226" i="1"/>
  <c r="GO226" i="1"/>
  <c r="GV226" i="1"/>
  <c r="HC226" i="1" s="1"/>
  <c r="GX226" i="1" s="1"/>
  <c r="I227" i="1"/>
  <c r="R227" i="1"/>
  <c r="GK227" i="1" s="1"/>
  <c r="V227" i="1"/>
  <c r="AC227" i="1"/>
  <c r="AD227" i="1"/>
  <c r="AE227" i="1"/>
  <c r="AF227" i="1"/>
  <c r="CT227" i="1" s="1"/>
  <c r="S227" i="1" s="1"/>
  <c r="AG227" i="1"/>
  <c r="AH227" i="1"/>
  <c r="CV227" i="1" s="1"/>
  <c r="U227" i="1" s="1"/>
  <c r="AI227" i="1"/>
  <c r="AJ227" i="1"/>
  <c r="CX227" i="1" s="1"/>
  <c r="W227" i="1" s="1"/>
  <c r="CQ227" i="1"/>
  <c r="P227" i="1" s="1"/>
  <c r="CR227" i="1"/>
  <c r="Q227" i="1" s="1"/>
  <c r="CS227" i="1"/>
  <c r="CU227" i="1"/>
  <c r="T227" i="1" s="1"/>
  <c r="CW227" i="1"/>
  <c r="FR227" i="1"/>
  <c r="GL227" i="1"/>
  <c r="GN227" i="1"/>
  <c r="GO227" i="1"/>
  <c r="GV227" i="1"/>
  <c r="GX227" i="1"/>
  <c r="HC227" i="1"/>
  <c r="B229" i="1"/>
  <c r="B205" i="1" s="1"/>
  <c r="C229" i="1"/>
  <c r="C205" i="1" s="1"/>
  <c r="D229" i="1"/>
  <c r="D205" i="1" s="1"/>
  <c r="F229" i="1"/>
  <c r="G229" i="1"/>
  <c r="G205" i="1" s="1"/>
  <c r="BX229" i="1"/>
  <c r="BX205" i="1" s="1"/>
  <c r="CK229" i="1"/>
  <c r="CK205" i="1" s="1"/>
  <c r="CL229" i="1"/>
  <c r="CL205" i="1" s="1"/>
  <c r="CM229" i="1"/>
  <c r="CM205" i="1" s="1"/>
  <c r="D259" i="1"/>
  <c r="E261" i="1"/>
  <c r="Z261" i="1"/>
  <c r="AA261" i="1"/>
  <c r="AM261" i="1"/>
  <c r="AN261" i="1"/>
  <c r="BE261" i="1"/>
  <c r="BF261" i="1"/>
  <c r="BG261" i="1"/>
  <c r="BH261" i="1"/>
  <c r="BI261" i="1"/>
  <c r="BJ261" i="1"/>
  <c r="BK261" i="1"/>
  <c r="BL261" i="1"/>
  <c r="BM261" i="1"/>
  <c r="BN261" i="1"/>
  <c r="BO261" i="1"/>
  <c r="BP261" i="1"/>
  <c r="BQ261" i="1"/>
  <c r="BR261" i="1"/>
  <c r="BS261" i="1"/>
  <c r="BT261" i="1"/>
  <c r="BU261" i="1"/>
  <c r="BV261" i="1"/>
  <c r="BW261" i="1"/>
  <c r="BX261" i="1"/>
  <c r="CN261" i="1"/>
  <c r="CO261" i="1"/>
  <c r="CP261" i="1"/>
  <c r="CQ261" i="1"/>
  <c r="CR261" i="1"/>
  <c r="CS261" i="1"/>
  <c r="CT261" i="1"/>
  <c r="CU261" i="1"/>
  <c r="CV261" i="1"/>
  <c r="CW261" i="1"/>
  <c r="CX261" i="1"/>
  <c r="CY261" i="1"/>
  <c r="CZ261" i="1"/>
  <c r="DA261" i="1"/>
  <c r="DB261" i="1"/>
  <c r="DC261" i="1"/>
  <c r="DD261" i="1"/>
  <c r="DE261" i="1"/>
  <c r="DF261" i="1"/>
  <c r="DG261" i="1"/>
  <c r="DH261" i="1"/>
  <c r="DI261" i="1"/>
  <c r="DJ261" i="1"/>
  <c r="DK261" i="1"/>
  <c r="DL261" i="1"/>
  <c r="DM261" i="1"/>
  <c r="DN261" i="1"/>
  <c r="DO261" i="1"/>
  <c r="DP261" i="1"/>
  <c r="DQ261" i="1"/>
  <c r="DR261" i="1"/>
  <c r="DS261" i="1"/>
  <c r="DT261" i="1"/>
  <c r="DU261" i="1"/>
  <c r="DV261" i="1"/>
  <c r="DW261" i="1"/>
  <c r="DX261" i="1"/>
  <c r="DY261" i="1"/>
  <c r="DZ261" i="1"/>
  <c r="EA261" i="1"/>
  <c r="EB261" i="1"/>
  <c r="EC261" i="1"/>
  <c r="ED261" i="1"/>
  <c r="EE261" i="1"/>
  <c r="EF261" i="1"/>
  <c r="EG261" i="1"/>
  <c r="EH261" i="1"/>
  <c r="EI261" i="1"/>
  <c r="EJ261" i="1"/>
  <c r="EK261" i="1"/>
  <c r="EL261" i="1"/>
  <c r="EM261" i="1"/>
  <c r="EN261" i="1"/>
  <c r="EO261" i="1"/>
  <c r="EP261" i="1"/>
  <c r="EQ261" i="1"/>
  <c r="ER261" i="1"/>
  <c r="ES261" i="1"/>
  <c r="ET261" i="1"/>
  <c r="EU261" i="1"/>
  <c r="EV261" i="1"/>
  <c r="EW261" i="1"/>
  <c r="EX261" i="1"/>
  <c r="EY261" i="1"/>
  <c r="EZ261" i="1"/>
  <c r="FA261" i="1"/>
  <c r="FB261" i="1"/>
  <c r="FC261" i="1"/>
  <c r="FD261" i="1"/>
  <c r="FE261" i="1"/>
  <c r="FF261" i="1"/>
  <c r="FG261" i="1"/>
  <c r="FH261" i="1"/>
  <c r="FI261" i="1"/>
  <c r="FJ261" i="1"/>
  <c r="FK261" i="1"/>
  <c r="FL261" i="1"/>
  <c r="FM261" i="1"/>
  <c r="FN261" i="1"/>
  <c r="FO261" i="1"/>
  <c r="FP261" i="1"/>
  <c r="FQ261" i="1"/>
  <c r="FR261" i="1"/>
  <c r="FS261" i="1"/>
  <c r="FT261" i="1"/>
  <c r="FU261" i="1"/>
  <c r="FV261" i="1"/>
  <c r="FW261" i="1"/>
  <c r="FX261" i="1"/>
  <c r="FY261" i="1"/>
  <c r="FZ261" i="1"/>
  <c r="GA261" i="1"/>
  <c r="GB261" i="1"/>
  <c r="GC261" i="1"/>
  <c r="GD261" i="1"/>
  <c r="GE261" i="1"/>
  <c r="GF261" i="1"/>
  <c r="GG261" i="1"/>
  <c r="GH261" i="1"/>
  <c r="GI261" i="1"/>
  <c r="GJ261" i="1"/>
  <c r="GK261" i="1"/>
  <c r="GL261" i="1"/>
  <c r="GM261" i="1"/>
  <c r="GN261" i="1"/>
  <c r="GO261" i="1"/>
  <c r="GP261" i="1"/>
  <c r="GQ261" i="1"/>
  <c r="GR261" i="1"/>
  <c r="GS261" i="1"/>
  <c r="GT261" i="1"/>
  <c r="GU261" i="1"/>
  <c r="GV261" i="1"/>
  <c r="GW261" i="1"/>
  <c r="GX261" i="1"/>
  <c r="C263" i="1"/>
  <c r="D263" i="1"/>
  <c r="I263" i="1"/>
  <c r="CX247" i="3" s="1"/>
  <c r="AC263" i="1"/>
  <c r="AE263" i="1"/>
  <c r="AF263" i="1"/>
  <c r="AG263" i="1"/>
  <c r="CU263" i="1" s="1"/>
  <c r="T263" i="1" s="1"/>
  <c r="AH263" i="1"/>
  <c r="AI263" i="1"/>
  <c r="CW263" i="1" s="1"/>
  <c r="V263" i="1" s="1"/>
  <c r="AJ263" i="1"/>
  <c r="CR263" i="1"/>
  <c r="Q263" i="1" s="1"/>
  <c r="CT263" i="1"/>
  <c r="S263" i="1" s="1"/>
  <c r="CV263" i="1"/>
  <c r="U263" i="1" s="1"/>
  <c r="CX263" i="1"/>
  <c r="W263" i="1" s="1"/>
  <c r="CZ263" i="1"/>
  <c r="Y263" i="1" s="1"/>
  <c r="FR263" i="1"/>
  <c r="GL263" i="1"/>
  <c r="GN263" i="1"/>
  <c r="GO263" i="1"/>
  <c r="GV263" i="1"/>
  <c r="HC263" i="1" s="1"/>
  <c r="GX263" i="1" s="1"/>
  <c r="C264" i="1"/>
  <c r="D264" i="1"/>
  <c r="I264" i="1"/>
  <c r="AC264" i="1"/>
  <c r="AE264" i="1"/>
  <c r="AF264" i="1"/>
  <c r="AG264" i="1"/>
  <c r="CU264" i="1" s="1"/>
  <c r="T264" i="1" s="1"/>
  <c r="AH264" i="1"/>
  <c r="AI264" i="1"/>
  <c r="CW264" i="1" s="1"/>
  <c r="V264" i="1" s="1"/>
  <c r="AJ264" i="1"/>
  <c r="CR264" i="1"/>
  <c r="Q264" i="1" s="1"/>
  <c r="CT264" i="1"/>
  <c r="S264" i="1" s="1"/>
  <c r="CY264" i="1" s="1"/>
  <c r="X264" i="1" s="1"/>
  <c r="CV264" i="1"/>
  <c r="U264" i="1" s="1"/>
  <c r="CX264" i="1"/>
  <c r="W264" i="1" s="1"/>
  <c r="CZ264" i="1"/>
  <c r="Y264" i="1" s="1"/>
  <c r="FR264" i="1"/>
  <c r="GL264" i="1"/>
  <c r="GN264" i="1"/>
  <c r="GO264" i="1"/>
  <c r="GV264" i="1"/>
  <c r="HC264" i="1" s="1"/>
  <c r="GX264" i="1" s="1"/>
  <c r="C265" i="1"/>
  <c r="D265" i="1"/>
  <c r="I265" i="1"/>
  <c r="AC265" i="1"/>
  <c r="AE265" i="1"/>
  <c r="AF265" i="1"/>
  <c r="AG265" i="1"/>
  <c r="CU265" i="1" s="1"/>
  <c r="T265" i="1" s="1"/>
  <c r="AH265" i="1"/>
  <c r="AI265" i="1"/>
  <c r="CW265" i="1" s="1"/>
  <c r="V265" i="1" s="1"/>
  <c r="AJ265" i="1"/>
  <c r="CR265" i="1"/>
  <c r="Q265" i="1" s="1"/>
  <c r="CT265" i="1"/>
  <c r="S265" i="1" s="1"/>
  <c r="CY265" i="1" s="1"/>
  <c r="X265" i="1" s="1"/>
  <c r="CV265" i="1"/>
  <c r="U265" i="1" s="1"/>
  <c r="CX265" i="1"/>
  <c r="W265" i="1" s="1"/>
  <c r="CZ265" i="1"/>
  <c r="Y265" i="1" s="1"/>
  <c r="FR265" i="1"/>
  <c r="GL265" i="1"/>
  <c r="GN265" i="1"/>
  <c r="GO265" i="1"/>
  <c r="GV265" i="1"/>
  <c r="HC265" i="1" s="1"/>
  <c r="GX265" i="1" s="1"/>
  <c r="C266" i="1"/>
  <c r="D266" i="1"/>
  <c r="I266" i="1"/>
  <c r="AC266" i="1"/>
  <c r="AE266" i="1"/>
  <c r="AF266" i="1"/>
  <c r="CT266" i="1" s="1"/>
  <c r="S266" i="1" s="1"/>
  <c r="CY266" i="1" s="1"/>
  <c r="X266" i="1" s="1"/>
  <c r="AG266" i="1"/>
  <c r="AH266" i="1"/>
  <c r="AI266" i="1"/>
  <c r="CW266" i="1" s="1"/>
  <c r="V266" i="1" s="1"/>
  <c r="AJ266" i="1"/>
  <c r="CX266" i="1" s="1"/>
  <c r="W266" i="1" s="1"/>
  <c r="CQ266" i="1"/>
  <c r="P266" i="1" s="1"/>
  <c r="CU266" i="1"/>
  <c r="T266" i="1" s="1"/>
  <c r="CV266" i="1"/>
  <c r="U266" i="1" s="1"/>
  <c r="CZ266" i="1"/>
  <c r="Y266" i="1" s="1"/>
  <c r="FR266" i="1"/>
  <c r="GL266" i="1"/>
  <c r="GN266" i="1"/>
  <c r="GO266" i="1"/>
  <c r="GV266" i="1"/>
  <c r="HC266" i="1" s="1"/>
  <c r="GX266" i="1" s="1"/>
  <c r="C267" i="1"/>
  <c r="D267" i="1"/>
  <c r="I267" i="1"/>
  <c r="AC267" i="1"/>
  <c r="AE267" i="1"/>
  <c r="AF267" i="1"/>
  <c r="CT267" i="1" s="1"/>
  <c r="S267" i="1" s="1"/>
  <c r="CY267" i="1" s="1"/>
  <c r="X267" i="1" s="1"/>
  <c r="AG267" i="1"/>
  <c r="AH267" i="1"/>
  <c r="AI267" i="1"/>
  <c r="CW267" i="1" s="1"/>
  <c r="V267" i="1" s="1"/>
  <c r="AJ267" i="1"/>
  <c r="CX267" i="1" s="1"/>
  <c r="W267" i="1" s="1"/>
  <c r="CQ267" i="1"/>
  <c r="P267" i="1" s="1"/>
  <c r="CU267" i="1"/>
  <c r="T267" i="1" s="1"/>
  <c r="CV267" i="1"/>
  <c r="U267" i="1" s="1"/>
  <c r="CZ267" i="1"/>
  <c r="Y267" i="1" s="1"/>
  <c r="FR267" i="1"/>
  <c r="GL267" i="1"/>
  <c r="GN267" i="1"/>
  <c r="GO267" i="1"/>
  <c r="GV267" i="1"/>
  <c r="HC267" i="1" s="1"/>
  <c r="GX267" i="1" s="1"/>
  <c r="C268" i="1"/>
  <c r="D268" i="1"/>
  <c r="I268" i="1"/>
  <c r="AC268" i="1"/>
  <c r="AE268" i="1"/>
  <c r="AF268" i="1"/>
  <c r="CT268" i="1" s="1"/>
  <c r="S268" i="1" s="1"/>
  <c r="CY268" i="1" s="1"/>
  <c r="X268" i="1" s="1"/>
  <c r="AG268" i="1"/>
  <c r="AH268" i="1"/>
  <c r="AI268" i="1"/>
  <c r="CW268" i="1" s="1"/>
  <c r="V268" i="1" s="1"/>
  <c r="AJ268" i="1"/>
  <c r="CX268" i="1" s="1"/>
  <c r="W268" i="1" s="1"/>
  <c r="CQ268" i="1"/>
  <c r="P268" i="1" s="1"/>
  <c r="CU268" i="1"/>
  <c r="T268" i="1" s="1"/>
  <c r="CV268" i="1"/>
  <c r="U268" i="1" s="1"/>
  <c r="CZ268" i="1"/>
  <c r="Y268" i="1" s="1"/>
  <c r="FR268" i="1"/>
  <c r="GL268" i="1"/>
  <c r="GN268" i="1"/>
  <c r="GO268" i="1"/>
  <c r="GV268" i="1"/>
  <c r="HC268" i="1" s="1"/>
  <c r="GX268" i="1" s="1"/>
  <c r="I269" i="1"/>
  <c r="AC269" i="1"/>
  <c r="AD269" i="1"/>
  <c r="AE269" i="1"/>
  <c r="AF269" i="1"/>
  <c r="AG269" i="1"/>
  <c r="CU269" i="1" s="1"/>
  <c r="T269" i="1" s="1"/>
  <c r="AH269" i="1"/>
  <c r="CV269" i="1" s="1"/>
  <c r="U269" i="1" s="1"/>
  <c r="AI269" i="1"/>
  <c r="AJ269" i="1"/>
  <c r="CR269" i="1"/>
  <c r="Q269" i="1" s="1"/>
  <c r="CS269" i="1"/>
  <c r="R269" i="1" s="1"/>
  <c r="CT269" i="1"/>
  <c r="S269" i="1" s="1"/>
  <c r="CW269" i="1"/>
  <c r="V269" i="1" s="1"/>
  <c r="CX269" i="1"/>
  <c r="W269" i="1" s="1"/>
  <c r="FR269" i="1"/>
  <c r="GK269" i="1"/>
  <c r="GL269" i="1"/>
  <c r="GN269" i="1"/>
  <c r="GO269" i="1"/>
  <c r="GV269" i="1"/>
  <c r="HC269" i="1"/>
  <c r="GX269" i="1" s="1"/>
  <c r="I270" i="1"/>
  <c r="AC270" i="1"/>
  <c r="AE270" i="1"/>
  <c r="AF270" i="1"/>
  <c r="CT270" i="1" s="1"/>
  <c r="S270" i="1" s="1"/>
  <c r="CY270" i="1" s="1"/>
  <c r="X270" i="1" s="1"/>
  <c r="AG270" i="1"/>
  <c r="AH270" i="1"/>
  <c r="AI270" i="1"/>
  <c r="CW270" i="1" s="1"/>
  <c r="V270" i="1" s="1"/>
  <c r="AJ270" i="1"/>
  <c r="CX270" i="1" s="1"/>
  <c r="W270" i="1" s="1"/>
  <c r="CQ270" i="1"/>
  <c r="P270" i="1" s="1"/>
  <c r="CR270" i="1"/>
  <c r="Q270" i="1" s="1"/>
  <c r="CU270" i="1"/>
  <c r="T270" i="1" s="1"/>
  <c r="CV270" i="1"/>
  <c r="U270" i="1" s="1"/>
  <c r="FR270" i="1"/>
  <c r="GL270" i="1"/>
  <c r="GN270" i="1"/>
  <c r="GO270" i="1"/>
  <c r="GV270" i="1"/>
  <c r="HC270" i="1" s="1"/>
  <c r="GX270" i="1" s="1"/>
  <c r="C271" i="1"/>
  <c r="D271" i="1"/>
  <c r="I271" i="1"/>
  <c r="AC271" i="1"/>
  <c r="AE271" i="1"/>
  <c r="AF271" i="1"/>
  <c r="CT271" i="1" s="1"/>
  <c r="S271" i="1" s="1"/>
  <c r="CY271" i="1" s="1"/>
  <c r="X271" i="1" s="1"/>
  <c r="AG271" i="1"/>
  <c r="AH271" i="1"/>
  <c r="AI271" i="1"/>
  <c r="CW271" i="1" s="1"/>
  <c r="V271" i="1" s="1"/>
  <c r="AJ271" i="1"/>
  <c r="CX271" i="1" s="1"/>
  <c r="W271" i="1" s="1"/>
  <c r="CQ271" i="1"/>
  <c r="P271" i="1" s="1"/>
  <c r="CR271" i="1"/>
  <c r="Q271" i="1" s="1"/>
  <c r="CU271" i="1"/>
  <c r="T271" i="1" s="1"/>
  <c r="CV271" i="1"/>
  <c r="U271" i="1" s="1"/>
  <c r="FR271" i="1"/>
  <c r="GL271" i="1"/>
  <c r="GN271" i="1"/>
  <c r="GO271" i="1"/>
  <c r="GV271" i="1"/>
  <c r="HC271" i="1" s="1"/>
  <c r="GX271" i="1" s="1"/>
  <c r="C272" i="1"/>
  <c r="D272" i="1"/>
  <c r="I272" i="1"/>
  <c r="AC272" i="1"/>
  <c r="AE272" i="1"/>
  <c r="AF272" i="1"/>
  <c r="CT272" i="1" s="1"/>
  <c r="S272" i="1" s="1"/>
  <c r="CY272" i="1" s="1"/>
  <c r="X272" i="1" s="1"/>
  <c r="AG272" i="1"/>
  <c r="AH272" i="1"/>
  <c r="AI272" i="1"/>
  <c r="CW272" i="1" s="1"/>
  <c r="V272" i="1" s="1"/>
  <c r="AJ272" i="1"/>
  <c r="CX272" i="1" s="1"/>
  <c r="W272" i="1" s="1"/>
  <c r="CQ272" i="1"/>
  <c r="P272" i="1" s="1"/>
  <c r="CR272" i="1"/>
  <c r="Q272" i="1" s="1"/>
  <c r="CU272" i="1"/>
  <c r="T272" i="1" s="1"/>
  <c r="CV272" i="1"/>
  <c r="U272" i="1" s="1"/>
  <c r="FR272" i="1"/>
  <c r="GL272" i="1"/>
  <c r="GN272" i="1"/>
  <c r="GO272" i="1"/>
  <c r="GV272" i="1"/>
  <c r="HC272" i="1" s="1"/>
  <c r="GX272" i="1" s="1"/>
  <c r="C273" i="1"/>
  <c r="D273" i="1"/>
  <c r="I273" i="1"/>
  <c r="AC273" i="1"/>
  <c r="AE273" i="1"/>
  <c r="AF273" i="1"/>
  <c r="CT273" i="1" s="1"/>
  <c r="S273" i="1" s="1"/>
  <c r="CY273" i="1" s="1"/>
  <c r="X273" i="1" s="1"/>
  <c r="AG273" i="1"/>
  <c r="AH273" i="1"/>
  <c r="AI273" i="1"/>
  <c r="CW273" i="1" s="1"/>
  <c r="V273" i="1" s="1"/>
  <c r="AJ273" i="1"/>
  <c r="CX273" i="1" s="1"/>
  <c r="W273" i="1" s="1"/>
  <c r="CQ273" i="1"/>
  <c r="P273" i="1" s="1"/>
  <c r="CR273" i="1"/>
  <c r="Q273" i="1" s="1"/>
  <c r="CU273" i="1"/>
  <c r="T273" i="1" s="1"/>
  <c r="CV273" i="1"/>
  <c r="U273" i="1" s="1"/>
  <c r="FR273" i="1"/>
  <c r="GL273" i="1"/>
  <c r="GN273" i="1"/>
  <c r="GO273" i="1"/>
  <c r="GV273" i="1"/>
  <c r="HC273" i="1" s="1"/>
  <c r="GX273" i="1" s="1"/>
  <c r="C274" i="1"/>
  <c r="D274" i="1"/>
  <c r="R274" i="1"/>
  <c r="GK274" i="1" s="1"/>
  <c r="AC274" i="1"/>
  <c r="CQ274" i="1" s="1"/>
  <c r="P274" i="1" s="1"/>
  <c r="AE274" i="1"/>
  <c r="AD274" i="1" s="1"/>
  <c r="AB274" i="1" s="1"/>
  <c r="AF274" i="1"/>
  <c r="CT274" i="1" s="1"/>
  <c r="S274" i="1" s="1"/>
  <c r="AG274" i="1"/>
  <c r="CU274" i="1" s="1"/>
  <c r="T274" i="1" s="1"/>
  <c r="AH274" i="1"/>
  <c r="AI274" i="1"/>
  <c r="AJ274" i="1"/>
  <c r="CX274" i="1" s="1"/>
  <c r="W274" i="1" s="1"/>
  <c r="CR274" i="1"/>
  <c r="Q274" i="1" s="1"/>
  <c r="CS274" i="1"/>
  <c r="CV274" i="1"/>
  <c r="U274" i="1" s="1"/>
  <c r="CW274" i="1"/>
  <c r="V274" i="1" s="1"/>
  <c r="FR274" i="1"/>
  <c r="BY289" i="1" s="1"/>
  <c r="GL274" i="1"/>
  <c r="GN274" i="1"/>
  <c r="CB289" i="1" s="1"/>
  <c r="GO274" i="1"/>
  <c r="GV274" i="1"/>
  <c r="HC274" i="1" s="1"/>
  <c r="GX274" i="1" s="1"/>
  <c r="C275" i="1"/>
  <c r="D275" i="1"/>
  <c r="W275" i="1"/>
  <c r="AC275" i="1"/>
  <c r="AD275" i="1"/>
  <c r="AE275" i="1"/>
  <c r="AF275" i="1"/>
  <c r="AG275" i="1"/>
  <c r="CU275" i="1" s="1"/>
  <c r="T275" i="1" s="1"/>
  <c r="AH275" i="1"/>
  <c r="CV275" i="1" s="1"/>
  <c r="U275" i="1" s="1"/>
  <c r="AI275" i="1"/>
  <c r="AJ275" i="1"/>
  <c r="CR275" i="1"/>
  <c r="Q275" i="1" s="1"/>
  <c r="CS275" i="1"/>
  <c r="R275" i="1" s="1"/>
  <c r="CT275" i="1"/>
  <c r="S275" i="1" s="1"/>
  <c r="CW275" i="1"/>
  <c r="V275" i="1" s="1"/>
  <c r="CX275" i="1"/>
  <c r="FR275" i="1"/>
  <c r="GK275" i="1"/>
  <c r="GL275" i="1"/>
  <c r="GN275" i="1"/>
  <c r="GO275" i="1"/>
  <c r="GV275" i="1"/>
  <c r="HC275" i="1"/>
  <c r="GX275" i="1" s="1"/>
  <c r="C276" i="1"/>
  <c r="D276" i="1"/>
  <c r="I276" i="1"/>
  <c r="S276" i="1"/>
  <c r="AC276" i="1"/>
  <c r="AD276" i="1"/>
  <c r="AE276" i="1"/>
  <c r="AF276" i="1"/>
  <c r="AG276" i="1"/>
  <c r="CU276" i="1" s="1"/>
  <c r="T276" i="1" s="1"/>
  <c r="AH276" i="1"/>
  <c r="CV276" i="1" s="1"/>
  <c r="U276" i="1" s="1"/>
  <c r="AI276" i="1"/>
  <c r="AJ276" i="1"/>
  <c r="CR276" i="1"/>
  <c r="Q276" i="1" s="1"/>
  <c r="CS276" i="1"/>
  <c r="R276" i="1" s="1"/>
  <c r="GK276" i="1" s="1"/>
  <c r="CT276" i="1"/>
  <c r="CW276" i="1"/>
  <c r="V276" i="1" s="1"/>
  <c r="CX276" i="1"/>
  <c r="W276" i="1" s="1"/>
  <c r="FR276" i="1"/>
  <c r="GL276" i="1"/>
  <c r="GN276" i="1"/>
  <c r="GO276" i="1"/>
  <c r="GV276" i="1"/>
  <c r="HC276" i="1"/>
  <c r="GX276" i="1" s="1"/>
  <c r="C277" i="1"/>
  <c r="D277" i="1"/>
  <c r="I277" i="1"/>
  <c r="AC277" i="1"/>
  <c r="AD277" i="1"/>
  <c r="AE277" i="1"/>
  <c r="AF277" i="1"/>
  <c r="AG277" i="1"/>
  <c r="CU277" i="1" s="1"/>
  <c r="T277" i="1" s="1"/>
  <c r="AH277" i="1"/>
  <c r="CV277" i="1" s="1"/>
  <c r="U277" i="1" s="1"/>
  <c r="AI277" i="1"/>
  <c r="AJ277" i="1"/>
  <c r="CR277" i="1"/>
  <c r="Q277" i="1" s="1"/>
  <c r="CS277" i="1"/>
  <c r="R277" i="1" s="1"/>
  <c r="CT277" i="1"/>
  <c r="S277" i="1" s="1"/>
  <c r="CW277" i="1"/>
  <c r="V277" i="1" s="1"/>
  <c r="CX277" i="1"/>
  <c r="W277" i="1" s="1"/>
  <c r="FR277" i="1"/>
  <c r="GK277" i="1"/>
  <c r="GL277" i="1"/>
  <c r="GN277" i="1"/>
  <c r="GO277" i="1"/>
  <c r="GV277" i="1"/>
  <c r="HC277" i="1"/>
  <c r="GX277" i="1" s="1"/>
  <c r="AC278" i="1"/>
  <c r="AE278" i="1"/>
  <c r="AF278" i="1"/>
  <c r="CT278" i="1" s="1"/>
  <c r="AG278" i="1"/>
  <c r="AH278" i="1"/>
  <c r="AI278" i="1"/>
  <c r="CW278" i="1" s="1"/>
  <c r="AJ278" i="1"/>
  <c r="CX278" i="1" s="1"/>
  <c r="CQ278" i="1"/>
  <c r="CU278" i="1"/>
  <c r="CV278" i="1"/>
  <c r="FR278" i="1"/>
  <c r="GL278" i="1"/>
  <c r="GN278" i="1"/>
  <c r="GO278" i="1"/>
  <c r="GV278" i="1"/>
  <c r="HC278" i="1" s="1"/>
  <c r="I279" i="1"/>
  <c r="W279" i="1"/>
  <c r="AC279" i="1"/>
  <c r="AD279" i="1"/>
  <c r="AE279" i="1"/>
  <c r="AF279" i="1"/>
  <c r="AG279" i="1"/>
  <c r="CU279" i="1" s="1"/>
  <c r="T279" i="1" s="1"/>
  <c r="AH279" i="1"/>
  <c r="CV279" i="1" s="1"/>
  <c r="U279" i="1" s="1"/>
  <c r="AI279" i="1"/>
  <c r="AJ279" i="1"/>
  <c r="CR279" i="1"/>
  <c r="Q279" i="1" s="1"/>
  <c r="CS279" i="1"/>
  <c r="R279" i="1" s="1"/>
  <c r="CT279" i="1"/>
  <c r="S279" i="1" s="1"/>
  <c r="CW279" i="1"/>
  <c r="V279" i="1" s="1"/>
  <c r="CX279" i="1"/>
  <c r="FR279" i="1"/>
  <c r="GK279" i="1"/>
  <c r="GL279" i="1"/>
  <c r="GN279" i="1"/>
  <c r="GO279" i="1"/>
  <c r="GV279" i="1"/>
  <c r="HC279" i="1"/>
  <c r="GX279" i="1" s="1"/>
  <c r="I280" i="1"/>
  <c r="AC280" i="1"/>
  <c r="AE280" i="1"/>
  <c r="AF280" i="1"/>
  <c r="CT280" i="1" s="1"/>
  <c r="S280" i="1" s="1"/>
  <c r="AG280" i="1"/>
  <c r="AH280" i="1"/>
  <c r="AI280" i="1"/>
  <c r="CW280" i="1" s="1"/>
  <c r="V280" i="1" s="1"/>
  <c r="AJ280" i="1"/>
  <c r="CX280" i="1" s="1"/>
  <c r="W280" i="1" s="1"/>
  <c r="CQ280" i="1"/>
  <c r="P280" i="1" s="1"/>
  <c r="CR280" i="1"/>
  <c r="Q280" i="1" s="1"/>
  <c r="CU280" i="1"/>
  <c r="T280" i="1" s="1"/>
  <c r="CV280" i="1"/>
  <c r="U280" i="1" s="1"/>
  <c r="FR280" i="1"/>
  <c r="GL280" i="1"/>
  <c r="GN280" i="1"/>
  <c r="GO280" i="1"/>
  <c r="GV280" i="1"/>
  <c r="HC280" i="1" s="1"/>
  <c r="GX280" i="1" s="1"/>
  <c r="I281" i="1"/>
  <c r="S281" i="1"/>
  <c r="AC281" i="1"/>
  <c r="AD281" i="1"/>
  <c r="AE281" i="1"/>
  <c r="AF281" i="1"/>
  <c r="AG281" i="1"/>
  <c r="CU281" i="1" s="1"/>
  <c r="T281" i="1" s="1"/>
  <c r="AH281" i="1"/>
  <c r="CV281" i="1" s="1"/>
  <c r="U281" i="1" s="1"/>
  <c r="AI281" i="1"/>
  <c r="AJ281" i="1"/>
  <c r="CR281" i="1"/>
  <c r="Q281" i="1" s="1"/>
  <c r="CS281" i="1"/>
  <c r="R281" i="1" s="1"/>
  <c r="GK281" i="1" s="1"/>
  <c r="CT281" i="1"/>
  <c r="CW281" i="1"/>
  <c r="V281" i="1" s="1"/>
  <c r="CX281" i="1"/>
  <c r="W281" i="1" s="1"/>
  <c r="FR281" i="1"/>
  <c r="GL281" i="1"/>
  <c r="GN281" i="1"/>
  <c r="GO281" i="1"/>
  <c r="GV281" i="1"/>
  <c r="HC281" i="1"/>
  <c r="GX281" i="1" s="1"/>
  <c r="I282" i="1"/>
  <c r="Y282" i="1"/>
  <c r="AC282" i="1"/>
  <c r="AE282" i="1"/>
  <c r="AF282" i="1"/>
  <c r="CT282" i="1" s="1"/>
  <c r="S282" i="1" s="1"/>
  <c r="CY282" i="1" s="1"/>
  <c r="X282" i="1" s="1"/>
  <c r="AG282" i="1"/>
  <c r="AH282" i="1"/>
  <c r="AI282" i="1"/>
  <c r="CW282" i="1" s="1"/>
  <c r="V282" i="1" s="1"/>
  <c r="AJ282" i="1"/>
  <c r="CX282" i="1" s="1"/>
  <c r="W282" i="1" s="1"/>
  <c r="CQ282" i="1"/>
  <c r="P282" i="1" s="1"/>
  <c r="CU282" i="1"/>
  <c r="T282" i="1" s="1"/>
  <c r="CV282" i="1"/>
  <c r="U282" i="1" s="1"/>
  <c r="CZ282" i="1"/>
  <c r="FR282" i="1"/>
  <c r="GL282" i="1"/>
  <c r="GN282" i="1"/>
  <c r="GO282" i="1"/>
  <c r="GV282" i="1"/>
  <c r="HC282" i="1" s="1"/>
  <c r="GX282" i="1" s="1"/>
  <c r="I283" i="1"/>
  <c r="AC283" i="1"/>
  <c r="AD283" i="1"/>
  <c r="AE283" i="1"/>
  <c r="AF283" i="1"/>
  <c r="AG283" i="1"/>
  <c r="CU283" i="1" s="1"/>
  <c r="T283" i="1" s="1"/>
  <c r="AH283" i="1"/>
  <c r="CV283" i="1" s="1"/>
  <c r="U283" i="1" s="1"/>
  <c r="AI283" i="1"/>
  <c r="AJ283" i="1"/>
  <c r="CR283" i="1"/>
  <c r="Q283" i="1" s="1"/>
  <c r="CS283" i="1"/>
  <c r="R283" i="1" s="1"/>
  <c r="CT283" i="1"/>
  <c r="S283" i="1" s="1"/>
  <c r="CW283" i="1"/>
  <c r="V283" i="1" s="1"/>
  <c r="CX283" i="1"/>
  <c r="W283" i="1" s="1"/>
  <c r="FR283" i="1"/>
  <c r="GK283" i="1"/>
  <c r="GL283" i="1"/>
  <c r="GN283" i="1"/>
  <c r="GO283" i="1"/>
  <c r="GV283" i="1"/>
  <c r="HC283" i="1"/>
  <c r="GX283" i="1" s="1"/>
  <c r="I284" i="1"/>
  <c r="U284" i="1"/>
  <c r="AC284" i="1"/>
  <c r="AE284" i="1"/>
  <c r="AF284" i="1"/>
  <c r="AG284" i="1"/>
  <c r="AH284" i="1"/>
  <c r="AI284" i="1"/>
  <c r="CW284" i="1" s="1"/>
  <c r="V284" i="1" s="1"/>
  <c r="AJ284" i="1"/>
  <c r="CQ284" i="1"/>
  <c r="P284" i="1" s="1"/>
  <c r="CR284" i="1"/>
  <c r="Q284" i="1" s="1"/>
  <c r="CT284" i="1"/>
  <c r="S284" i="1" s="1"/>
  <c r="CY284" i="1" s="1"/>
  <c r="X284" i="1" s="1"/>
  <c r="CU284" i="1"/>
  <c r="T284" i="1" s="1"/>
  <c r="CV284" i="1"/>
  <c r="CX284" i="1"/>
  <c r="W284" i="1" s="1"/>
  <c r="CZ284" i="1"/>
  <c r="Y284" i="1" s="1"/>
  <c r="FR284" i="1"/>
  <c r="GL284" i="1"/>
  <c r="GN284" i="1"/>
  <c r="GO284" i="1"/>
  <c r="GV284" i="1"/>
  <c r="HC284" i="1" s="1"/>
  <c r="GX284" i="1" s="1"/>
  <c r="I285" i="1"/>
  <c r="S285" i="1"/>
  <c r="AC285" i="1"/>
  <c r="AD285" i="1"/>
  <c r="AE285" i="1"/>
  <c r="AF285" i="1"/>
  <c r="AG285" i="1"/>
  <c r="CU285" i="1" s="1"/>
  <c r="T285" i="1" s="1"/>
  <c r="AH285" i="1"/>
  <c r="AI285" i="1"/>
  <c r="AJ285" i="1"/>
  <c r="CR285" i="1"/>
  <c r="Q285" i="1" s="1"/>
  <c r="CS285" i="1"/>
  <c r="R285" i="1" s="1"/>
  <c r="CT285" i="1"/>
  <c r="CV285" i="1"/>
  <c r="U285" i="1" s="1"/>
  <c r="CW285" i="1"/>
  <c r="V285" i="1" s="1"/>
  <c r="CX285" i="1"/>
  <c r="W285" i="1" s="1"/>
  <c r="FR285" i="1"/>
  <c r="GK285" i="1"/>
  <c r="GL285" i="1"/>
  <c r="GN285" i="1"/>
  <c r="GO285" i="1"/>
  <c r="GV285" i="1"/>
  <c r="HC285" i="1"/>
  <c r="GX285" i="1" s="1"/>
  <c r="I286" i="1"/>
  <c r="U286" i="1"/>
  <c r="AC286" i="1"/>
  <c r="AE286" i="1"/>
  <c r="AF286" i="1"/>
  <c r="AG286" i="1"/>
  <c r="AH286" i="1"/>
  <c r="AI286" i="1"/>
  <c r="CW286" i="1" s="1"/>
  <c r="V286" i="1" s="1"/>
  <c r="AJ286" i="1"/>
  <c r="CQ286" i="1"/>
  <c r="P286" i="1" s="1"/>
  <c r="CR286" i="1"/>
  <c r="Q286" i="1" s="1"/>
  <c r="CT286" i="1"/>
  <c r="S286" i="1" s="1"/>
  <c r="CY286" i="1" s="1"/>
  <c r="X286" i="1" s="1"/>
  <c r="CU286" i="1"/>
  <c r="T286" i="1" s="1"/>
  <c r="CV286" i="1"/>
  <c r="CX286" i="1"/>
  <c r="W286" i="1" s="1"/>
  <c r="CZ286" i="1"/>
  <c r="Y286" i="1" s="1"/>
  <c r="FR286" i="1"/>
  <c r="GL286" i="1"/>
  <c r="GN286" i="1"/>
  <c r="GO286" i="1"/>
  <c r="GV286" i="1"/>
  <c r="HC286" i="1" s="1"/>
  <c r="GX286" i="1" s="1"/>
  <c r="I287" i="1"/>
  <c r="S287" i="1"/>
  <c r="AC287" i="1"/>
  <c r="AD287" i="1"/>
  <c r="AE287" i="1"/>
  <c r="AF287" i="1"/>
  <c r="AG287" i="1"/>
  <c r="CU287" i="1" s="1"/>
  <c r="T287" i="1" s="1"/>
  <c r="AH287" i="1"/>
  <c r="AI287" i="1"/>
  <c r="AJ287" i="1"/>
  <c r="CR287" i="1"/>
  <c r="Q287" i="1" s="1"/>
  <c r="CS287" i="1"/>
  <c r="R287" i="1" s="1"/>
  <c r="GK287" i="1" s="1"/>
  <c r="CT287" i="1"/>
  <c r="CV287" i="1"/>
  <c r="U287" i="1" s="1"/>
  <c r="CW287" i="1"/>
  <c r="V287" i="1" s="1"/>
  <c r="CX287" i="1"/>
  <c r="W287" i="1" s="1"/>
  <c r="FR287" i="1"/>
  <c r="GL287" i="1"/>
  <c r="GN287" i="1"/>
  <c r="GO287" i="1"/>
  <c r="GV287" i="1"/>
  <c r="HC287" i="1"/>
  <c r="GX287" i="1" s="1"/>
  <c r="B289" i="1"/>
  <c r="B261" i="1" s="1"/>
  <c r="C289" i="1"/>
  <c r="C261" i="1" s="1"/>
  <c r="D289" i="1"/>
  <c r="D261" i="1" s="1"/>
  <c r="F289" i="1"/>
  <c r="F261" i="1" s="1"/>
  <c r="G289" i="1"/>
  <c r="G261" i="1" s="1"/>
  <c r="BX289" i="1"/>
  <c r="CG289" i="1" s="1"/>
  <c r="BZ289" i="1"/>
  <c r="BZ261" i="1" s="1"/>
  <c r="CK289" i="1"/>
  <c r="CK261" i="1" s="1"/>
  <c r="CL289" i="1"/>
  <c r="CL261" i="1" s="1"/>
  <c r="CM289" i="1"/>
  <c r="CM261" i="1" s="1"/>
  <c r="D319" i="1"/>
  <c r="B321" i="1"/>
  <c r="E321" i="1"/>
  <c r="F321" i="1"/>
  <c r="Z321" i="1"/>
  <c r="AA321" i="1"/>
  <c r="AM321" i="1"/>
  <c r="AN321" i="1"/>
  <c r="BE321" i="1"/>
  <c r="BF321" i="1"/>
  <c r="BG321" i="1"/>
  <c r="BH321" i="1"/>
  <c r="BI321" i="1"/>
  <c r="BJ321" i="1"/>
  <c r="BK321" i="1"/>
  <c r="BL321" i="1"/>
  <c r="BM321" i="1"/>
  <c r="BN321" i="1"/>
  <c r="BO321" i="1"/>
  <c r="BP321" i="1"/>
  <c r="BQ321" i="1"/>
  <c r="BR321" i="1"/>
  <c r="BS321" i="1"/>
  <c r="BT321" i="1"/>
  <c r="BU321" i="1"/>
  <c r="BV321" i="1"/>
  <c r="BW321" i="1"/>
  <c r="BX321" i="1"/>
  <c r="CN321" i="1"/>
  <c r="CO321" i="1"/>
  <c r="CP321" i="1"/>
  <c r="CQ321" i="1"/>
  <c r="CR321" i="1"/>
  <c r="CS321" i="1"/>
  <c r="CT321" i="1"/>
  <c r="CU321" i="1"/>
  <c r="CV321" i="1"/>
  <c r="CW321" i="1"/>
  <c r="CX321" i="1"/>
  <c r="CY321" i="1"/>
  <c r="CZ321" i="1"/>
  <c r="DA321" i="1"/>
  <c r="DB321" i="1"/>
  <c r="DC321" i="1"/>
  <c r="DD321" i="1"/>
  <c r="DE321" i="1"/>
  <c r="DF321" i="1"/>
  <c r="DG321" i="1"/>
  <c r="DH321" i="1"/>
  <c r="DI321" i="1"/>
  <c r="DJ321" i="1"/>
  <c r="DK321" i="1"/>
  <c r="DL321" i="1"/>
  <c r="DM321" i="1"/>
  <c r="DN321" i="1"/>
  <c r="DO321" i="1"/>
  <c r="DP321" i="1"/>
  <c r="DQ321" i="1"/>
  <c r="DR321" i="1"/>
  <c r="DS321" i="1"/>
  <c r="DT321" i="1"/>
  <c r="DU321" i="1"/>
  <c r="DV321" i="1"/>
  <c r="DW321" i="1"/>
  <c r="DX321" i="1"/>
  <c r="DY321" i="1"/>
  <c r="DZ321" i="1"/>
  <c r="EA321" i="1"/>
  <c r="EB321" i="1"/>
  <c r="EC321" i="1"/>
  <c r="ED321" i="1"/>
  <c r="EE321" i="1"/>
  <c r="EF321" i="1"/>
  <c r="EG321" i="1"/>
  <c r="EH321" i="1"/>
  <c r="EI321" i="1"/>
  <c r="EJ321" i="1"/>
  <c r="EK321" i="1"/>
  <c r="EL321" i="1"/>
  <c r="EM321" i="1"/>
  <c r="EN321" i="1"/>
  <c r="EO321" i="1"/>
  <c r="EP321" i="1"/>
  <c r="EQ321" i="1"/>
  <c r="ER321" i="1"/>
  <c r="ES321" i="1"/>
  <c r="ET321" i="1"/>
  <c r="EU321" i="1"/>
  <c r="EV321" i="1"/>
  <c r="EW321" i="1"/>
  <c r="EX321" i="1"/>
  <c r="EY321" i="1"/>
  <c r="EZ321" i="1"/>
  <c r="FA321" i="1"/>
  <c r="FB321" i="1"/>
  <c r="FC321" i="1"/>
  <c r="FD321" i="1"/>
  <c r="FE321" i="1"/>
  <c r="FF321" i="1"/>
  <c r="FG321" i="1"/>
  <c r="FH321" i="1"/>
  <c r="FI321" i="1"/>
  <c r="FJ321" i="1"/>
  <c r="FK321" i="1"/>
  <c r="FL321" i="1"/>
  <c r="FM321" i="1"/>
  <c r="FN321" i="1"/>
  <c r="FO321" i="1"/>
  <c r="FP321" i="1"/>
  <c r="FQ321" i="1"/>
  <c r="FR321" i="1"/>
  <c r="FS321" i="1"/>
  <c r="FT321" i="1"/>
  <c r="FU321" i="1"/>
  <c r="FV321" i="1"/>
  <c r="FW321" i="1"/>
  <c r="FX321" i="1"/>
  <c r="FY321" i="1"/>
  <c r="FZ321" i="1"/>
  <c r="GA321" i="1"/>
  <c r="GB321" i="1"/>
  <c r="GC321" i="1"/>
  <c r="GD321" i="1"/>
  <c r="GE321" i="1"/>
  <c r="GF321" i="1"/>
  <c r="GG321" i="1"/>
  <c r="GH321" i="1"/>
  <c r="GI321" i="1"/>
  <c r="GJ321" i="1"/>
  <c r="GK321" i="1"/>
  <c r="GL321" i="1"/>
  <c r="GM321" i="1"/>
  <c r="GN321" i="1"/>
  <c r="GO321" i="1"/>
  <c r="GP321" i="1"/>
  <c r="GQ321" i="1"/>
  <c r="GR321" i="1"/>
  <c r="GS321" i="1"/>
  <c r="GT321" i="1"/>
  <c r="GU321" i="1"/>
  <c r="GV321" i="1"/>
  <c r="GW321" i="1"/>
  <c r="GX321" i="1"/>
  <c r="C323" i="1"/>
  <c r="D323" i="1"/>
  <c r="T323" i="1"/>
  <c r="AC323" i="1"/>
  <c r="AD323" i="1"/>
  <c r="AB323" i="1" s="1"/>
  <c r="AE323" i="1"/>
  <c r="AF323" i="1"/>
  <c r="CT323" i="1" s="1"/>
  <c r="S323" i="1" s="1"/>
  <c r="AG323" i="1"/>
  <c r="AH323" i="1"/>
  <c r="CV323" i="1" s="1"/>
  <c r="U323" i="1" s="1"/>
  <c r="AI323" i="1"/>
  <c r="AJ323" i="1"/>
  <c r="CX323" i="1" s="1"/>
  <c r="W323" i="1" s="1"/>
  <c r="CQ323" i="1"/>
  <c r="P323" i="1" s="1"/>
  <c r="CR323" i="1"/>
  <c r="Q323" i="1" s="1"/>
  <c r="CS323" i="1"/>
  <c r="R323" i="1" s="1"/>
  <c r="CU323" i="1"/>
  <c r="CW323" i="1"/>
  <c r="V323" i="1" s="1"/>
  <c r="FR323" i="1"/>
  <c r="GL323" i="1"/>
  <c r="BZ327" i="1" s="1"/>
  <c r="GN323" i="1"/>
  <c r="CB327" i="1" s="1"/>
  <c r="AS327" i="1" s="1"/>
  <c r="AS321" i="1" s="1"/>
  <c r="GO323" i="1"/>
  <c r="GV323" i="1"/>
  <c r="GX323" i="1"/>
  <c r="HC323" i="1"/>
  <c r="C324" i="1"/>
  <c r="D324" i="1"/>
  <c r="AC324" i="1"/>
  <c r="AE324" i="1"/>
  <c r="AF324" i="1"/>
  <c r="AG324" i="1"/>
  <c r="CU324" i="1" s="1"/>
  <c r="T324" i="1" s="1"/>
  <c r="AH324" i="1"/>
  <c r="AI324" i="1"/>
  <c r="CW324" i="1" s="1"/>
  <c r="V324" i="1" s="1"/>
  <c r="AJ324" i="1"/>
  <c r="CT324" i="1"/>
  <c r="S324" i="1" s="1"/>
  <c r="CY324" i="1" s="1"/>
  <c r="X324" i="1" s="1"/>
  <c r="CV324" i="1"/>
  <c r="U324" i="1" s="1"/>
  <c r="AH327" i="1" s="1"/>
  <c r="CX324" i="1"/>
  <c r="W324" i="1" s="1"/>
  <c r="CZ324" i="1"/>
  <c r="Y324" i="1" s="1"/>
  <c r="FR324" i="1"/>
  <c r="GL324" i="1"/>
  <c r="GN324" i="1"/>
  <c r="GO324" i="1"/>
  <c r="GV324" i="1"/>
  <c r="HC324" i="1" s="1"/>
  <c r="GX324" i="1" s="1"/>
  <c r="C325" i="1"/>
  <c r="D325" i="1"/>
  <c r="V325" i="1"/>
  <c r="AC325" i="1"/>
  <c r="AD325" i="1"/>
  <c r="AE325" i="1"/>
  <c r="AF325" i="1"/>
  <c r="CT325" i="1" s="1"/>
  <c r="S325" i="1" s="1"/>
  <c r="AG325" i="1"/>
  <c r="AH325" i="1"/>
  <c r="CV325" i="1" s="1"/>
  <c r="U325" i="1" s="1"/>
  <c r="AI325" i="1"/>
  <c r="AJ325" i="1"/>
  <c r="CX325" i="1" s="1"/>
  <c r="W325" i="1" s="1"/>
  <c r="CQ325" i="1"/>
  <c r="P325" i="1" s="1"/>
  <c r="CP325" i="1" s="1"/>
  <c r="O325" i="1" s="1"/>
  <c r="CR325" i="1"/>
  <c r="Q325" i="1" s="1"/>
  <c r="CS325" i="1"/>
  <c r="R325" i="1" s="1"/>
  <c r="GK325" i="1" s="1"/>
  <c r="CU325" i="1"/>
  <c r="T325" i="1" s="1"/>
  <c r="CW325" i="1"/>
  <c r="FR325" i="1"/>
  <c r="BY327" i="1" s="1"/>
  <c r="GL325" i="1"/>
  <c r="GN325" i="1"/>
  <c r="GO325" i="1"/>
  <c r="GV325" i="1"/>
  <c r="HC325" i="1" s="1"/>
  <c r="GX325" i="1"/>
  <c r="B327" i="1"/>
  <c r="C327" i="1"/>
  <c r="C321" i="1" s="1"/>
  <c r="D327" i="1"/>
  <c r="D321" i="1" s="1"/>
  <c r="F327" i="1"/>
  <c r="G327" i="1"/>
  <c r="G321" i="1" s="1"/>
  <c r="BX327" i="1"/>
  <c r="AO327" i="1" s="1"/>
  <c r="CC327" i="1"/>
  <c r="CC321" i="1" s="1"/>
  <c r="CI327" i="1"/>
  <c r="CI321" i="1" s="1"/>
  <c r="CK327" i="1"/>
  <c r="CK321" i="1" s="1"/>
  <c r="CL327" i="1"/>
  <c r="CL321" i="1" s="1"/>
  <c r="CM327" i="1"/>
  <c r="CM321" i="1" s="1"/>
  <c r="D357" i="1"/>
  <c r="E359" i="1"/>
  <c r="G359" i="1"/>
  <c r="Z359" i="1"/>
  <c r="AA359" i="1"/>
  <c r="AM359" i="1"/>
  <c r="AN359" i="1"/>
  <c r="BE359" i="1"/>
  <c r="BF359" i="1"/>
  <c r="BG359" i="1"/>
  <c r="BH359" i="1"/>
  <c r="BI359" i="1"/>
  <c r="BJ359" i="1"/>
  <c r="BK359" i="1"/>
  <c r="BL359" i="1"/>
  <c r="BM359" i="1"/>
  <c r="BN359" i="1"/>
  <c r="BO359" i="1"/>
  <c r="BP359" i="1"/>
  <c r="BQ359" i="1"/>
  <c r="BR359" i="1"/>
  <c r="BS359" i="1"/>
  <c r="BT359" i="1"/>
  <c r="BU359" i="1"/>
  <c r="BV359" i="1"/>
  <c r="BW359" i="1"/>
  <c r="CN359" i="1"/>
  <c r="CO359" i="1"/>
  <c r="CP359" i="1"/>
  <c r="CQ359" i="1"/>
  <c r="CR359" i="1"/>
  <c r="CS359" i="1"/>
  <c r="CT359" i="1"/>
  <c r="CU359" i="1"/>
  <c r="CV359" i="1"/>
  <c r="CW359" i="1"/>
  <c r="CX359" i="1"/>
  <c r="CY359" i="1"/>
  <c r="CZ359" i="1"/>
  <c r="DA359" i="1"/>
  <c r="DB359" i="1"/>
  <c r="DC359" i="1"/>
  <c r="DD359" i="1"/>
  <c r="DE359" i="1"/>
  <c r="DF359" i="1"/>
  <c r="DG359" i="1"/>
  <c r="DH359" i="1"/>
  <c r="DI359" i="1"/>
  <c r="DJ359" i="1"/>
  <c r="DK359" i="1"/>
  <c r="DL359" i="1"/>
  <c r="DM359" i="1"/>
  <c r="DN359" i="1"/>
  <c r="DO359" i="1"/>
  <c r="DP359" i="1"/>
  <c r="DQ359" i="1"/>
  <c r="DR359" i="1"/>
  <c r="DS359" i="1"/>
  <c r="DT359" i="1"/>
  <c r="DU359" i="1"/>
  <c r="DV359" i="1"/>
  <c r="DW359" i="1"/>
  <c r="DX359" i="1"/>
  <c r="DY359" i="1"/>
  <c r="DZ359" i="1"/>
  <c r="EA359" i="1"/>
  <c r="EB359" i="1"/>
  <c r="EC359" i="1"/>
  <c r="ED359" i="1"/>
  <c r="EE359" i="1"/>
  <c r="EF359" i="1"/>
  <c r="EG359" i="1"/>
  <c r="EH359" i="1"/>
  <c r="EI359" i="1"/>
  <c r="EJ359" i="1"/>
  <c r="EK359" i="1"/>
  <c r="EL359" i="1"/>
  <c r="EM359" i="1"/>
  <c r="EN359" i="1"/>
  <c r="EO359" i="1"/>
  <c r="EP359" i="1"/>
  <c r="EQ359" i="1"/>
  <c r="ER359" i="1"/>
  <c r="ES359" i="1"/>
  <c r="ET359" i="1"/>
  <c r="EU359" i="1"/>
  <c r="EV359" i="1"/>
  <c r="EW359" i="1"/>
  <c r="EX359" i="1"/>
  <c r="EY359" i="1"/>
  <c r="EZ359" i="1"/>
  <c r="FA359" i="1"/>
  <c r="FB359" i="1"/>
  <c r="FC359" i="1"/>
  <c r="FD359" i="1"/>
  <c r="FE359" i="1"/>
  <c r="FF359" i="1"/>
  <c r="FG359" i="1"/>
  <c r="FH359" i="1"/>
  <c r="FI359" i="1"/>
  <c r="FJ359" i="1"/>
  <c r="FK359" i="1"/>
  <c r="FL359" i="1"/>
  <c r="FM359" i="1"/>
  <c r="FN359" i="1"/>
  <c r="FO359" i="1"/>
  <c r="FP359" i="1"/>
  <c r="FQ359" i="1"/>
  <c r="FR359" i="1"/>
  <c r="FS359" i="1"/>
  <c r="FT359" i="1"/>
  <c r="FU359" i="1"/>
  <c r="FV359" i="1"/>
  <c r="FW359" i="1"/>
  <c r="FX359" i="1"/>
  <c r="FY359" i="1"/>
  <c r="FZ359" i="1"/>
  <c r="GA359" i="1"/>
  <c r="GB359" i="1"/>
  <c r="GC359" i="1"/>
  <c r="GD359" i="1"/>
  <c r="GE359" i="1"/>
  <c r="GF359" i="1"/>
  <c r="GG359" i="1"/>
  <c r="GH359" i="1"/>
  <c r="GI359" i="1"/>
  <c r="GJ359" i="1"/>
  <c r="GK359" i="1"/>
  <c r="GL359" i="1"/>
  <c r="GM359" i="1"/>
  <c r="GN359" i="1"/>
  <c r="GO359" i="1"/>
  <c r="GP359" i="1"/>
  <c r="GQ359" i="1"/>
  <c r="GR359" i="1"/>
  <c r="GS359" i="1"/>
  <c r="GT359" i="1"/>
  <c r="GU359" i="1"/>
  <c r="GV359" i="1"/>
  <c r="GW359" i="1"/>
  <c r="GX359" i="1"/>
  <c r="C361" i="1"/>
  <c r="D361" i="1"/>
  <c r="I361" i="1"/>
  <c r="AC361" i="1"/>
  <c r="AE361" i="1"/>
  <c r="CR361" i="1" s="1"/>
  <c r="Q361" i="1" s="1"/>
  <c r="AF361" i="1"/>
  <c r="AG361" i="1"/>
  <c r="CU361" i="1" s="1"/>
  <c r="T361" i="1" s="1"/>
  <c r="AH361" i="1"/>
  <c r="AI361" i="1"/>
  <c r="CW361" i="1" s="1"/>
  <c r="V361" i="1" s="1"/>
  <c r="AI373" i="1" s="1"/>
  <c r="AJ361" i="1"/>
  <c r="CT361" i="1"/>
  <c r="S361" i="1" s="1"/>
  <c r="CV361" i="1"/>
  <c r="U361" i="1" s="1"/>
  <c r="CX361" i="1"/>
  <c r="W361" i="1" s="1"/>
  <c r="CZ361" i="1"/>
  <c r="Y361" i="1" s="1"/>
  <c r="FR361" i="1"/>
  <c r="GL361" i="1"/>
  <c r="GN361" i="1"/>
  <c r="GO361" i="1"/>
  <c r="GV361" i="1"/>
  <c r="HC361" i="1" s="1"/>
  <c r="GX361" i="1" s="1"/>
  <c r="I362" i="1"/>
  <c r="AC362" i="1"/>
  <c r="AE362" i="1"/>
  <c r="AD362" i="1" s="1"/>
  <c r="AF362" i="1"/>
  <c r="AG362" i="1"/>
  <c r="CU362" i="1" s="1"/>
  <c r="T362" i="1" s="1"/>
  <c r="AG373" i="1" s="1"/>
  <c r="AH362" i="1"/>
  <c r="AI362" i="1"/>
  <c r="CW362" i="1" s="1"/>
  <c r="V362" i="1" s="1"/>
  <c r="AJ362" i="1"/>
  <c r="CR362" i="1"/>
  <c r="Q362" i="1" s="1"/>
  <c r="CT362" i="1"/>
  <c r="S362" i="1" s="1"/>
  <c r="CV362" i="1"/>
  <c r="U362" i="1" s="1"/>
  <c r="CX362" i="1"/>
  <c r="W362" i="1" s="1"/>
  <c r="FR362" i="1"/>
  <c r="GL362" i="1"/>
  <c r="GN362" i="1"/>
  <c r="GO362" i="1"/>
  <c r="GV362" i="1"/>
  <c r="HC362" i="1"/>
  <c r="GX362" i="1" s="1"/>
  <c r="I363" i="1"/>
  <c r="U363" i="1"/>
  <c r="AC363" i="1"/>
  <c r="AE363" i="1"/>
  <c r="AF363" i="1"/>
  <c r="AG363" i="1"/>
  <c r="CU363" i="1" s="1"/>
  <c r="T363" i="1" s="1"/>
  <c r="AH363" i="1"/>
  <c r="AI363" i="1"/>
  <c r="CW363" i="1" s="1"/>
  <c r="V363" i="1" s="1"/>
  <c r="AJ363" i="1"/>
  <c r="CR363" i="1"/>
  <c r="Q363" i="1" s="1"/>
  <c r="CT363" i="1"/>
  <c r="S363" i="1" s="1"/>
  <c r="CY363" i="1" s="1"/>
  <c r="X363" i="1" s="1"/>
  <c r="CV363" i="1"/>
  <c r="CX363" i="1"/>
  <c r="W363" i="1" s="1"/>
  <c r="FR363" i="1"/>
  <c r="GL363" i="1"/>
  <c r="GN363" i="1"/>
  <c r="GO363" i="1"/>
  <c r="GV363" i="1"/>
  <c r="HC363" i="1" s="1"/>
  <c r="GX363" i="1" s="1"/>
  <c r="I364" i="1"/>
  <c r="S364" i="1"/>
  <c r="AC364" i="1"/>
  <c r="AE364" i="1"/>
  <c r="AD364" i="1" s="1"/>
  <c r="AF364" i="1"/>
  <c r="AG364" i="1"/>
  <c r="CU364" i="1" s="1"/>
  <c r="T364" i="1" s="1"/>
  <c r="AH364" i="1"/>
  <c r="AI364" i="1"/>
  <c r="CW364" i="1" s="1"/>
  <c r="V364" i="1" s="1"/>
  <c r="AJ364" i="1"/>
  <c r="CR364" i="1"/>
  <c r="Q364" i="1" s="1"/>
  <c r="CT364" i="1"/>
  <c r="CV364" i="1"/>
  <c r="U364" i="1" s="1"/>
  <c r="CX364" i="1"/>
  <c r="W364" i="1" s="1"/>
  <c r="FR364" i="1"/>
  <c r="GL364" i="1"/>
  <c r="GN364" i="1"/>
  <c r="GO364" i="1"/>
  <c r="GV364" i="1"/>
  <c r="HC364" i="1"/>
  <c r="GX364" i="1" s="1"/>
  <c r="I365" i="1"/>
  <c r="AC365" i="1"/>
  <c r="AE365" i="1"/>
  <c r="AF365" i="1"/>
  <c r="AG365" i="1"/>
  <c r="CU365" i="1" s="1"/>
  <c r="T365" i="1" s="1"/>
  <c r="AH365" i="1"/>
  <c r="AI365" i="1"/>
  <c r="CW365" i="1" s="1"/>
  <c r="V365" i="1" s="1"/>
  <c r="AJ365" i="1"/>
  <c r="CR365" i="1"/>
  <c r="Q365" i="1" s="1"/>
  <c r="CT365" i="1"/>
  <c r="S365" i="1" s="1"/>
  <c r="CY365" i="1" s="1"/>
  <c r="X365" i="1" s="1"/>
  <c r="CV365" i="1"/>
  <c r="U365" i="1" s="1"/>
  <c r="CX365" i="1"/>
  <c r="W365" i="1" s="1"/>
  <c r="CZ365" i="1"/>
  <c r="Y365" i="1" s="1"/>
  <c r="FR365" i="1"/>
  <c r="GL365" i="1"/>
  <c r="GN365" i="1"/>
  <c r="GO365" i="1"/>
  <c r="GV365" i="1"/>
  <c r="HC365" i="1" s="1"/>
  <c r="GX365" i="1" s="1"/>
  <c r="I366" i="1"/>
  <c r="AC366" i="1"/>
  <c r="AE366" i="1"/>
  <c r="AD366" i="1" s="1"/>
  <c r="AF366" i="1"/>
  <c r="AG366" i="1"/>
  <c r="CU366" i="1" s="1"/>
  <c r="T366" i="1" s="1"/>
  <c r="AH366" i="1"/>
  <c r="AI366" i="1"/>
  <c r="CW366" i="1" s="1"/>
  <c r="V366" i="1" s="1"/>
  <c r="AJ366" i="1"/>
  <c r="CR366" i="1"/>
  <c r="Q366" i="1" s="1"/>
  <c r="CT366" i="1"/>
  <c r="S366" i="1" s="1"/>
  <c r="CV366" i="1"/>
  <c r="U366" i="1" s="1"/>
  <c r="CX366" i="1"/>
  <c r="W366" i="1" s="1"/>
  <c r="FR366" i="1"/>
  <c r="GL366" i="1"/>
  <c r="GN366" i="1"/>
  <c r="GO366" i="1"/>
  <c r="GV366" i="1"/>
  <c r="HC366" i="1"/>
  <c r="GX366" i="1" s="1"/>
  <c r="I367" i="1"/>
  <c r="U367" i="1"/>
  <c r="AC367" i="1"/>
  <c r="AE367" i="1"/>
  <c r="AF367" i="1"/>
  <c r="AG367" i="1"/>
  <c r="CU367" i="1" s="1"/>
  <c r="T367" i="1" s="1"/>
  <c r="AH367" i="1"/>
  <c r="AI367" i="1"/>
  <c r="CW367" i="1" s="1"/>
  <c r="V367" i="1" s="1"/>
  <c r="AJ367" i="1"/>
  <c r="CT367" i="1"/>
  <c r="S367" i="1" s="1"/>
  <c r="CY367" i="1" s="1"/>
  <c r="X367" i="1" s="1"/>
  <c r="CV367" i="1"/>
  <c r="CX367" i="1"/>
  <c r="W367" i="1" s="1"/>
  <c r="FR367" i="1"/>
  <c r="GL367" i="1"/>
  <c r="GN367" i="1"/>
  <c r="GO367" i="1"/>
  <c r="GV367" i="1"/>
  <c r="HC367" i="1" s="1"/>
  <c r="GX367" i="1" s="1"/>
  <c r="I368" i="1"/>
  <c r="S368" i="1"/>
  <c r="CY368" i="1" s="1"/>
  <c r="X368" i="1" s="1"/>
  <c r="AC368" i="1"/>
  <c r="AE368" i="1"/>
  <c r="AD368" i="1" s="1"/>
  <c r="AF368" i="1"/>
  <c r="AG368" i="1"/>
  <c r="CU368" i="1" s="1"/>
  <c r="T368" i="1" s="1"/>
  <c r="AH368" i="1"/>
  <c r="AI368" i="1"/>
  <c r="CW368" i="1" s="1"/>
  <c r="V368" i="1" s="1"/>
  <c r="AJ368" i="1"/>
  <c r="CR368" i="1"/>
  <c r="Q368" i="1" s="1"/>
  <c r="CT368" i="1"/>
  <c r="CV368" i="1"/>
  <c r="U368" i="1" s="1"/>
  <c r="CX368" i="1"/>
  <c r="W368" i="1" s="1"/>
  <c r="CZ368" i="1"/>
  <c r="Y368" i="1" s="1"/>
  <c r="FR368" i="1"/>
  <c r="GL368" i="1"/>
  <c r="GN368" i="1"/>
  <c r="GO368" i="1"/>
  <c r="GV368" i="1"/>
  <c r="HC368" i="1"/>
  <c r="GX368" i="1" s="1"/>
  <c r="I369" i="1"/>
  <c r="S369" i="1"/>
  <c r="CY369" i="1" s="1"/>
  <c r="X369" i="1" s="1"/>
  <c r="W369" i="1"/>
  <c r="AC369" i="1"/>
  <c r="AE369" i="1"/>
  <c r="AF369" i="1"/>
  <c r="AG369" i="1"/>
  <c r="CU369" i="1" s="1"/>
  <c r="T369" i="1" s="1"/>
  <c r="AH369" i="1"/>
  <c r="AI369" i="1"/>
  <c r="CW369" i="1" s="1"/>
  <c r="V369" i="1" s="1"/>
  <c r="AJ369" i="1"/>
  <c r="CR369" i="1"/>
  <c r="Q369" i="1" s="1"/>
  <c r="CT369" i="1"/>
  <c r="CV369" i="1"/>
  <c r="U369" i="1" s="1"/>
  <c r="CX369" i="1"/>
  <c r="CZ369" i="1"/>
  <c r="Y369" i="1" s="1"/>
  <c r="FR369" i="1"/>
  <c r="GL369" i="1"/>
  <c r="GN369" i="1"/>
  <c r="GO369" i="1"/>
  <c r="GV369" i="1"/>
  <c r="HC369" i="1"/>
  <c r="GX369" i="1" s="1"/>
  <c r="I370" i="1"/>
  <c r="S370" i="1"/>
  <c r="CY370" i="1" s="1"/>
  <c r="X370" i="1" s="1"/>
  <c r="W370" i="1"/>
  <c r="AC370" i="1"/>
  <c r="AE370" i="1"/>
  <c r="AF370" i="1"/>
  <c r="AG370" i="1"/>
  <c r="CU370" i="1" s="1"/>
  <c r="T370" i="1" s="1"/>
  <c r="AH370" i="1"/>
  <c r="AI370" i="1"/>
  <c r="CW370" i="1" s="1"/>
  <c r="V370" i="1" s="1"/>
  <c r="AJ370" i="1"/>
  <c r="CR370" i="1"/>
  <c r="Q370" i="1" s="1"/>
  <c r="CT370" i="1"/>
  <c r="CV370" i="1"/>
  <c r="U370" i="1" s="1"/>
  <c r="CX370" i="1"/>
  <c r="CZ370" i="1"/>
  <c r="Y370" i="1" s="1"/>
  <c r="FR370" i="1"/>
  <c r="GL370" i="1"/>
  <c r="GN370" i="1"/>
  <c r="GO370" i="1"/>
  <c r="GV370" i="1"/>
  <c r="HC370" i="1"/>
  <c r="GX370" i="1" s="1"/>
  <c r="I371" i="1"/>
  <c r="S371" i="1"/>
  <c r="CY371" i="1" s="1"/>
  <c r="X371" i="1" s="1"/>
  <c r="W371" i="1"/>
  <c r="AC371" i="1"/>
  <c r="AE371" i="1"/>
  <c r="AF371" i="1"/>
  <c r="AG371" i="1"/>
  <c r="CU371" i="1" s="1"/>
  <c r="T371" i="1" s="1"/>
  <c r="AH371" i="1"/>
  <c r="AI371" i="1"/>
  <c r="CW371" i="1" s="1"/>
  <c r="V371" i="1" s="1"/>
  <c r="AJ371" i="1"/>
  <c r="CR371" i="1"/>
  <c r="Q371" i="1" s="1"/>
  <c r="CT371" i="1"/>
  <c r="CV371" i="1"/>
  <c r="U371" i="1" s="1"/>
  <c r="CX371" i="1"/>
  <c r="CZ371" i="1"/>
  <c r="Y371" i="1" s="1"/>
  <c r="FR371" i="1"/>
  <c r="GL371" i="1"/>
  <c r="GN371" i="1"/>
  <c r="GO371" i="1"/>
  <c r="GV371" i="1"/>
  <c r="HC371" i="1"/>
  <c r="GX371" i="1" s="1"/>
  <c r="B373" i="1"/>
  <c r="B359" i="1" s="1"/>
  <c r="C373" i="1"/>
  <c r="C359" i="1" s="1"/>
  <c r="D373" i="1"/>
  <c r="D359" i="1" s="1"/>
  <c r="F373" i="1"/>
  <c r="F359" i="1" s="1"/>
  <c r="G373" i="1"/>
  <c r="AQ373" i="1"/>
  <c r="AQ359" i="1" s="1"/>
  <c r="BC373" i="1"/>
  <c r="BC359" i="1" s="1"/>
  <c r="BX373" i="1"/>
  <c r="BX359" i="1" s="1"/>
  <c r="BY373" i="1"/>
  <c r="BY359" i="1" s="1"/>
  <c r="BZ373" i="1"/>
  <c r="BZ359" i="1" s="1"/>
  <c r="CB373" i="1"/>
  <c r="CB359" i="1" s="1"/>
  <c r="CJ373" i="1"/>
  <c r="CJ359" i="1" s="1"/>
  <c r="CK373" i="1"/>
  <c r="CK359" i="1" s="1"/>
  <c r="CL373" i="1"/>
  <c r="CL359" i="1" s="1"/>
  <c r="CM373" i="1"/>
  <c r="BD373" i="1" s="1"/>
  <c r="F398" i="1" s="1"/>
  <c r="F383" i="1"/>
  <c r="D403" i="1"/>
  <c r="E405" i="1"/>
  <c r="F405" i="1"/>
  <c r="Z405" i="1"/>
  <c r="AA405" i="1"/>
  <c r="AM405" i="1"/>
  <c r="AN405" i="1"/>
  <c r="BE405" i="1"/>
  <c r="BF405" i="1"/>
  <c r="BG405" i="1"/>
  <c r="BH405" i="1"/>
  <c r="BI405" i="1"/>
  <c r="BJ405" i="1"/>
  <c r="BK405" i="1"/>
  <c r="BL405" i="1"/>
  <c r="BM405" i="1"/>
  <c r="BN405" i="1"/>
  <c r="BO405" i="1"/>
  <c r="BP405" i="1"/>
  <c r="BQ405" i="1"/>
  <c r="BR405" i="1"/>
  <c r="BS405" i="1"/>
  <c r="BT405" i="1"/>
  <c r="BU405" i="1"/>
  <c r="BV405" i="1"/>
  <c r="BW405" i="1"/>
  <c r="CM405" i="1"/>
  <c r="CN405" i="1"/>
  <c r="CO405" i="1"/>
  <c r="CP405" i="1"/>
  <c r="CQ405" i="1"/>
  <c r="CR405" i="1"/>
  <c r="CS405" i="1"/>
  <c r="CT405" i="1"/>
  <c r="CU405" i="1"/>
  <c r="CV405" i="1"/>
  <c r="CW405" i="1"/>
  <c r="CX405" i="1"/>
  <c r="CY405" i="1"/>
  <c r="CZ405" i="1"/>
  <c r="DA405" i="1"/>
  <c r="DB405" i="1"/>
  <c r="DC405" i="1"/>
  <c r="DD405" i="1"/>
  <c r="DE405" i="1"/>
  <c r="DF405" i="1"/>
  <c r="DG405" i="1"/>
  <c r="DH405" i="1"/>
  <c r="DI405" i="1"/>
  <c r="DJ405" i="1"/>
  <c r="DK405" i="1"/>
  <c r="DL405" i="1"/>
  <c r="DM405" i="1"/>
  <c r="DN405" i="1"/>
  <c r="DO405" i="1"/>
  <c r="DP405" i="1"/>
  <c r="DQ405" i="1"/>
  <c r="DR405" i="1"/>
  <c r="DS405" i="1"/>
  <c r="DT405" i="1"/>
  <c r="DU405" i="1"/>
  <c r="DV405" i="1"/>
  <c r="DW405" i="1"/>
  <c r="DX405" i="1"/>
  <c r="DY405" i="1"/>
  <c r="DZ405" i="1"/>
  <c r="EA405" i="1"/>
  <c r="EB405" i="1"/>
  <c r="EC405" i="1"/>
  <c r="ED405" i="1"/>
  <c r="EE405" i="1"/>
  <c r="EF405" i="1"/>
  <c r="EG405" i="1"/>
  <c r="EH405" i="1"/>
  <c r="EI405" i="1"/>
  <c r="EJ405" i="1"/>
  <c r="EK405" i="1"/>
  <c r="EL405" i="1"/>
  <c r="EM405" i="1"/>
  <c r="EN405" i="1"/>
  <c r="EO405" i="1"/>
  <c r="EP405" i="1"/>
  <c r="EQ405" i="1"/>
  <c r="ER405" i="1"/>
  <c r="ES405" i="1"/>
  <c r="ET405" i="1"/>
  <c r="EU405" i="1"/>
  <c r="EV405" i="1"/>
  <c r="EW405" i="1"/>
  <c r="EX405" i="1"/>
  <c r="EY405" i="1"/>
  <c r="EZ405" i="1"/>
  <c r="FA405" i="1"/>
  <c r="FB405" i="1"/>
  <c r="FC405" i="1"/>
  <c r="FD405" i="1"/>
  <c r="FE405" i="1"/>
  <c r="FF405" i="1"/>
  <c r="FG405" i="1"/>
  <c r="FH405" i="1"/>
  <c r="FI405" i="1"/>
  <c r="FJ405" i="1"/>
  <c r="FK405" i="1"/>
  <c r="FL405" i="1"/>
  <c r="FM405" i="1"/>
  <c r="FN405" i="1"/>
  <c r="FO405" i="1"/>
  <c r="FP405" i="1"/>
  <c r="FQ405" i="1"/>
  <c r="FR405" i="1"/>
  <c r="FS405" i="1"/>
  <c r="FT405" i="1"/>
  <c r="FU405" i="1"/>
  <c r="FV405" i="1"/>
  <c r="FW405" i="1"/>
  <c r="FX405" i="1"/>
  <c r="FY405" i="1"/>
  <c r="FZ405" i="1"/>
  <c r="GA405" i="1"/>
  <c r="GB405" i="1"/>
  <c r="GC405" i="1"/>
  <c r="GD405" i="1"/>
  <c r="GE405" i="1"/>
  <c r="GF405" i="1"/>
  <c r="GG405" i="1"/>
  <c r="GH405" i="1"/>
  <c r="GI405" i="1"/>
  <c r="GJ405" i="1"/>
  <c r="GK405" i="1"/>
  <c r="GL405" i="1"/>
  <c r="GM405" i="1"/>
  <c r="GN405" i="1"/>
  <c r="GO405" i="1"/>
  <c r="GP405" i="1"/>
  <c r="GQ405" i="1"/>
  <c r="GR405" i="1"/>
  <c r="GS405" i="1"/>
  <c r="GT405" i="1"/>
  <c r="GU405" i="1"/>
  <c r="GV405" i="1"/>
  <c r="GW405" i="1"/>
  <c r="GX405" i="1"/>
  <c r="C407" i="1"/>
  <c r="D407" i="1"/>
  <c r="I407" i="1"/>
  <c r="P407" i="1" s="1"/>
  <c r="R407" i="1"/>
  <c r="V407" i="1"/>
  <c r="AC407" i="1"/>
  <c r="AD407" i="1"/>
  <c r="AE407" i="1"/>
  <c r="AF407" i="1"/>
  <c r="CT407" i="1" s="1"/>
  <c r="S407" i="1" s="1"/>
  <c r="CZ407" i="1" s="1"/>
  <c r="Y407" i="1" s="1"/>
  <c r="AG407" i="1"/>
  <c r="AH407" i="1"/>
  <c r="CV407" i="1" s="1"/>
  <c r="U407" i="1" s="1"/>
  <c r="AI407" i="1"/>
  <c r="AJ407" i="1"/>
  <c r="CX407" i="1" s="1"/>
  <c r="W407" i="1" s="1"/>
  <c r="CQ407" i="1"/>
  <c r="CR407" i="1"/>
  <c r="Q407" i="1" s="1"/>
  <c r="CS407" i="1"/>
  <c r="CU407" i="1"/>
  <c r="T407" i="1" s="1"/>
  <c r="CW407" i="1"/>
  <c r="FR407" i="1"/>
  <c r="GL407" i="1"/>
  <c r="GN407" i="1"/>
  <c r="GO407" i="1"/>
  <c r="GV407" i="1"/>
  <c r="HC407" i="1" s="1"/>
  <c r="GX407" i="1" s="1"/>
  <c r="I408" i="1"/>
  <c r="GX408" i="1" s="1"/>
  <c r="R408" i="1"/>
  <c r="GK408" i="1" s="1"/>
  <c r="V408" i="1"/>
  <c r="AC408" i="1"/>
  <c r="AD408" i="1"/>
  <c r="AE408" i="1"/>
  <c r="AF408" i="1"/>
  <c r="CT408" i="1" s="1"/>
  <c r="S408" i="1" s="1"/>
  <c r="CZ408" i="1" s="1"/>
  <c r="Y408" i="1" s="1"/>
  <c r="AG408" i="1"/>
  <c r="AH408" i="1"/>
  <c r="CV408" i="1" s="1"/>
  <c r="U408" i="1" s="1"/>
  <c r="AI408" i="1"/>
  <c r="AJ408" i="1"/>
  <c r="CX408" i="1" s="1"/>
  <c r="W408" i="1" s="1"/>
  <c r="CQ408" i="1"/>
  <c r="CR408" i="1"/>
  <c r="Q408" i="1" s="1"/>
  <c r="CS408" i="1"/>
  <c r="CU408" i="1"/>
  <c r="T408" i="1" s="1"/>
  <c r="CW408" i="1"/>
  <c r="FR408" i="1"/>
  <c r="GL408" i="1"/>
  <c r="GN408" i="1"/>
  <c r="GO408" i="1"/>
  <c r="GV408" i="1"/>
  <c r="HC408" i="1"/>
  <c r="AC409" i="1"/>
  <c r="AD409" i="1"/>
  <c r="AB409" i="1" s="1"/>
  <c r="AE409" i="1"/>
  <c r="AF409" i="1"/>
  <c r="CT409" i="1" s="1"/>
  <c r="AG409" i="1"/>
  <c r="AH409" i="1"/>
  <c r="CV409" i="1" s="1"/>
  <c r="AI409" i="1"/>
  <c r="AJ409" i="1"/>
  <c r="CX409" i="1" s="1"/>
  <c r="CQ409" i="1"/>
  <c r="CR409" i="1"/>
  <c r="CS409" i="1"/>
  <c r="CU409" i="1"/>
  <c r="CW409" i="1"/>
  <c r="FR409" i="1"/>
  <c r="BY418" i="1" s="1"/>
  <c r="GL409" i="1"/>
  <c r="GN409" i="1"/>
  <c r="GO409" i="1"/>
  <c r="GV409" i="1"/>
  <c r="HC409" i="1" s="1"/>
  <c r="AC410" i="1"/>
  <c r="AD410" i="1"/>
  <c r="AB410" i="1" s="1"/>
  <c r="AE410" i="1"/>
  <c r="AF410" i="1"/>
  <c r="CT410" i="1" s="1"/>
  <c r="AG410" i="1"/>
  <c r="AH410" i="1"/>
  <c r="CV410" i="1" s="1"/>
  <c r="AI410" i="1"/>
  <c r="AJ410" i="1"/>
  <c r="CX410" i="1" s="1"/>
  <c r="CQ410" i="1"/>
  <c r="CR410" i="1"/>
  <c r="CS410" i="1"/>
  <c r="CU410" i="1"/>
  <c r="CW410" i="1"/>
  <c r="FR410" i="1"/>
  <c r="GL410" i="1"/>
  <c r="GN410" i="1"/>
  <c r="GO410" i="1"/>
  <c r="GV410" i="1"/>
  <c r="HC410" i="1" s="1"/>
  <c r="AC411" i="1"/>
  <c r="AD411" i="1"/>
  <c r="AB411" i="1" s="1"/>
  <c r="AE411" i="1"/>
  <c r="AF411" i="1"/>
  <c r="CT411" i="1" s="1"/>
  <c r="AG411" i="1"/>
  <c r="AH411" i="1"/>
  <c r="CV411" i="1" s="1"/>
  <c r="AI411" i="1"/>
  <c r="AJ411" i="1"/>
  <c r="CX411" i="1" s="1"/>
  <c r="CQ411" i="1"/>
  <c r="CR411" i="1"/>
  <c r="CS411" i="1"/>
  <c r="CU411" i="1"/>
  <c r="CW411" i="1"/>
  <c r="FR411" i="1"/>
  <c r="GL411" i="1"/>
  <c r="GN411" i="1"/>
  <c r="GO411" i="1"/>
  <c r="GV411" i="1"/>
  <c r="HC411" i="1" s="1"/>
  <c r="AC412" i="1"/>
  <c r="AD412" i="1"/>
  <c r="AB412" i="1" s="1"/>
  <c r="AE412" i="1"/>
  <c r="AF412" i="1"/>
  <c r="CT412" i="1" s="1"/>
  <c r="AG412" i="1"/>
  <c r="AH412" i="1"/>
  <c r="CV412" i="1" s="1"/>
  <c r="AI412" i="1"/>
  <c r="AJ412" i="1"/>
  <c r="CX412" i="1" s="1"/>
  <c r="CQ412" i="1"/>
  <c r="CR412" i="1"/>
  <c r="CS412" i="1"/>
  <c r="CU412" i="1"/>
  <c r="CW412" i="1"/>
  <c r="FR412" i="1"/>
  <c r="GL412" i="1"/>
  <c r="GN412" i="1"/>
  <c r="GO412" i="1"/>
  <c r="GV412" i="1"/>
  <c r="HC412" i="1"/>
  <c r="I413" i="1"/>
  <c r="R413" i="1" s="1"/>
  <c r="GK413" i="1" s="1"/>
  <c r="V413" i="1"/>
  <c r="AC413" i="1"/>
  <c r="AD413" i="1"/>
  <c r="AB413" i="1" s="1"/>
  <c r="AE413" i="1"/>
  <c r="AF413" i="1"/>
  <c r="CT413" i="1" s="1"/>
  <c r="AG413" i="1"/>
  <c r="AH413" i="1"/>
  <c r="CV413" i="1" s="1"/>
  <c r="U413" i="1" s="1"/>
  <c r="AI413" i="1"/>
  <c r="AJ413" i="1"/>
  <c r="CX413" i="1" s="1"/>
  <c r="CQ413" i="1"/>
  <c r="P413" i="1" s="1"/>
  <c r="CR413" i="1"/>
  <c r="Q413" i="1" s="1"/>
  <c r="CS413" i="1"/>
  <c r="CU413" i="1"/>
  <c r="T413" i="1" s="1"/>
  <c r="CW413" i="1"/>
  <c r="FR413" i="1"/>
  <c r="GL413" i="1"/>
  <c r="GN413" i="1"/>
  <c r="GO413" i="1"/>
  <c r="GV413" i="1"/>
  <c r="HC413" i="1" s="1"/>
  <c r="GX413" i="1" s="1"/>
  <c r="I414" i="1"/>
  <c r="R414" i="1" s="1"/>
  <c r="GK414" i="1" s="1"/>
  <c r="AC414" i="1"/>
  <c r="AD414" i="1"/>
  <c r="AB414" i="1" s="1"/>
  <c r="AE414" i="1"/>
  <c r="AF414" i="1"/>
  <c r="CT414" i="1" s="1"/>
  <c r="AG414" i="1"/>
  <c r="AH414" i="1"/>
  <c r="CV414" i="1" s="1"/>
  <c r="U414" i="1" s="1"/>
  <c r="AI414" i="1"/>
  <c r="AJ414" i="1"/>
  <c r="CX414" i="1" s="1"/>
  <c r="CQ414" i="1"/>
  <c r="P414" i="1" s="1"/>
  <c r="CR414" i="1"/>
  <c r="Q414" i="1" s="1"/>
  <c r="CS414" i="1"/>
  <c r="CU414" i="1"/>
  <c r="T414" i="1" s="1"/>
  <c r="CW414" i="1"/>
  <c r="FR414" i="1"/>
  <c r="GL414" i="1"/>
  <c r="GN414" i="1"/>
  <c r="GO414" i="1"/>
  <c r="GV414" i="1"/>
  <c r="HC414" i="1" s="1"/>
  <c r="GX414" i="1" s="1"/>
  <c r="I415" i="1"/>
  <c r="V415" i="1" s="1"/>
  <c r="AC415" i="1"/>
  <c r="AD415" i="1"/>
  <c r="AB415" i="1" s="1"/>
  <c r="AE415" i="1"/>
  <c r="AF415" i="1"/>
  <c r="CT415" i="1" s="1"/>
  <c r="AG415" i="1"/>
  <c r="AH415" i="1"/>
  <c r="CV415" i="1" s="1"/>
  <c r="U415" i="1" s="1"/>
  <c r="AI415" i="1"/>
  <c r="AJ415" i="1"/>
  <c r="CX415" i="1" s="1"/>
  <c r="CQ415" i="1"/>
  <c r="P415" i="1" s="1"/>
  <c r="CR415" i="1"/>
  <c r="Q415" i="1" s="1"/>
  <c r="CS415" i="1"/>
  <c r="CU415" i="1"/>
  <c r="T415" i="1" s="1"/>
  <c r="CW415" i="1"/>
  <c r="FR415" i="1"/>
  <c r="GL415" i="1"/>
  <c r="GN415" i="1"/>
  <c r="GO415" i="1"/>
  <c r="GV415" i="1"/>
  <c r="HC415" i="1"/>
  <c r="AC416" i="1"/>
  <c r="AD416" i="1"/>
  <c r="AE416" i="1"/>
  <c r="AF416" i="1"/>
  <c r="CT416" i="1" s="1"/>
  <c r="AG416" i="1"/>
  <c r="AH416" i="1"/>
  <c r="CV416" i="1" s="1"/>
  <c r="AI416" i="1"/>
  <c r="AJ416" i="1"/>
  <c r="CX416" i="1" s="1"/>
  <c r="CQ416" i="1"/>
  <c r="CR416" i="1"/>
  <c r="CS416" i="1"/>
  <c r="CU416" i="1"/>
  <c r="CW416" i="1"/>
  <c r="FR416" i="1"/>
  <c r="GL416" i="1"/>
  <c r="GN416" i="1"/>
  <c r="GO416" i="1"/>
  <c r="GV416" i="1"/>
  <c r="HC416" i="1"/>
  <c r="B418" i="1"/>
  <c r="B405" i="1" s="1"/>
  <c r="C418" i="1"/>
  <c r="C405" i="1" s="1"/>
  <c r="D418" i="1"/>
  <c r="D405" i="1" s="1"/>
  <c r="F418" i="1"/>
  <c r="G418" i="1"/>
  <c r="G405" i="1" s="1"/>
  <c r="AT418" i="1"/>
  <c r="AT405" i="1" s="1"/>
  <c r="BB418" i="1"/>
  <c r="BB405" i="1" s="1"/>
  <c r="BX418" i="1"/>
  <c r="BX405" i="1" s="1"/>
  <c r="CC418" i="1"/>
  <c r="CC405" i="1" s="1"/>
  <c r="CK418" i="1"/>
  <c r="CK405" i="1" s="1"/>
  <c r="CL418" i="1"/>
  <c r="CM418" i="1"/>
  <c r="BD418" i="1" s="1"/>
  <c r="D448" i="1"/>
  <c r="D450" i="1"/>
  <c r="E450" i="1"/>
  <c r="Z450" i="1"/>
  <c r="AA450" i="1"/>
  <c r="AM450" i="1"/>
  <c r="AN450" i="1"/>
  <c r="BE450" i="1"/>
  <c r="BF450" i="1"/>
  <c r="BG450" i="1"/>
  <c r="BH450" i="1"/>
  <c r="BI450" i="1"/>
  <c r="BJ450" i="1"/>
  <c r="BK450" i="1"/>
  <c r="BL450" i="1"/>
  <c r="BM450" i="1"/>
  <c r="BN450" i="1"/>
  <c r="BO450" i="1"/>
  <c r="BP450" i="1"/>
  <c r="BQ450" i="1"/>
  <c r="BR450" i="1"/>
  <c r="BS450" i="1"/>
  <c r="BT450" i="1"/>
  <c r="BU450" i="1"/>
  <c r="BV450" i="1"/>
  <c r="BW450" i="1"/>
  <c r="CM450" i="1"/>
  <c r="CN450" i="1"/>
  <c r="CO450" i="1"/>
  <c r="CP450" i="1"/>
  <c r="CQ450" i="1"/>
  <c r="CR450" i="1"/>
  <c r="CS450" i="1"/>
  <c r="CT450" i="1"/>
  <c r="CU450" i="1"/>
  <c r="CV450" i="1"/>
  <c r="CW450" i="1"/>
  <c r="CX450" i="1"/>
  <c r="CY450" i="1"/>
  <c r="CZ450" i="1"/>
  <c r="DA450" i="1"/>
  <c r="DB450" i="1"/>
  <c r="DC450" i="1"/>
  <c r="DD450" i="1"/>
  <c r="DE450" i="1"/>
  <c r="DF450" i="1"/>
  <c r="DG450" i="1"/>
  <c r="DH450" i="1"/>
  <c r="DI450" i="1"/>
  <c r="DJ450" i="1"/>
  <c r="DK450" i="1"/>
  <c r="DL450" i="1"/>
  <c r="DM450" i="1"/>
  <c r="DN450" i="1"/>
  <c r="DO450" i="1"/>
  <c r="DP450" i="1"/>
  <c r="DQ450" i="1"/>
  <c r="DR450" i="1"/>
  <c r="DS450" i="1"/>
  <c r="DT450" i="1"/>
  <c r="DU450" i="1"/>
  <c r="DV450" i="1"/>
  <c r="DW450" i="1"/>
  <c r="DX450" i="1"/>
  <c r="DY450" i="1"/>
  <c r="DZ450" i="1"/>
  <c r="EA450" i="1"/>
  <c r="EB450" i="1"/>
  <c r="EC450" i="1"/>
  <c r="ED450" i="1"/>
  <c r="EE450" i="1"/>
  <c r="EF450" i="1"/>
  <c r="EG450" i="1"/>
  <c r="EH450" i="1"/>
  <c r="EI450" i="1"/>
  <c r="EJ450" i="1"/>
  <c r="EK450" i="1"/>
  <c r="EL450" i="1"/>
  <c r="EM450" i="1"/>
  <c r="EN450" i="1"/>
  <c r="EO450" i="1"/>
  <c r="EP450" i="1"/>
  <c r="EQ450" i="1"/>
  <c r="ER450" i="1"/>
  <c r="ES450" i="1"/>
  <c r="ET450" i="1"/>
  <c r="EU450" i="1"/>
  <c r="EV450" i="1"/>
  <c r="EW450" i="1"/>
  <c r="EX450" i="1"/>
  <c r="EY450" i="1"/>
  <c r="EZ450" i="1"/>
  <c r="FA450" i="1"/>
  <c r="FB450" i="1"/>
  <c r="FC450" i="1"/>
  <c r="FD450" i="1"/>
  <c r="FE450" i="1"/>
  <c r="FF450" i="1"/>
  <c r="FG450" i="1"/>
  <c r="FH450" i="1"/>
  <c r="FI450" i="1"/>
  <c r="FJ450" i="1"/>
  <c r="FK450" i="1"/>
  <c r="FL450" i="1"/>
  <c r="FM450" i="1"/>
  <c r="FN450" i="1"/>
  <c r="FO450" i="1"/>
  <c r="FP450" i="1"/>
  <c r="FQ450" i="1"/>
  <c r="FR450" i="1"/>
  <c r="FS450" i="1"/>
  <c r="FT450" i="1"/>
  <c r="FU450" i="1"/>
  <c r="FV450" i="1"/>
  <c r="FW450" i="1"/>
  <c r="FX450" i="1"/>
  <c r="FY450" i="1"/>
  <c r="FZ450" i="1"/>
  <c r="GA450" i="1"/>
  <c r="GB450" i="1"/>
  <c r="GC450" i="1"/>
  <c r="GD450" i="1"/>
  <c r="GE450" i="1"/>
  <c r="GF450" i="1"/>
  <c r="GG450" i="1"/>
  <c r="GH450" i="1"/>
  <c r="GI450" i="1"/>
  <c r="GJ450" i="1"/>
  <c r="GK450" i="1"/>
  <c r="GL450" i="1"/>
  <c r="GM450" i="1"/>
  <c r="GN450" i="1"/>
  <c r="GO450" i="1"/>
  <c r="GP450" i="1"/>
  <c r="GQ450" i="1"/>
  <c r="GR450" i="1"/>
  <c r="GS450" i="1"/>
  <c r="GT450" i="1"/>
  <c r="GU450" i="1"/>
  <c r="GV450" i="1"/>
  <c r="GW450" i="1"/>
  <c r="GX450" i="1"/>
  <c r="C452" i="1"/>
  <c r="D452" i="1"/>
  <c r="I452" i="1"/>
  <c r="AC452" i="1"/>
  <c r="AD452" i="1"/>
  <c r="AB452" i="1" s="1"/>
  <c r="AE452" i="1"/>
  <c r="AF452" i="1"/>
  <c r="CT452" i="1" s="1"/>
  <c r="S452" i="1" s="1"/>
  <c r="AG452" i="1"/>
  <c r="AH452" i="1"/>
  <c r="CV452" i="1" s="1"/>
  <c r="U452" i="1" s="1"/>
  <c r="AI452" i="1"/>
  <c r="AJ452" i="1"/>
  <c r="CX452" i="1" s="1"/>
  <c r="W452" i="1" s="1"/>
  <c r="CQ452" i="1"/>
  <c r="P452" i="1" s="1"/>
  <c r="CR452" i="1"/>
  <c r="Q452" i="1" s="1"/>
  <c r="CS452" i="1"/>
  <c r="R452" i="1" s="1"/>
  <c r="CU452" i="1"/>
  <c r="T452" i="1" s="1"/>
  <c r="CW452" i="1"/>
  <c r="V452" i="1" s="1"/>
  <c r="FR452" i="1"/>
  <c r="GL452" i="1"/>
  <c r="BZ464" i="1" s="1"/>
  <c r="GN452" i="1"/>
  <c r="CB464" i="1" s="1"/>
  <c r="GO452" i="1"/>
  <c r="GV452" i="1"/>
  <c r="HC452" i="1" s="1"/>
  <c r="GX452" i="1" s="1"/>
  <c r="I453" i="1"/>
  <c r="AC453" i="1"/>
  <c r="AD453" i="1"/>
  <c r="AE453" i="1"/>
  <c r="AF453" i="1"/>
  <c r="CT453" i="1" s="1"/>
  <c r="S453" i="1" s="1"/>
  <c r="AG453" i="1"/>
  <c r="AH453" i="1"/>
  <c r="CV453" i="1" s="1"/>
  <c r="U453" i="1" s="1"/>
  <c r="AI453" i="1"/>
  <c r="AJ453" i="1"/>
  <c r="CX453" i="1" s="1"/>
  <c r="W453" i="1" s="1"/>
  <c r="CQ453" i="1"/>
  <c r="P453" i="1" s="1"/>
  <c r="CR453" i="1"/>
  <c r="Q453" i="1" s="1"/>
  <c r="CS453" i="1"/>
  <c r="R453" i="1" s="1"/>
  <c r="GK453" i="1" s="1"/>
  <c r="CU453" i="1"/>
  <c r="T453" i="1" s="1"/>
  <c r="CW453" i="1"/>
  <c r="V453" i="1" s="1"/>
  <c r="FR453" i="1"/>
  <c r="GL453" i="1"/>
  <c r="GN453" i="1"/>
  <c r="GO453" i="1"/>
  <c r="GV453" i="1"/>
  <c r="GX453" i="1"/>
  <c r="HC453" i="1"/>
  <c r="I454" i="1"/>
  <c r="AC454" i="1"/>
  <c r="AD454" i="1"/>
  <c r="AB454" i="1" s="1"/>
  <c r="AE454" i="1"/>
  <c r="AF454" i="1"/>
  <c r="CT454" i="1" s="1"/>
  <c r="S454" i="1" s="1"/>
  <c r="AG454" i="1"/>
  <c r="AH454" i="1"/>
  <c r="CV454" i="1" s="1"/>
  <c r="U454" i="1" s="1"/>
  <c r="AI454" i="1"/>
  <c r="AJ454" i="1"/>
  <c r="CX454" i="1" s="1"/>
  <c r="W454" i="1" s="1"/>
  <c r="CQ454" i="1"/>
  <c r="P454" i="1" s="1"/>
  <c r="CP454" i="1" s="1"/>
  <c r="O454" i="1" s="1"/>
  <c r="CR454" i="1"/>
  <c r="Q454" i="1" s="1"/>
  <c r="CS454" i="1"/>
  <c r="R454" i="1" s="1"/>
  <c r="GK454" i="1" s="1"/>
  <c r="CU454" i="1"/>
  <c r="T454" i="1" s="1"/>
  <c r="CW454" i="1"/>
  <c r="V454" i="1" s="1"/>
  <c r="FR454" i="1"/>
  <c r="GL454" i="1"/>
  <c r="GN454" i="1"/>
  <c r="GO454" i="1"/>
  <c r="GV454" i="1"/>
  <c r="HC454" i="1" s="1"/>
  <c r="GX454" i="1" s="1"/>
  <c r="I455" i="1"/>
  <c r="AC455" i="1"/>
  <c r="AD455" i="1"/>
  <c r="AE455" i="1"/>
  <c r="AF455" i="1"/>
  <c r="CT455" i="1" s="1"/>
  <c r="S455" i="1" s="1"/>
  <c r="AG455" i="1"/>
  <c r="AH455" i="1"/>
  <c r="CV455" i="1" s="1"/>
  <c r="U455" i="1" s="1"/>
  <c r="AI455" i="1"/>
  <c r="AJ455" i="1"/>
  <c r="CX455" i="1" s="1"/>
  <c r="W455" i="1" s="1"/>
  <c r="CQ455" i="1"/>
  <c r="P455" i="1" s="1"/>
  <c r="CR455" i="1"/>
  <c r="Q455" i="1" s="1"/>
  <c r="CS455" i="1"/>
  <c r="R455" i="1" s="1"/>
  <c r="GK455" i="1" s="1"/>
  <c r="CU455" i="1"/>
  <c r="T455" i="1" s="1"/>
  <c r="CW455" i="1"/>
  <c r="V455" i="1" s="1"/>
  <c r="FR455" i="1"/>
  <c r="GL455" i="1"/>
  <c r="GN455" i="1"/>
  <c r="GO455" i="1"/>
  <c r="GV455" i="1"/>
  <c r="HC455" i="1" s="1"/>
  <c r="GX455" i="1" s="1"/>
  <c r="I456" i="1"/>
  <c r="AC456" i="1"/>
  <c r="AD456" i="1"/>
  <c r="AB456" i="1" s="1"/>
  <c r="AE456" i="1"/>
  <c r="AF456" i="1"/>
  <c r="CT456" i="1" s="1"/>
  <c r="S456" i="1" s="1"/>
  <c r="AG456" i="1"/>
  <c r="AH456" i="1"/>
  <c r="CV456" i="1" s="1"/>
  <c r="U456" i="1" s="1"/>
  <c r="AI456" i="1"/>
  <c r="AJ456" i="1"/>
  <c r="CX456" i="1" s="1"/>
  <c r="W456" i="1" s="1"/>
  <c r="CQ456" i="1"/>
  <c r="P456" i="1" s="1"/>
  <c r="CP456" i="1" s="1"/>
  <c r="O456" i="1" s="1"/>
  <c r="CR456" i="1"/>
  <c r="Q456" i="1" s="1"/>
  <c r="CS456" i="1"/>
  <c r="R456" i="1" s="1"/>
  <c r="GK456" i="1" s="1"/>
  <c r="CU456" i="1"/>
  <c r="T456" i="1" s="1"/>
  <c r="CW456" i="1"/>
  <c r="V456" i="1" s="1"/>
  <c r="FR456" i="1"/>
  <c r="GL456" i="1"/>
  <c r="GN456" i="1"/>
  <c r="GO456" i="1"/>
  <c r="GV456" i="1"/>
  <c r="HC456" i="1" s="1"/>
  <c r="GX456" i="1" s="1"/>
  <c r="I457" i="1"/>
  <c r="AC457" i="1"/>
  <c r="AD457" i="1"/>
  <c r="AE457" i="1"/>
  <c r="AF457" i="1"/>
  <c r="CT457" i="1" s="1"/>
  <c r="S457" i="1" s="1"/>
  <c r="AG457" i="1"/>
  <c r="AH457" i="1"/>
  <c r="CV457" i="1" s="1"/>
  <c r="U457" i="1" s="1"/>
  <c r="AI457" i="1"/>
  <c r="AJ457" i="1"/>
  <c r="CX457" i="1" s="1"/>
  <c r="W457" i="1" s="1"/>
  <c r="CQ457" i="1"/>
  <c r="P457" i="1" s="1"/>
  <c r="CR457" i="1"/>
  <c r="Q457" i="1" s="1"/>
  <c r="CS457" i="1"/>
  <c r="R457" i="1" s="1"/>
  <c r="GK457" i="1" s="1"/>
  <c r="CU457" i="1"/>
  <c r="T457" i="1" s="1"/>
  <c r="CW457" i="1"/>
  <c r="V457" i="1" s="1"/>
  <c r="FR457" i="1"/>
  <c r="GL457" i="1"/>
  <c r="GN457" i="1"/>
  <c r="GO457" i="1"/>
  <c r="GV457" i="1"/>
  <c r="GX457" i="1"/>
  <c r="HC457" i="1"/>
  <c r="I458" i="1"/>
  <c r="AC458" i="1"/>
  <c r="AD458" i="1"/>
  <c r="AB458" i="1" s="1"/>
  <c r="AE458" i="1"/>
  <c r="AF458" i="1"/>
  <c r="CT458" i="1" s="1"/>
  <c r="S458" i="1" s="1"/>
  <c r="AG458" i="1"/>
  <c r="AH458" i="1"/>
  <c r="CV458" i="1" s="1"/>
  <c r="U458" i="1" s="1"/>
  <c r="AI458" i="1"/>
  <c r="AJ458" i="1"/>
  <c r="CX458" i="1" s="1"/>
  <c r="W458" i="1" s="1"/>
  <c r="CQ458" i="1"/>
  <c r="P458" i="1" s="1"/>
  <c r="CP458" i="1" s="1"/>
  <c r="O458" i="1" s="1"/>
  <c r="CR458" i="1"/>
  <c r="Q458" i="1" s="1"/>
  <c r="CS458" i="1"/>
  <c r="R458" i="1" s="1"/>
  <c r="GK458" i="1" s="1"/>
  <c r="CU458" i="1"/>
  <c r="T458" i="1" s="1"/>
  <c r="CW458" i="1"/>
  <c r="V458" i="1" s="1"/>
  <c r="FR458" i="1"/>
  <c r="GL458" i="1"/>
  <c r="GN458" i="1"/>
  <c r="GO458" i="1"/>
  <c r="GV458" i="1"/>
  <c r="GX458" i="1"/>
  <c r="HC458" i="1"/>
  <c r="I459" i="1"/>
  <c r="AC459" i="1"/>
  <c r="AD459" i="1"/>
  <c r="AE459" i="1"/>
  <c r="AF459" i="1"/>
  <c r="CT459" i="1" s="1"/>
  <c r="S459" i="1" s="1"/>
  <c r="AG459" i="1"/>
  <c r="AH459" i="1"/>
  <c r="CV459" i="1" s="1"/>
  <c r="U459" i="1" s="1"/>
  <c r="AI459" i="1"/>
  <c r="AJ459" i="1"/>
  <c r="CX459" i="1" s="1"/>
  <c r="W459" i="1" s="1"/>
  <c r="CQ459" i="1"/>
  <c r="P459" i="1" s="1"/>
  <c r="CR459" i="1"/>
  <c r="Q459" i="1" s="1"/>
  <c r="CS459" i="1"/>
  <c r="R459" i="1" s="1"/>
  <c r="GK459" i="1" s="1"/>
  <c r="CU459" i="1"/>
  <c r="T459" i="1" s="1"/>
  <c r="CW459" i="1"/>
  <c r="V459" i="1" s="1"/>
  <c r="FR459" i="1"/>
  <c r="GL459" i="1"/>
  <c r="GN459" i="1"/>
  <c r="GO459" i="1"/>
  <c r="GV459" i="1"/>
  <c r="GX459" i="1"/>
  <c r="HC459" i="1"/>
  <c r="I460" i="1"/>
  <c r="AC460" i="1"/>
  <c r="AD460" i="1"/>
  <c r="AB460" i="1" s="1"/>
  <c r="AE460" i="1"/>
  <c r="AF460" i="1"/>
  <c r="CT460" i="1" s="1"/>
  <c r="S460" i="1" s="1"/>
  <c r="AG460" i="1"/>
  <c r="AH460" i="1"/>
  <c r="CV460" i="1" s="1"/>
  <c r="U460" i="1" s="1"/>
  <c r="AI460" i="1"/>
  <c r="AJ460" i="1"/>
  <c r="CX460" i="1" s="1"/>
  <c r="W460" i="1" s="1"/>
  <c r="CQ460" i="1"/>
  <c r="P460" i="1" s="1"/>
  <c r="CP460" i="1" s="1"/>
  <c r="O460" i="1" s="1"/>
  <c r="CR460" i="1"/>
  <c r="Q460" i="1" s="1"/>
  <c r="CS460" i="1"/>
  <c r="R460" i="1" s="1"/>
  <c r="GK460" i="1" s="1"/>
  <c r="CU460" i="1"/>
  <c r="T460" i="1" s="1"/>
  <c r="CW460" i="1"/>
  <c r="V460" i="1" s="1"/>
  <c r="FR460" i="1"/>
  <c r="GL460" i="1"/>
  <c r="GN460" i="1"/>
  <c r="GO460" i="1"/>
  <c r="GV460" i="1"/>
  <c r="HC460" i="1" s="1"/>
  <c r="GX460" i="1" s="1"/>
  <c r="I461" i="1"/>
  <c r="AC461" i="1"/>
  <c r="AD461" i="1"/>
  <c r="AE461" i="1"/>
  <c r="AF461" i="1"/>
  <c r="CT461" i="1" s="1"/>
  <c r="S461" i="1" s="1"/>
  <c r="AG461" i="1"/>
  <c r="AH461" i="1"/>
  <c r="CV461" i="1" s="1"/>
  <c r="U461" i="1" s="1"/>
  <c r="AI461" i="1"/>
  <c r="AJ461" i="1"/>
  <c r="CX461" i="1" s="1"/>
  <c r="W461" i="1" s="1"/>
  <c r="CQ461" i="1"/>
  <c r="P461" i="1" s="1"/>
  <c r="CR461" i="1"/>
  <c r="Q461" i="1" s="1"/>
  <c r="CS461" i="1"/>
  <c r="R461" i="1" s="1"/>
  <c r="GK461" i="1" s="1"/>
  <c r="CU461" i="1"/>
  <c r="T461" i="1" s="1"/>
  <c r="CW461" i="1"/>
  <c r="V461" i="1" s="1"/>
  <c r="FR461" i="1"/>
  <c r="GL461" i="1"/>
  <c r="GN461" i="1"/>
  <c r="GO461" i="1"/>
  <c r="GV461" i="1"/>
  <c r="GX461" i="1"/>
  <c r="HC461" i="1"/>
  <c r="I462" i="1"/>
  <c r="AC462" i="1"/>
  <c r="AD462" i="1"/>
  <c r="AB462" i="1" s="1"/>
  <c r="AE462" i="1"/>
  <c r="AF462" i="1"/>
  <c r="CT462" i="1" s="1"/>
  <c r="S462" i="1" s="1"/>
  <c r="AG462" i="1"/>
  <c r="AH462" i="1"/>
  <c r="CV462" i="1" s="1"/>
  <c r="U462" i="1" s="1"/>
  <c r="AI462" i="1"/>
  <c r="AJ462" i="1"/>
  <c r="CX462" i="1" s="1"/>
  <c r="W462" i="1" s="1"/>
  <c r="CQ462" i="1"/>
  <c r="P462" i="1" s="1"/>
  <c r="CP462" i="1" s="1"/>
  <c r="O462" i="1" s="1"/>
  <c r="CR462" i="1"/>
  <c r="Q462" i="1" s="1"/>
  <c r="CS462" i="1"/>
  <c r="R462" i="1" s="1"/>
  <c r="GK462" i="1" s="1"/>
  <c r="CU462" i="1"/>
  <c r="T462" i="1" s="1"/>
  <c r="CW462" i="1"/>
  <c r="V462" i="1" s="1"/>
  <c r="FR462" i="1"/>
  <c r="GL462" i="1"/>
  <c r="GN462" i="1"/>
  <c r="GO462" i="1"/>
  <c r="GV462" i="1"/>
  <c r="GX462" i="1"/>
  <c r="HC462" i="1"/>
  <c r="B464" i="1"/>
  <c r="B450" i="1" s="1"/>
  <c r="C464" i="1"/>
  <c r="C450" i="1" s="1"/>
  <c r="D464" i="1"/>
  <c r="F464" i="1"/>
  <c r="F450" i="1" s="1"/>
  <c r="G464" i="1"/>
  <c r="G450" i="1" s="1"/>
  <c r="BX464" i="1"/>
  <c r="BX450" i="1" s="1"/>
  <c r="BY464" i="1"/>
  <c r="BY450" i="1" s="1"/>
  <c r="CC464" i="1"/>
  <c r="CC450" i="1" s="1"/>
  <c r="CK464" i="1"/>
  <c r="CK450" i="1" s="1"/>
  <c r="CL464" i="1"/>
  <c r="BC464" i="1" s="1"/>
  <c r="CM464" i="1"/>
  <c r="BD464" i="1" s="1"/>
  <c r="D494" i="1"/>
  <c r="C496" i="1"/>
  <c r="E496" i="1"/>
  <c r="Z496" i="1"/>
  <c r="AA496" i="1"/>
  <c r="AM496" i="1"/>
  <c r="AN496" i="1"/>
  <c r="BE496" i="1"/>
  <c r="BF496" i="1"/>
  <c r="BG496" i="1"/>
  <c r="BH496" i="1"/>
  <c r="BI496" i="1"/>
  <c r="BJ496" i="1"/>
  <c r="BK496" i="1"/>
  <c r="BL496" i="1"/>
  <c r="BM496" i="1"/>
  <c r="BN496" i="1"/>
  <c r="BO496" i="1"/>
  <c r="BP496" i="1"/>
  <c r="BQ496" i="1"/>
  <c r="BR496" i="1"/>
  <c r="BS496" i="1"/>
  <c r="BT496" i="1"/>
  <c r="BU496" i="1"/>
  <c r="BV496" i="1"/>
  <c r="BW496" i="1"/>
  <c r="BX496" i="1"/>
  <c r="CL496" i="1"/>
  <c r="CN496" i="1"/>
  <c r="CO496" i="1"/>
  <c r="CP496" i="1"/>
  <c r="CQ496" i="1"/>
  <c r="CR496" i="1"/>
  <c r="CS496" i="1"/>
  <c r="CT496" i="1"/>
  <c r="CU496" i="1"/>
  <c r="CV496" i="1"/>
  <c r="CW496" i="1"/>
  <c r="CX496" i="1"/>
  <c r="CY496" i="1"/>
  <c r="CZ496" i="1"/>
  <c r="DA496" i="1"/>
  <c r="DB496" i="1"/>
  <c r="DC496" i="1"/>
  <c r="DD496" i="1"/>
  <c r="DE496" i="1"/>
  <c r="DF496" i="1"/>
  <c r="DG496" i="1"/>
  <c r="DH496" i="1"/>
  <c r="DI496" i="1"/>
  <c r="DJ496" i="1"/>
  <c r="DK496" i="1"/>
  <c r="DL496" i="1"/>
  <c r="DM496" i="1"/>
  <c r="DN496" i="1"/>
  <c r="DO496" i="1"/>
  <c r="DP496" i="1"/>
  <c r="DQ496" i="1"/>
  <c r="DR496" i="1"/>
  <c r="DS496" i="1"/>
  <c r="DT496" i="1"/>
  <c r="DU496" i="1"/>
  <c r="DV496" i="1"/>
  <c r="DW496" i="1"/>
  <c r="DX496" i="1"/>
  <c r="DY496" i="1"/>
  <c r="DZ496" i="1"/>
  <c r="EA496" i="1"/>
  <c r="EB496" i="1"/>
  <c r="EC496" i="1"/>
  <c r="ED496" i="1"/>
  <c r="EE496" i="1"/>
  <c r="EF496" i="1"/>
  <c r="EG496" i="1"/>
  <c r="EH496" i="1"/>
  <c r="EI496" i="1"/>
  <c r="EJ496" i="1"/>
  <c r="EK496" i="1"/>
  <c r="EL496" i="1"/>
  <c r="EM496" i="1"/>
  <c r="EN496" i="1"/>
  <c r="EO496" i="1"/>
  <c r="EP496" i="1"/>
  <c r="EQ496" i="1"/>
  <c r="ER496" i="1"/>
  <c r="ES496" i="1"/>
  <c r="ET496" i="1"/>
  <c r="EU496" i="1"/>
  <c r="EV496" i="1"/>
  <c r="EW496" i="1"/>
  <c r="EX496" i="1"/>
  <c r="EY496" i="1"/>
  <c r="EZ496" i="1"/>
  <c r="FA496" i="1"/>
  <c r="FB496" i="1"/>
  <c r="FC496" i="1"/>
  <c r="FD496" i="1"/>
  <c r="FE496" i="1"/>
  <c r="FF496" i="1"/>
  <c r="FG496" i="1"/>
  <c r="FH496" i="1"/>
  <c r="FI496" i="1"/>
  <c r="FJ496" i="1"/>
  <c r="FK496" i="1"/>
  <c r="FL496" i="1"/>
  <c r="FM496" i="1"/>
  <c r="FN496" i="1"/>
  <c r="FO496" i="1"/>
  <c r="FP496" i="1"/>
  <c r="FQ496" i="1"/>
  <c r="FR496" i="1"/>
  <c r="FS496" i="1"/>
  <c r="FT496" i="1"/>
  <c r="FU496" i="1"/>
  <c r="FV496" i="1"/>
  <c r="FW496" i="1"/>
  <c r="FX496" i="1"/>
  <c r="FY496" i="1"/>
  <c r="FZ496" i="1"/>
  <c r="GA496" i="1"/>
  <c r="GB496" i="1"/>
  <c r="GC496" i="1"/>
  <c r="GD496" i="1"/>
  <c r="GE496" i="1"/>
  <c r="GF496" i="1"/>
  <c r="GG496" i="1"/>
  <c r="GH496" i="1"/>
  <c r="GI496" i="1"/>
  <c r="GJ496" i="1"/>
  <c r="GK496" i="1"/>
  <c r="GL496" i="1"/>
  <c r="GM496" i="1"/>
  <c r="GN496" i="1"/>
  <c r="GO496" i="1"/>
  <c r="GP496" i="1"/>
  <c r="GQ496" i="1"/>
  <c r="GR496" i="1"/>
  <c r="GS496" i="1"/>
  <c r="GT496" i="1"/>
  <c r="GU496" i="1"/>
  <c r="GV496" i="1"/>
  <c r="GW496" i="1"/>
  <c r="GX496" i="1"/>
  <c r="C498" i="1"/>
  <c r="D498" i="1"/>
  <c r="I498" i="1"/>
  <c r="AC498" i="1"/>
  <c r="CQ498" i="1" s="1"/>
  <c r="P498" i="1" s="1"/>
  <c r="AE498" i="1"/>
  <c r="AD498" i="1" s="1"/>
  <c r="AF498" i="1"/>
  <c r="AG498" i="1"/>
  <c r="CU498" i="1" s="1"/>
  <c r="T498" i="1" s="1"/>
  <c r="AH498" i="1"/>
  <c r="AI498" i="1"/>
  <c r="CW498" i="1" s="1"/>
  <c r="V498" i="1" s="1"/>
  <c r="AJ498" i="1"/>
  <c r="CR498" i="1"/>
  <c r="Q498" i="1" s="1"/>
  <c r="CT498" i="1"/>
  <c r="S498" i="1" s="1"/>
  <c r="CV498" i="1"/>
  <c r="U498" i="1" s="1"/>
  <c r="CX498" i="1"/>
  <c r="W498" i="1" s="1"/>
  <c r="FR498" i="1"/>
  <c r="GL498" i="1"/>
  <c r="GN498" i="1"/>
  <c r="GO498" i="1"/>
  <c r="GV498" i="1"/>
  <c r="HC498" i="1"/>
  <c r="GX498" i="1" s="1"/>
  <c r="C499" i="1"/>
  <c r="D499" i="1"/>
  <c r="AC499" i="1"/>
  <c r="AD499" i="1"/>
  <c r="AB499" i="1" s="1"/>
  <c r="AE499" i="1"/>
  <c r="AF499" i="1"/>
  <c r="CT499" i="1" s="1"/>
  <c r="S499" i="1" s="1"/>
  <c r="AG499" i="1"/>
  <c r="AH499" i="1"/>
  <c r="CV499" i="1" s="1"/>
  <c r="U499" i="1" s="1"/>
  <c r="AI499" i="1"/>
  <c r="AJ499" i="1"/>
  <c r="CX499" i="1" s="1"/>
  <c r="W499" i="1" s="1"/>
  <c r="CQ499" i="1"/>
  <c r="P499" i="1" s="1"/>
  <c r="CP499" i="1" s="1"/>
  <c r="O499" i="1" s="1"/>
  <c r="CR499" i="1"/>
  <c r="Q499" i="1" s="1"/>
  <c r="CS499" i="1"/>
  <c r="R499" i="1" s="1"/>
  <c r="CU499" i="1"/>
  <c r="T499" i="1" s="1"/>
  <c r="CW499" i="1"/>
  <c r="V499" i="1" s="1"/>
  <c r="FR499" i="1"/>
  <c r="GL499" i="1"/>
  <c r="GN499" i="1"/>
  <c r="GO499" i="1"/>
  <c r="GV499" i="1"/>
  <c r="HC499" i="1" s="1"/>
  <c r="GX499" i="1" s="1"/>
  <c r="C500" i="1"/>
  <c r="D500" i="1"/>
  <c r="AC500" i="1"/>
  <c r="AD500" i="1"/>
  <c r="AE500" i="1"/>
  <c r="AF500" i="1"/>
  <c r="CT500" i="1" s="1"/>
  <c r="S500" i="1" s="1"/>
  <c r="AG500" i="1"/>
  <c r="AH500" i="1"/>
  <c r="CV500" i="1" s="1"/>
  <c r="U500" i="1" s="1"/>
  <c r="AI500" i="1"/>
  <c r="AJ500" i="1"/>
  <c r="CX500" i="1" s="1"/>
  <c r="W500" i="1" s="1"/>
  <c r="CQ500" i="1"/>
  <c r="P500" i="1" s="1"/>
  <c r="CP500" i="1" s="1"/>
  <c r="O500" i="1" s="1"/>
  <c r="CR500" i="1"/>
  <c r="Q500" i="1" s="1"/>
  <c r="CS500" i="1"/>
  <c r="R500" i="1" s="1"/>
  <c r="CU500" i="1"/>
  <c r="T500" i="1" s="1"/>
  <c r="CW500" i="1"/>
  <c r="V500" i="1" s="1"/>
  <c r="FR500" i="1"/>
  <c r="GL500" i="1"/>
  <c r="GN500" i="1"/>
  <c r="GO500" i="1"/>
  <c r="GV500" i="1"/>
  <c r="HC500" i="1"/>
  <c r="GX500" i="1" s="1"/>
  <c r="C501" i="1"/>
  <c r="D501" i="1"/>
  <c r="AC501" i="1"/>
  <c r="AD501" i="1"/>
  <c r="AB501" i="1" s="1"/>
  <c r="AE501" i="1"/>
  <c r="AF501" i="1"/>
  <c r="CT501" i="1" s="1"/>
  <c r="S501" i="1" s="1"/>
  <c r="AG501" i="1"/>
  <c r="AH501" i="1"/>
  <c r="CV501" i="1" s="1"/>
  <c r="U501" i="1" s="1"/>
  <c r="AI501" i="1"/>
  <c r="AJ501" i="1"/>
  <c r="CX501" i="1" s="1"/>
  <c r="W501" i="1" s="1"/>
  <c r="CQ501" i="1"/>
  <c r="P501" i="1" s="1"/>
  <c r="CR501" i="1"/>
  <c r="Q501" i="1" s="1"/>
  <c r="CS501" i="1"/>
  <c r="R501" i="1" s="1"/>
  <c r="GK501" i="1" s="1"/>
  <c r="CU501" i="1"/>
  <c r="T501" i="1" s="1"/>
  <c r="CW501" i="1"/>
  <c r="V501" i="1" s="1"/>
  <c r="FR501" i="1"/>
  <c r="GL501" i="1"/>
  <c r="BZ505" i="1" s="1"/>
  <c r="GN501" i="1"/>
  <c r="CB505" i="1" s="1"/>
  <c r="GO501" i="1"/>
  <c r="GV501" i="1"/>
  <c r="HC501" i="1" s="1"/>
  <c r="GX501" i="1" s="1"/>
  <c r="C502" i="1"/>
  <c r="D502" i="1"/>
  <c r="AC502" i="1"/>
  <c r="AE502" i="1"/>
  <c r="CS502" i="1" s="1"/>
  <c r="R502" i="1" s="1"/>
  <c r="AF502" i="1"/>
  <c r="AG502" i="1"/>
  <c r="CU502" i="1" s="1"/>
  <c r="T502" i="1" s="1"/>
  <c r="AH502" i="1"/>
  <c r="AI502" i="1"/>
  <c r="CW502" i="1" s="1"/>
  <c r="V502" i="1" s="1"/>
  <c r="AJ502" i="1"/>
  <c r="CR502" i="1"/>
  <c r="Q502" i="1" s="1"/>
  <c r="CT502" i="1"/>
  <c r="S502" i="1" s="1"/>
  <c r="CV502" i="1"/>
  <c r="U502" i="1" s="1"/>
  <c r="CX502" i="1"/>
  <c r="W502" i="1" s="1"/>
  <c r="FR502" i="1"/>
  <c r="GL502" i="1"/>
  <c r="GN502" i="1"/>
  <c r="GO502" i="1"/>
  <c r="GV502" i="1"/>
  <c r="GX502" i="1"/>
  <c r="HC502" i="1"/>
  <c r="C503" i="1"/>
  <c r="D503" i="1"/>
  <c r="AC503" i="1"/>
  <c r="CQ503" i="1" s="1"/>
  <c r="P503" i="1" s="1"/>
  <c r="AE503" i="1"/>
  <c r="AD503" i="1" s="1"/>
  <c r="AF503" i="1"/>
  <c r="AG503" i="1"/>
  <c r="CU503" i="1" s="1"/>
  <c r="T503" i="1" s="1"/>
  <c r="AH503" i="1"/>
  <c r="AI503" i="1"/>
  <c r="CW503" i="1" s="1"/>
  <c r="V503" i="1" s="1"/>
  <c r="AJ503" i="1"/>
  <c r="CR503" i="1"/>
  <c r="Q503" i="1" s="1"/>
  <c r="CT503" i="1"/>
  <c r="S503" i="1" s="1"/>
  <c r="CV503" i="1"/>
  <c r="U503" i="1" s="1"/>
  <c r="CX503" i="1"/>
  <c r="W503" i="1" s="1"/>
  <c r="FR503" i="1"/>
  <c r="GL503" i="1"/>
  <c r="GN503" i="1"/>
  <c r="GO503" i="1"/>
  <c r="GV503" i="1"/>
  <c r="HC503" i="1" s="1"/>
  <c r="GX503" i="1" s="1"/>
  <c r="B505" i="1"/>
  <c r="B496" i="1" s="1"/>
  <c r="C505" i="1"/>
  <c r="D505" i="1"/>
  <c r="D496" i="1" s="1"/>
  <c r="F505" i="1"/>
  <c r="F496" i="1" s="1"/>
  <c r="G505" i="1"/>
  <c r="G496" i="1" s="1"/>
  <c r="BX505" i="1"/>
  <c r="AO505" i="1" s="1"/>
  <c r="BY505" i="1"/>
  <c r="CI505" i="1" s="1"/>
  <c r="CC505" i="1"/>
  <c r="CC496" i="1" s="1"/>
  <c r="CK505" i="1"/>
  <c r="CK496" i="1" s="1"/>
  <c r="CL505" i="1"/>
  <c r="BC505" i="1" s="1"/>
  <c r="CM505" i="1"/>
  <c r="CM496" i="1" s="1"/>
  <c r="B535" i="1"/>
  <c r="B26" i="1" s="1"/>
  <c r="C535" i="1"/>
  <c r="C26" i="1" s="1"/>
  <c r="D535" i="1"/>
  <c r="D26" i="1" s="1"/>
  <c r="F535" i="1"/>
  <c r="F26" i="1" s="1"/>
  <c r="G535" i="1"/>
  <c r="G26" i="1" s="1"/>
  <c r="B568" i="1"/>
  <c r="B22" i="1" s="1"/>
  <c r="C568" i="1"/>
  <c r="C22" i="1" s="1"/>
  <c r="D568" i="1"/>
  <c r="D22" i="1" s="1"/>
  <c r="F568" i="1"/>
  <c r="F22" i="1" s="1"/>
  <c r="G568" i="1"/>
  <c r="G22" i="1" s="1"/>
  <c r="B601" i="1"/>
  <c r="B18" i="1" s="1"/>
  <c r="C601" i="1"/>
  <c r="C18" i="1" s="1"/>
  <c r="D601" i="1"/>
  <c r="D18" i="1" s="1"/>
  <c r="F601" i="1"/>
  <c r="F18" i="1" s="1"/>
  <c r="G601" i="1"/>
  <c r="G18" i="1" s="1"/>
  <c r="G113" i="7" l="1"/>
  <c r="G184" i="7"/>
  <c r="G146" i="7"/>
  <c r="F123" i="7"/>
  <c r="F169" i="7"/>
  <c r="E184" i="7" s="1"/>
  <c r="F192" i="7"/>
  <c r="H123" i="7"/>
  <c r="G127" i="7" s="1"/>
  <c r="E231" i="7"/>
  <c r="E80" i="7"/>
  <c r="G201" i="7"/>
  <c r="E194" i="7"/>
  <c r="E164" i="7"/>
  <c r="H192" i="7"/>
  <c r="F122" i="7"/>
  <c r="E127" i="7" s="1"/>
  <c r="G231" i="7"/>
  <c r="E201" i="7"/>
  <c r="E209" i="7"/>
  <c r="G194" i="7"/>
  <c r="G164" i="7"/>
  <c r="E146" i="7"/>
  <c r="G59" i="7"/>
  <c r="F34" i="7"/>
  <c r="E45" i="7" s="1"/>
  <c r="K685" i="5"/>
  <c r="P685" i="5"/>
  <c r="I687" i="5" s="1"/>
  <c r="K140" i="5"/>
  <c r="P140" i="5"/>
  <c r="K573" i="5"/>
  <c r="P573" i="5"/>
  <c r="K178" i="5"/>
  <c r="P178" i="5"/>
  <c r="I246" i="5" s="1"/>
  <c r="K634" i="5"/>
  <c r="P634" i="5"/>
  <c r="I636" i="5" s="1"/>
  <c r="K343" i="5"/>
  <c r="P343" i="5"/>
  <c r="K75" i="5"/>
  <c r="P75" i="5"/>
  <c r="K222" i="5"/>
  <c r="P222" i="5"/>
  <c r="P86" i="5"/>
  <c r="K86" i="5"/>
  <c r="K608" i="5"/>
  <c r="P608" i="5"/>
  <c r="P365" i="5"/>
  <c r="K365" i="5"/>
  <c r="K474" i="5"/>
  <c r="P474" i="5"/>
  <c r="K464" i="5"/>
  <c r="P464" i="5"/>
  <c r="P211" i="5"/>
  <c r="K211" i="5"/>
  <c r="P519" i="5"/>
  <c r="K519" i="5"/>
  <c r="K598" i="5"/>
  <c r="P598" i="5"/>
  <c r="P442" i="5"/>
  <c r="K442" i="5"/>
  <c r="K422" i="5"/>
  <c r="P422" i="5"/>
  <c r="K312" i="5"/>
  <c r="P312" i="5"/>
  <c r="K454" i="5"/>
  <c r="P454" i="5"/>
  <c r="P97" i="5"/>
  <c r="K97" i="5"/>
  <c r="P700" i="5"/>
  <c r="I723" i="5" s="1"/>
  <c r="K700" i="5"/>
  <c r="P495" i="5"/>
  <c r="K495" i="5"/>
  <c r="K266" i="5"/>
  <c r="P266" i="5"/>
  <c r="K588" i="5"/>
  <c r="P588" i="5"/>
  <c r="K400" i="5"/>
  <c r="P400" i="5"/>
  <c r="P323" i="5"/>
  <c r="K323" i="5"/>
  <c r="P279" i="5"/>
  <c r="K279" i="5"/>
  <c r="K508" i="5"/>
  <c r="P508" i="5"/>
  <c r="K484" i="5"/>
  <c r="P484" i="5"/>
  <c r="P62" i="5"/>
  <c r="K62" i="5"/>
  <c r="K659" i="5"/>
  <c r="P659" i="5"/>
  <c r="I661" i="5" s="1"/>
  <c r="K378" i="5"/>
  <c r="P378" i="5"/>
  <c r="I444" i="5" s="1"/>
  <c r="P45" i="5"/>
  <c r="K45" i="5"/>
  <c r="K552" i="5"/>
  <c r="P552" i="5"/>
  <c r="P389" i="5"/>
  <c r="K389" i="5"/>
  <c r="P255" i="5"/>
  <c r="K255" i="5"/>
  <c r="CZ501" i="1"/>
  <c r="Y501" i="1" s="1"/>
  <c r="CY501" i="1"/>
  <c r="X501" i="1" s="1"/>
  <c r="AD505" i="1"/>
  <c r="AC464" i="1"/>
  <c r="CP452" i="1"/>
  <c r="O452" i="1" s="1"/>
  <c r="V416" i="1"/>
  <c r="CY366" i="1"/>
  <c r="X366" i="1" s="1"/>
  <c r="CZ366" i="1"/>
  <c r="Y366" i="1" s="1"/>
  <c r="CI496" i="1"/>
  <c r="AZ505" i="1"/>
  <c r="AQ505" i="1"/>
  <c r="CG505" i="1"/>
  <c r="BZ496" i="1"/>
  <c r="CY500" i="1"/>
  <c r="X500" i="1" s="1"/>
  <c r="CZ500" i="1"/>
  <c r="Y500" i="1" s="1"/>
  <c r="GP500" i="1" s="1"/>
  <c r="CZ499" i="1"/>
  <c r="Y499" i="1" s="1"/>
  <c r="CY499" i="1"/>
  <c r="X499" i="1" s="1"/>
  <c r="AJ505" i="1"/>
  <c r="CZ462" i="1"/>
  <c r="Y462" i="1" s="1"/>
  <c r="GM462" i="1" s="1"/>
  <c r="CY462" i="1"/>
  <c r="X462" i="1" s="1"/>
  <c r="GP462" i="1" s="1"/>
  <c r="CP461" i="1"/>
  <c r="O461" i="1" s="1"/>
  <c r="CZ460" i="1"/>
  <c r="Y460" i="1" s="1"/>
  <c r="CY460" i="1"/>
  <c r="X460" i="1" s="1"/>
  <c r="GM460" i="1" s="1"/>
  <c r="CP459" i="1"/>
  <c r="O459" i="1" s="1"/>
  <c r="CP455" i="1"/>
  <c r="O455" i="1" s="1"/>
  <c r="CZ454" i="1"/>
  <c r="Y454" i="1" s="1"/>
  <c r="CY454" i="1"/>
  <c r="X454" i="1" s="1"/>
  <c r="GM454" i="1" s="1"/>
  <c r="CP453" i="1"/>
  <c r="O453" i="1" s="1"/>
  <c r="CB450" i="1"/>
  <c r="AS464" i="1"/>
  <c r="AG464" i="1"/>
  <c r="AJ464" i="1"/>
  <c r="CZ452" i="1"/>
  <c r="Y452" i="1" s="1"/>
  <c r="CY452" i="1"/>
  <c r="X452" i="1" s="1"/>
  <c r="AF464" i="1"/>
  <c r="CY362" i="1"/>
  <c r="X362" i="1" s="1"/>
  <c r="CZ362" i="1"/>
  <c r="Y362" i="1" s="1"/>
  <c r="AI359" i="1"/>
  <c r="V373" i="1"/>
  <c r="CP323" i="1"/>
  <c r="O323" i="1" s="1"/>
  <c r="AG505" i="1"/>
  <c r="F509" i="1"/>
  <c r="AO496" i="1"/>
  <c r="AH505" i="1"/>
  <c r="BD450" i="1"/>
  <c r="F489" i="1"/>
  <c r="CY461" i="1"/>
  <c r="X461" i="1" s="1"/>
  <c r="CZ461" i="1"/>
  <c r="Y461" i="1" s="1"/>
  <c r="CY459" i="1"/>
  <c r="X459" i="1" s="1"/>
  <c r="CZ459" i="1"/>
  <c r="Y459" i="1" s="1"/>
  <c r="GP456" i="1"/>
  <c r="CY455" i="1"/>
  <c r="X455" i="1" s="1"/>
  <c r="CZ455" i="1"/>
  <c r="Y455" i="1" s="1"/>
  <c r="CY453" i="1"/>
  <c r="X453" i="1" s="1"/>
  <c r="CZ453" i="1"/>
  <c r="Y453" i="1" s="1"/>
  <c r="AQ464" i="1"/>
  <c r="CG464" i="1"/>
  <c r="BZ450" i="1"/>
  <c r="GK452" i="1"/>
  <c r="AE464" i="1"/>
  <c r="BD405" i="1"/>
  <c r="F443" i="1"/>
  <c r="R416" i="1"/>
  <c r="GK416" i="1" s="1"/>
  <c r="V410" i="1"/>
  <c r="AG359" i="1"/>
  <c r="T373" i="1"/>
  <c r="AH373" i="1"/>
  <c r="CB261" i="1"/>
  <c r="AS289" i="1"/>
  <c r="CB496" i="1"/>
  <c r="AS505" i="1"/>
  <c r="GM499" i="1"/>
  <c r="GP499" i="1"/>
  <c r="CY457" i="1"/>
  <c r="X457" i="1" s="1"/>
  <c r="CZ457" i="1"/>
  <c r="Y457" i="1" s="1"/>
  <c r="AI464" i="1"/>
  <c r="P416" i="1"/>
  <c r="BC496" i="1"/>
  <c r="F521" i="1"/>
  <c r="AI505" i="1"/>
  <c r="CY503" i="1"/>
  <c r="X503" i="1" s="1"/>
  <c r="CZ503" i="1"/>
  <c r="Y503" i="1" s="1"/>
  <c r="CP503" i="1"/>
  <c r="O503" i="1" s="1"/>
  <c r="CZ502" i="1"/>
  <c r="Y502" i="1" s="1"/>
  <c r="CY502" i="1"/>
  <c r="X502" i="1" s="1"/>
  <c r="AB502" i="1"/>
  <c r="CP501" i="1"/>
  <c r="O501" i="1" s="1"/>
  <c r="CJ505" i="1"/>
  <c r="CY498" i="1"/>
  <c r="X498" i="1" s="1"/>
  <c r="AK505" i="1" s="1"/>
  <c r="CZ498" i="1"/>
  <c r="Y498" i="1" s="1"/>
  <c r="AL505" i="1" s="1"/>
  <c r="AF505" i="1"/>
  <c r="CP498" i="1"/>
  <c r="O498" i="1" s="1"/>
  <c r="F480" i="1"/>
  <c r="BC450" i="1"/>
  <c r="CZ458" i="1"/>
  <c r="Y458" i="1" s="1"/>
  <c r="CY458" i="1"/>
  <c r="X458" i="1" s="1"/>
  <c r="GM458" i="1" s="1"/>
  <c r="CP457" i="1"/>
  <c r="O457" i="1" s="1"/>
  <c r="CZ456" i="1"/>
  <c r="Y456" i="1" s="1"/>
  <c r="CY456" i="1"/>
  <c r="X456" i="1" s="1"/>
  <c r="GM456" i="1" s="1"/>
  <c r="CJ464" i="1"/>
  <c r="AD464" i="1"/>
  <c r="AH464" i="1"/>
  <c r="BY405" i="1"/>
  <c r="AP418" i="1"/>
  <c r="CP407" i="1"/>
  <c r="O407" i="1" s="1"/>
  <c r="AH321" i="1"/>
  <c r="U327" i="1"/>
  <c r="BB505" i="1"/>
  <c r="AT505" i="1"/>
  <c r="AP505" i="1"/>
  <c r="BB464" i="1"/>
  <c r="AT464" i="1"/>
  <c r="AP464" i="1"/>
  <c r="CL405" i="1"/>
  <c r="BC418" i="1"/>
  <c r="V414" i="1"/>
  <c r="CQ371" i="1"/>
  <c r="P371" i="1" s="1"/>
  <c r="CP371" i="1" s="1"/>
  <c r="O371" i="1" s="1"/>
  <c r="CY364" i="1"/>
  <c r="X364" i="1" s="1"/>
  <c r="CZ364" i="1"/>
  <c r="Y364" i="1" s="1"/>
  <c r="CS324" i="1"/>
  <c r="R324" i="1" s="1"/>
  <c r="GK324" i="1" s="1"/>
  <c r="AD324" i="1"/>
  <c r="CJ327" i="1"/>
  <c r="CQ276" i="1"/>
  <c r="P276" i="1" s="1"/>
  <c r="CP276" i="1" s="1"/>
  <c r="O276" i="1" s="1"/>
  <c r="AB276" i="1"/>
  <c r="CY225" i="1"/>
  <c r="X225" i="1" s="1"/>
  <c r="CZ225" i="1"/>
  <c r="Y225" i="1" s="1"/>
  <c r="AB225" i="1"/>
  <c r="AB219" i="1"/>
  <c r="CY163" i="1"/>
  <c r="X163" i="1" s="1"/>
  <c r="CZ163" i="1"/>
  <c r="Y163" i="1" s="1"/>
  <c r="AD173" i="1"/>
  <c r="CS503" i="1"/>
  <c r="R503" i="1" s="1"/>
  <c r="AB503" i="1"/>
  <c r="CQ502" i="1"/>
  <c r="P502" i="1" s="1"/>
  <c r="CP502" i="1" s="1"/>
  <c r="O502" i="1" s="1"/>
  <c r="AD502" i="1"/>
  <c r="CS498" i="1"/>
  <c r="R498" i="1" s="1"/>
  <c r="AB498" i="1"/>
  <c r="CX374" i="3"/>
  <c r="CX375" i="3"/>
  <c r="BY496" i="1"/>
  <c r="AO464" i="1"/>
  <c r="CL450" i="1"/>
  <c r="S416" i="1"/>
  <c r="AB416" i="1"/>
  <c r="GX415" i="1"/>
  <c r="Q412" i="1"/>
  <c r="U412" i="1"/>
  <c r="I412" i="1"/>
  <c r="V412" i="1" s="1"/>
  <c r="I411" i="1"/>
  <c r="Q411" i="1" s="1"/>
  <c r="U410" i="1"/>
  <c r="I410" i="1"/>
  <c r="Q409" i="1"/>
  <c r="I409" i="1"/>
  <c r="V409" i="1" s="1"/>
  <c r="P408" i="1"/>
  <c r="CP408" i="1" s="1"/>
  <c r="O408" i="1" s="1"/>
  <c r="F389" i="1"/>
  <c r="BA373" i="1"/>
  <c r="AS373" i="1"/>
  <c r="CS367" i="1"/>
  <c r="R367" i="1" s="1"/>
  <c r="GK367" i="1" s="1"/>
  <c r="AD367" i="1"/>
  <c r="AB367" i="1" s="1"/>
  <c r="CQ366" i="1"/>
  <c r="P366" i="1" s="1"/>
  <c r="CP366" i="1" s="1"/>
  <c r="O366" i="1" s="1"/>
  <c r="AB366" i="1"/>
  <c r="CZ363" i="1"/>
  <c r="Y363" i="1" s="1"/>
  <c r="AL373" i="1" s="1"/>
  <c r="CC373" i="1"/>
  <c r="CY361" i="1"/>
  <c r="X361" i="1" s="1"/>
  <c r="AF373" i="1"/>
  <c r="F344" i="1"/>
  <c r="BD327" i="1"/>
  <c r="AP327" i="1"/>
  <c r="BY321" i="1"/>
  <c r="AB324" i="1"/>
  <c r="BZ321" i="1"/>
  <c r="CG327" i="1"/>
  <c r="AQ327" i="1"/>
  <c r="AJ327" i="1"/>
  <c r="CZ323" i="1"/>
  <c r="Y323" i="1" s="1"/>
  <c r="AF327" i="1"/>
  <c r="CY287" i="1"/>
  <c r="X287" i="1" s="1"/>
  <c r="CZ287" i="1"/>
  <c r="Y287" i="1" s="1"/>
  <c r="CQ285" i="1"/>
  <c r="P285" i="1" s="1"/>
  <c r="CP285" i="1" s="1"/>
  <c r="O285" i="1" s="1"/>
  <c r="AB285" i="1"/>
  <c r="CQ281" i="1"/>
  <c r="P281" i="1" s="1"/>
  <c r="CP281" i="1" s="1"/>
  <c r="O281" i="1" s="1"/>
  <c r="AB281" i="1"/>
  <c r="CZ226" i="1"/>
  <c r="Y226" i="1" s="1"/>
  <c r="CY226" i="1"/>
  <c r="X226" i="1" s="1"/>
  <c r="CY223" i="1"/>
  <c r="X223" i="1" s="1"/>
  <c r="CZ223" i="1"/>
  <c r="Y223" i="1" s="1"/>
  <c r="AB223" i="1"/>
  <c r="CY221" i="1"/>
  <c r="X221" i="1" s="1"/>
  <c r="CZ221" i="1"/>
  <c r="Y221" i="1" s="1"/>
  <c r="AB221" i="1"/>
  <c r="CZ218" i="1"/>
  <c r="Y218" i="1" s="1"/>
  <c r="CY218" i="1"/>
  <c r="X218" i="1" s="1"/>
  <c r="CJ229" i="1"/>
  <c r="CQ166" i="1"/>
  <c r="P166" i="1" s="1"/>
  <c r="CP166" i="1" s="1"/>
  <c r="O166" i="1" s="1"/>
  <c r="AB461" i="1"/>
  <c r="AB457" i="1"/>
  <c r="AB408" i="1"/>
  <c r="AB407" i="1"/>
  <c r="CQ370" i="1"/>
  <c r="P370" i="1" s="1"/>
  <c r="CP370" i="1" s="1"/>
  <c r="O370" i="1" s="1"/>
  <c r="CQ369" i="1"/>
  <c r="P369" i="1" s="1"/>
  <c r="CP369" i="1" s="1"/>
  <c r="O369" i="1" s="1"/>
  <c r="AI91" i="1"/>
  <c r="V117" i="1"/>
  <c r="CI464" i="1"/>
  <c r="CX362" i="3"/>
  <c r="CX366" i="3"/>
  <c r="CX370" i="3"/>
  <c r="CX365" i="3"/>
  <c r="CX369" i="3"/>
  <c r="CX373" i="3"/>
  <c r="CX363" i="3"/>
  <c r="CX367" i="3"/>
  <c r="CX371" i="3"/>
  <c r="CX364" i="3"/>
  <c r="CX372" i="3"/>
  <c r="CX368" i="3"/>
  <c r="F436" i="1"/>
  <c r="W415" i="1"/>
  <c r="S415" i="1"/>
  <c r="R415" i="1"/>
  <c r="GK415" i="1" s="1"/>
  <c r="W414" i="1"/>
  <c r="S414" i="1"/>
  <c r="W413" i="1"/>
  <c r="S413" i="1"/>
  <c r="CY408" i="1"/>
  <c r="X408" i="1" s="1"/>
  <c r="CY407" i="1"/>
  <c r="X407" i="1" s="1"/>
  <c r="CX354" i="3"/>
  <c r="CX358" i="3"/>
  <c r="CX353" i="3"/>
  <c r="CX357" i="3"/>
  <c r="CX361" i="3"/>
  <c r="CX351" i="3"/>
  <c r="CX355" i="3"/>
  <c r="CX359" i="3"/>
  <c r="CX356" i="3"/>
  <c r="CX352" i="3"/>
  <c r="CX360" i="3"/>
  <c r="CS365" i="1"/>
  <c r="R365" i="1" s="1"/>
  <c r="GK365" i="1" s="1"/>
  <c r="AD365" i="1"/>
  <c r="AB365" i="1" s="1"/>
  <c r="CQ364" i="1"/>
  <c r="P364" i="1" s="1"/>
  <c r="CP364" i="1" s="1"/>
  <c r="O364" i="1" s="1"/>
  <c r="AB364" i="1"/>
  <c r="BD359" i="1"/>
  <c r="AZ327" i="1"/>
  <c r="CR324" i="1"/>
  <c r="Q324" i="1" s="1"/>
  <c r="AD327" i="1" s="1"/>
  <c r="AE327" i="1"/>
  <c r="GK323" i="1"/>
  <c r="AG327" i="1"/>
  <c r="CB321" i="1"/>
  <c r="CY280" i="1"/>
  <c r="X280" i="1" s="1"/>
  <c r="CZ280" i="1"/>
  <c r="Y280" i="1" s="1"/>
  <c r="CS278" i="1"/>
  <c r="R278" i="1" s="1"/>
  <c r="GK278" i="1" s="1"/>
  <c r="AD278" i="1"/>
  <c r="AB278" i="1" s="1"/>
  <c r="CR278" i="1"/>
  <c r="CY277" i="1"/>
  <c r="X277" i="1" s="1"/>
  <c r="CZ277" i="1"/>
  <c r="Y277" i="1" s="1"/>
  <c r="CY275" i="1"/>
  <c r="X275" i="1" s="1"/>
  <c r="CZ275" i="1"/>
  <c r="Y275" i="1" s="1"/>
  <c r="CY269" i="1"/>
  <c r="X269" i="1" s="1"/>
  <c r="CZ269" i="1"/>
  <c r="Y269" i="1" s="1"/>
  <c r="CZ224" i="1"/>
  <c r="Y224" i="1" s="1"/>
  <c r="CY224" i="1"/>
  <c r="X224" i="1" s="1"/>
  <c r="CZ222" i="1"/>
  <c r="Y222" i="1" s="1"/>
  <c r="CY222" i="1"/>
  <c r="X222" i="1" s="1"/>
  <c r="CZ220" i="1"/>
  <c r="Y220" i="1" s="1"/>
  <c r="CY220" i="1"/>
  <c r="X220" i="1" s="1"/>
  <c r="BZ229" i="1"/>
  <c r="CY169" i="1"/>
  <c r="X169" i="1" s="1"/>
  <c r="CZ169" i="1"/>
  <c r="Y169" i="1" s="1"/>
  <c r="AB500" i="1"/>
  <c r="AB459" i="1"/>
  <c r="AB455" i="1"/>
  <c r="AB453" i="1"/>
  <c r="BZ418" i="1"/>
  <c r="CI418" i="1" s="1"/>
  <c r="GK407" i="1"/>
  <c r="CQ368" i="1"/>
  <c r="P368" i="1" s="1"/>
  <c r="CP368" i="1" s="1"/>
  <c r="O368" i="1" s="1"/>
  <c r="AB368" i="1"/>
  <c r="CS361" i="1"/>
  <c r="R361" i="1" s="1"/>
  <c r="AD361" i="1"/>
  <c r="AB361" i="1" s="1"/>
  <c r="AO321" i="1"/>
  <c r="F331" i="1"/>
  <c r="AI327" i="1"/>
  <c r="CY279" i="1"/>
  <c r="X279" i="1" s="1"/>
  <c r="CZ279" i="1"/>
  <c r="Y279" i="1" s="1"/>
  <c r="CY219" i="1"/>
  <c r="X219" i="1" s="1"/>
  <c r="CZ219" i="1"/>
  <c r="Y219" i="1" s="1"/>
  <c r="CJ149" i="1"/>
  <c r="BA173" i="1"/>
  <c r="BD505" i="1"/>
  <c r="F431" i="1"/>
  <c r="Q416" i="1"/>
  <c r="U416" i="1"/>
  <c r="I416" i="1"/>
  <c r="W416" i="1" s="1"/>
  <c r="W412" i="1"/>
  <c r="S412" i="1"/>
  <c r="W411" i="1"/>
  <c r="W410" i="1"/>
  <c r="S410" i="1"/>
  <c r="W409" i="1"/>
  <c r="S409" i="1"/>
  <c r="CB418" i="1"/>
  <c r="CG373" i="1"/>
  <c r="AO373" i="1"/>
  <c r="CS371" i="1"/>
  <c r="R371" i="1" s="1"/>
  <c r="GK371" i="1" s="1"/>
  <c r="AD371" i="1"/>
  <c r="AB371" i="1" s="1"/>
  <c r="AD370" i="1"/>
  <c r="AB370" i="1" s="1"/>
  <c r="CS370" i="1"/>
  <c r="R370" i="1" s="1"/>
  <c r="GK370" i="1" s="1"/>
  <c r="CS369" i="1"/>
  <c r="R369" i="1" s="1"/>
  <c r="GK369" i="1" s="1"/>
  <c r="AD369" i="1"/>
  <c r="AB369" i="1" s="1"/>
  <c r="CZ367" i="1"/>
  <c r="Y367" i="1" s="1"/>
  <c r="CR367" i="1"/>
  <c r="Q367" i="1" s="1"/>
  <c r="AD373" i="1" s="1"/>
  <c r="CS363" i="1"/>
  <c r="R363" i="1" s="1"/>
  <c r="GK363" i="1" s="1"/>
  <c r="AD363" i="1"/>
  <c r="AB363" i="1" s="1"/>
  <c r="CQ362" i="1"/>
  <c r="P362" i="1" s="1"/>
  <c r="CP362" i="1" s="1"/>
  <c r="O362" i="1" s="1"/>
  <c r="AB362" i="1"/>
  <c r="AJ373" i="1"/>
  <c r="CY325" i="1"/>
  <c r="X325" i="1" s="1"/>
  <c r="GP325" i="1" s="1"/>
  <c r="CZ325" i="1"/>
  <c r="Y325" i="1" s="1"/>
  <c r="AB325" i="1"/>
  <c r="CY323" i="1"/>
  <c r="X323" i="1" s="1"/>
  <c r="AK327" i="1" s="1"/>
  <c r="CY283" i="1"/>
  <c r="X283" i="1" s="1"/>
  <c r="CZ283" i="1"/>
  <c r="Y283" i="1" s="1"/>
  <c r="CP266" i="1"/>
  <c r="O266" i="1" s="1"/>
  <c r="CY227" i="1"/>
  <c r="X227" i="1" s="1"/>
  <c r="CZ227" i="1"/>
  <c r="Y227" i="1" s="1"/>
  <c r="AB227" i="1"/>
  <c r="AH205" i="1"/>
  <c r="U229" i="1"/>
  <c r="BB373" i="1"/>
  <c r="AP373" i="1"/>
  <c r="CS368" i="1"/>
  <c r="R368" i="1" s="1"/>
  <c r="GK368" i="1" s="1"/>
  <c r="CQ367" i="1"/>
  <c r="P367" i="1" s="1"/>
  <c r="CS366" i="1"/>
  <c r="R366" i="1" s="1"/>
  <c r="GK366" i="1" s="1"/>
  <c r="CQ365" i="1"/>
  <c r="P365" i="1" s="1"/>
  <c r="CP365" i="1" s="1"/>
  <c r="O365" i="1" s="1"/>
  <c r="CS364" i="1"/>
  <c r="R364" i="1" s="1"/>
  <c r="GK364" i="1" s="1"/>
  <c r="CQ363" i="1"/>
  <c r="P363" i="1" s="1"/>
  <c r="CP363" i="1" s="1"/>
  <c r="O363" i="1" s="1"/>
  <c r="CS362" i="1"/>
  <c r="R362" i="1" s="1"/>
  <c r="GK362" i="1" s="1"/>
  <c r="CQ361" i="1"/>
  <c r="P361" i="1" s="1"/>
  <c r="CM359" i="1"/>
  <c r="BC327" i="1"/>
  <c r="CQ324" i="1"/>
  <c r="P324" i="1" s="1"/>
  <c r="CP324" i="1" s="1"/>
  <c r="O324" i="1" s="1"/>
  <c r="CS286" i="1"/>
  <c r="R286" i="1" s="1"/>
  <c r="GK286" i="1" s="1"/>
  <c r="AD286" i="1"/>
  <c r="AB286" i="1" s="1"/>
  <c r="CP284" i="1"/>
  <c r="O284" i="1" s="1"/>
  <c r="CQ283" i="1"/>
  <c r="P283" i="1" s="1"/>
  <c r="CP283" i="1" s="1"/>
  <c r="O283" i="1" s="1"/>
  <c r="AB283" i="1"/>
  <c r="CS280" i="1"/>
  <c r="R280" i="1" s="1"/>
  <c r="GK280" i="1" s="1"/>
  <c r="AD280" i="1"/>
  <c r="AB280" i="1" s="1"/>
  <c r="CQ277" i="1"/>
  <c r="P277" i="1" s="1"/>
  <c r="CP277" i="1" s="1"/>
  <c r="O277" i="1" s="1"/>
  <c r="AB277" i="1"/>
  <c r="CP274" i="1"/>
  <c r="O274" i="1" s="1"/>
  <c r="CZ273" i="1"/>
  <c r="Y273" i="1" s="1"/>
  <c r="CP273" i="1"/>
  <c r="O273" i="1" s="1"/>
  <c r="CZ272" i="1"/>
  <c r="Y272" i="1" s="1"/>
  <c r="CP272" i="1"/>
  <c r="O272" i="1" s="1"/>
  <c r="CZ271" i="1"/>
  <c r="Y271" i="1" s="1"/>
  <c r="CP271" i="1"/>
  <c r="O271" i="1" s="1"/>
  <c r="CZ270" i="1"/>
  <c r="Y270" i="1" s="1"/>
  <c r="CP270" i="1"/>
  <c r="O270" i="1" s="1"/>
  <c r="CQ269" i="1"/>
  <c r="P269" i="1" s="1"/>
  <c r="CP269" i="1" s="1"/>
  <c r="O269" i="1" s="1"/>
  <c r="AB269" i="1"/>
  <c r="BD229" i="1"/>
  <c r="CY213" i="1"/>
  <c r="X213" i="1" s="1"/>
  <c r="CZ213" i="1"/>
  <c r="Y213" i="1" s="1"/>
  <c r="AG229" i="1"/>
  <c r="CS210" i="1"/>
  <c r="R210" i="1" s="1"/>
  <c r="GK210" i="1" s="1"/>
  <c r="AD210" i="1"/>
  <c r="CR210" i="1"/>
  <c r="Q210" i="1" s="1"/>
  <c r="AD229" i="1" s="1"/>
  <c r="CQ209" i="1"/>
  <c r="P209" i="1" s="1"/>
  <c r="CP209" i="1" s="1"/>
  <c r="O209" i="1" s="1"/>
  <c r="AB209" i="1"/>
  <c r="CY207" i="1"/>
  <c r="X207" i="1" s="1"/>
  <c r="CZ207" i="1"/>
  <c r="Y207" i="1" s="1"/>
  <c r="AF229" i="1"/>
  <c r="CB149" i="1"/>
  <c r="AS173" i="1"/>
  <c r="CQ171" i="1"/>
  <c r="P171" i="1" s="1"/>
  <c r="CP171" i="1" s="1"/>
  <c r="O171" i="1" s="1"/>
  <c r="AB171" i="1"/>
  <c r="CQ164" i="1"/>
  <c r="P164" i="1" s="1"/>
  <c r="CP164" i="1" s="1"/>
  <c r="O164" i="1" s="1"/>
  <c r="BB327" i="1"/>
  <c r="AT327" i="1"/>
  <c r="CG261" i="1"/>
  <c r="AX289" i="1"/>
  <c r="AO289" i="1"/>
  <c r="CQ287" i="1"/>
  <c r="P287" i="1" s="1"/>
  <c r="CP287" i="1" s="1"/>
  <c r="O287" i="1" s="1"/>
  <c r="AB287" i="1"/>
  <c r="CY285" i="1"/>
  <c r="X285" i="1" s="1"/>
  <c r="CZ285" i="1"/>
  <c r="Y285" i="1" s="1"/>
  <c r="CS282" i="1"/>
  <c r="R282" i="1" s="1"/>
  <c r="GK282" i="1" s="1"/>
  <c r="AD282" i="1"/>
  <c r="AB282" i="1" s="1"/>
  <c r="CY281" i="1"/>
  <c r="X281" i="1" s="1"/>
  <c r="CZ281" i="1"/>
  <c r="Y281" i="1" s="1"/>
  <c r="P278" i="1"/>
  <c r="CY276" i="1"/>
  <c r="X276" i="1" s="1"/>
  <c r="CZ276" i="1"/>
  <c r="Y276" i="1" s="1"/>
  <c r="BY261" i="1"/>
  <c r="AP289" i="1"/>
  <c r="CI289" i="1"/>
  <c r="CS268" i="1"/>
  <c r="R268" i="1" s="1"/>
  <c r="GK268" i="1" s="1"/>
  <c r="AD268" i="1"/>
  <c r="AB268" i="1" s="1"/>
  <c r="CS267" i="1"/>
  <c r="R267" i="1" s="1"/>
  <c r="GK267" i="1" s="1"/>
  <c r="AD267" i="1"/>
  <c r="AB267" i="1" s="1"/>
  <c r="CS266" i="1"/>
  <c r="R266" i="1" s="1"/>
  <c r="GK266" i="1" s="1"/>
  <c r="AD266" i="1"/>
  <c r="AB266" i="1" s="1"/>
  <c r="CS265" i="1"/>
  <c r="R265" i="1" s="1"/>
  <c r="GK265" i="1" s="1"/>
  <c r="AD265" i="1"/>
  <c r="CS264" i="1"/>
  <c r="R264" i="1" s="1"/>
  <c r="GK264" i="1" s="1"/>
  <c r="AD264" i="1"/>
  <c r="CS263" i="1"/>
  <c r="R263" i="1" s="1"/>
  <c r="AD263" i="1"/>
  <c r="CP226" i="1"/>
  <c r="O226" i="1" s="1"/>
  <c r="CP224" i="1"/>
  <c r="O224" i="1" s="1"/>
  <c r="CP222" i="1"/>
  <c r="O222" i="1" s="1"/>
  <c r="CP220" i="1"/>
  <c r="O220" i="1" s="1"/>
  <c r="BY229" i="1"/>
  <c r="CP218" i="1"/>
  <c r="O218" i="1" s="1"/>
  <c r="AB217" i="1"/>
  <c r="CQ217" i="1"/>
  <c r="P217" i="1" s="1"/>
  <c r="CP217" i="1" s="1"/>
  <c r="O217" i="1" s="1"/>
  <c r="AI229" i="1"/>
  <c r="AJ229" i="1"/>
  <c r="AI149" i="1"/>
  <c r="V173" i="1"/>
  <c r="CQ162" i="1"/>
  <c r="P162" i="1" s="1"/>
  <c r="CP162" i="1" s="1"/>
  <c r="O162" i="1" s="1"/>
  <c r="CZ155" i="1"/>
  <c r="Y155" i="1" s="1"/>
  <c r="CY155" i="1"/>
  <c r="X155" i="1" s="1"/>
  <c r="AF173" i="1"/>
  <c r="AO418" i="1"/>
  <c r="CI373" i="1"/>
  <c r="CX342" i="3"/>
  <c r="CX346" i="3"/>
  <c r="CX350" i="3"/>
  <c r="CX341" i="3"/>
  <c r="CX345" i="3"/>
  <c r="CX349" i="3"/>
  <c r="CX339" i="3"/>
  <c r="CX343" i="3"/>
  <c r="CX347" i="3"/>
  <c r="CX348" i="3"/>
  <c r="CX340" i="3"/>
  <c r="CX344" i="3"/>
  <c r="CP286" i="1"/>
  <c r="O286" i="1" s="1"/>
  <c r="CS284" i="1"/>
  <c r="R284" i="1" s="1"/>
  <c r="GK284" i="1" s="1"/>
  <c r="AD284" i="1"/>
  <c r="AB284" i="1" s="1"/>
  <c r="CR282" i="1"/>
  <c r="Q282" i="1" s="1"/>
  <c r="CP282" i="1" s="1"/>
  <c r="O282" i="1" s="1"/>
  <c r="CP280" i="1"/>
  <c r="O280" i="1" s="1"/>
  <c r="CQ279" i="1"/>
  <c r="P279" i="1" s="1"/>
  <c r="CP279" i="1" s="1"/>
  <c r="O279" i="1" s="1"/>
  <c r="AB279" i="1"/>
  <c r="W278" i="1"/>
  <c r="AJ289" i="1" s="1"/>
  <c r="CQ275" i="1"/>
  <c r="P275" i="1" s="1"/>
  <c r="CP275" i="1" s="1"/>
  <c r="O275" i="1" s="1"/>
  <c r="AB275" i="1"/>
  <c r="CY274" i="1"/>
  <c r="X274" i="1" s="1"/>
  <c r="CZ274" i="1"/>
  <c r="Y274" i="1" s="1"/>
  <c r="CS273" i="1"/>
  <c r="R273" i="1" s="1"/>
  <c r="GK273" i="1" s="1"/>
  <c r="AD273" i="1"/>
  <c r="AB273" i="1" s="1"/>
  <c r="CS272" i="1"/>
  <c r="R272" i="1" s="1"/>
  <c r="GK272" i="1" s="1"/>
  <c r="AD272" i="1"/>
  <c r="AB272" i="1" s="1"/>
  <c r="CS271" i="1"/>
  <c r="R271" i="1" s="1"/>
  <c r="GK271" i="1" s="1"/>
  <c r="AD271" i="1"/>
  <c r="AB271" i="1" s="1"/>
  <c r="CS270" i="1"/>
  <c r="R270" i="1" s="1"/>
  <c r="GK270" i="1" s="1"/>
  <c r="AD270" i="1"/>
  <c r="AB270" i="1" s="1"/>
  <c r="CC289" i="1"/>
  <c r="CR268" i="1"/>
  <c r="Q268" i="1" s="1"/>
  <c r="CP268" i="1" s="1"/>
  <c r="O268" i="1" s="1"/>
  <c r="CR267" i="1"/>
  <c r="Q267" i="1" s="1"/>
  <c r="CP267" i="1" s="1"/>
  <c r="O267" i="1" s="1"/>
  <c r="CR266" i="1"/>
  <c r="Q266" i="1" s="1"/>
  <c r="AB265" i="1"/>
  <c r="AB264" i="1"/>
  <c r="CY263" i="1"/>
  <c r="X263" i="1" s="1"/>
  <c r="AB263" i="1"/>
  <c r="CP227" i="1"/>
  <c r="O227" i="1" s="1"/>
  <c r="CP225" i="1"/>
  <c r="O225" i="1" s="1"/>
  <c r="CP223" i="1"/>
  <c r="O223" i="1" s="1"/>
  <c r="CP221" i="1"/>
  <c r="O221" i="1" s="1"/>
  <c r="CP219" i="1"/>
  <c r="O219" i="1" s="1"/>
  <c r="CY217" i="1"/>
  <c r="X217" i="1" s="1"/>
  <c r="CZ217" i="1"/>
  <c r="Y217" i="1" s="1"/>
  <c r="CB229" i="1"/>
  <c r="GM215" i="1"/>
  <c r="GP215" i="1"/>
  <c r="CQ214" i="1"/>
  <c r="P214" i="1" s="1"/>
  <c r="CP214" i="1" s="1"/>
  <c r="O214" i="1" s="1"/>
  <c r="AB214" i="1"/>
  <c r="CY212" i="1"/>
  <c r="X212" i="1" s="1"/>
  <c r="CZ212" i="1"/>
  <c r="Y212" i="1" s="1"/>
  <c r="CY211" i="1"/>
  <c r="X211" i="1" s="1"/>
  <c r="CZ211" i="1"/>
  <c r="Y211" i="1" s="1"/>
  <c r="CC229" i="1"/>
  <c r="CY208" i="1"/>
  <c r="X208" i="1" s="1"/>
  <c r="CZ208" i="1"/>
  <c r="Y208" i="1" s="1"/>
  <c r="CY167" i="1"/>
  <c r="X167" i="1" s="1"/>
  <c r="CZ167" i="1"/>
  <c r="Y167" i="1" s="1"/>
  <c r="CY165" i="1"/>
  <c r="X165" i="1" s="1"/>
  <c r="CZ165" i="1"/>
  <c r="Y165" i="1" s="1"/>
  <c r="CZ157" i="1"/>
  <c r="Y157" i="1" s="1"/>
  <c r="CY157" i="1"/>
  <c r="X157" i="1" s="1"/>
  <c r="BD289" i="1"/>
  <c r="CX306" i="3"/>
  <c r="CX310" i="3"/>
  <c r="CX314" i="3"/>
  <c r="CX309" i="3"/>
  <c r="CX313" i="3"/>
  <c r="CX317" i="3"/>
  <c r="CX308" i="3"/>
  <c r="CX312" i="3"/>
  <c r="CX316" i="3"/>
  <c r="CX307" i="3"/>
  <c r="CX311" i="3"/>
  <c r="CX315" i="3"/>
  <c r="CX302" i="3"/>
  <c r="CX301" i="3"/>
  <c r="CX305" i="3"/>
  <c r="CX304" i="3"/>
  <c r="CX303" i="3"/>
  <c r="CQ265" i="1"/>
  <c r="P265" i="1" s="1"/>
  <c r="CP265" i="1" s="1"/>
  <c r="O265" i="1" s="1"/>
  <c r="CQ264" i="1"/>
  <c r="P264" i="1" s="1"/>
  <c r="CP264" i="1" s="1"/>
  <c r="O264" i="1" s="1"/>
  <c r="CQ263" i="1"/>
  <c r="P263" i="1" s="1"/>
  <c r="BC229" i="1"/>
  <c r="CS216" i="1"/>
  <c r="R216" i="1" s="1"/>
  <c r="GK216" i="1" s="1"/>
  <c r="AD216" i="1"/>
  <c r="AB216" i="1" s="1"/>
  <c r="CQ213" i="1"/>
  <c r="P213" i="1" s="1"/>
  <c r="CP213" i="1" s="1"/>
  <c r="O213" i="1" s="1"/>
  <c r="AB213" i="1"/>
  <c r="AB210" i="1"/>
  <c r="CQ208" i="1"/>
  <c r="P208" i="1" s="1"/>
  <c r="CP208" i="1" s="1"/>
  <c r="O208" i="1" s="1"/>
  <c r="AB208" i="1"/>
  <c r="CS170" i="1"/>
  <c r="R170" i="1" s="1"/>
  <c r="GK170" i="1" s="1"/>
  <c r="AD170" i="1"/>
  <c r="AB170" i="1" s="1"/>
  <c r="CQ169" i="1"/>
  <c r="P169" i="1" s="1"/>
  <c r="CP169" i="1" s="1"/>
  <c r="O169" i="1" s="1"/>
  <c r="AB169" i="1"/>
  <c r="CZ166" i="1"/>
  <c r="Y166" i="1" s="1"/>
  <c r="CZ164" i="1"/>
  <c r="Y164" i="1" s="1"/>
  <c r="CZ162" i="1"/>
  <c r="Y162" i="1" s="1"/>
  <c r="AD160" i="1"/>
  <c r="CS160" i="1"/>
  <c r="R160" i="1" s="1"/>
  <c r="GK160" i="1" s="1"/>
  <c r="CR160" i="1"/>
  <c r="Q160" i="1" s="1"/>
  <c r="BC289" i="1"/>
  <c r="AQ289" i="1"/>
  <c r="BB229" i="1"/>
  <c r="CX238" i="3"/>
  <c r="CX242" i="3"/>
  <c r="CX246" i="3"/>
  <c r="CX237" i="3"/>
  <c r="CX241" i="3"/>
  <c r="CX245" i="3"/>
  <c r="CX236" i="3"/>
  <c r="CX240" i="3"/>
  <c r="CX244" i="3"/>
  <c r="CX239" i="3"/>
  <c r="CX243" i="3"/>
  <c r="CQ216" i="1"/>
  <c r="P216" i="1" s="1"/>
  <c r="CP216" i="1" s="1"/>
  <c r="O216" i="1" s="1"/>
  <c r="CY214" i="1"/>
  <c r="X214" i="1" s="1"/>
  <c r="CZ214" i="1"/>
  <c r="Y214" i="1" s="1"/>
  <c r="CQ212" i="1"/>
  <c r="P212" i="1" s="1"/>
  <c r="CP212" i="1" s="1"/>
  <c r="O212" i="1" s="1"/>
  <c r="AB212" i="1"/>
  <c r="CY209" i="1"/>
  <c r="X209" i="1" s="1"/>
  <c r="CZ209" i="1"/>
  <c r="Y209" i="1" s="1"/>
  <c r="CQ207" i="1"/>
  <c r="P207" i="1" s="1"/>
  <c r="AB207" i="1"/>
  <c r="CY171" i="1"/>
  <c r="X171" i="1" s="1"/>
  <c r="CZ171" i="1"/>
  <c r="Y171" i="1" s="1"/>
  <c r="CS168" i="1"/>
  <c r="R168" i="1" s="1"/>
  <c r="GK168" i="1" s="1"/>
  <c r="AD168" i="1"/>
  <c r="CQ167" i="1"/>
  <c r="P167" i="1" s="1"/>
  <c r="CP167" i="1" s="1"/>
  <c r="O167" i="1" s="1"/>
  <c r="AB167" i="1"/>
  <c r="AB165" i="1"/>
  <c r="CQ165" i="1"/>
  <c r="P165" i="1" s="1"/>
  <c r="CP165" i="1" s="1"/>
  <c r="O165" i="1" s="1"/>
  <c r="AB163" i="1"/>
  <c r="CQ163" i="1"/>
  <c r="P163" i="1" s="1"/>
  <c r="CP163" i="1" s="1"/>
  <c r="O163" i="1" s="1"/>
  <c r="GM159" i="1"/>
  <c r="GP159" i="1"/>
  <c r="AG173" i="1"/>
  <c r="AD154" i="1"/>
  <c r="CS154" i="1"/>
  <c r="R154" i="1" s="1"/>
  <c r="CR154" i="1"/>
  <c r="Q154" i="1" s="1"/>
  <c r="CC173" i="1"/>
  <c r="AJ173" i="1"/>
  <c r="BB289" i="1"/>
  <c r="I278" i="1"/>
  <c r="GX278" i="1" s="1"/>
  <c r="CJ289" i="1" s="1"/>
  <c r="CX286" i="3"/>
  <c r="CX290" i="3"/>
  <c r="CX289" i="3"/>
  <c r="CX288" i="3"/>
  <c r="CX287" i="3"/>
  <c r="CX291" i="3"/>
  <c r="CX278" i="3"/>
  <c r="CX282" i="3"/>
  <c r="CX277" i="3"/>
  <c r="CX281" i="3"/>
  <c r="CX285" i="3"/>
  <c r="CX276" i="3"/>
  <c r="CX280" i="3"/>
  <c r="CX284" i="3"/>
  <c r="CX279" i="3"/>
  <c r="CX283" i="3"/>
  <c r="CX274" i="3"/>
  <c r="CX273" i="3"/>
  <c r="CX272" i="3"/>
  <c r="CX275" i="3"/>
  <c r="CX266" i="3"/>
  <c r="CX270" i="3"/>
  <c r="CX269" i="3"/>
  <c r="CX268" i="3"/>
  <c r="CX267" i="3"/>
  <c r="CX271" i="3"/>
  <c r="CX258" i="3"/>
  <c r="CX262" i="3"/>
  <c r="CX261" i="3"/>
  <c r="CX265" i="3"/>
  <c r="CX260" i="3"/>
  <c r="CX264" i="3"/>
  <c r="CX259" i="3"/>
  <c r="CX263" i="3"/>
  <c r="CX257" i="3"/>
  <c r="CX256" i="3"/>
  <c r="CX255" i="3"/>
  <c r="CX254" i="3"/>
  <c r="CX253" i="3"/>
  <c r="CX252" i="3"/>
  <c r="CX250" i="3"/>
  <c r="CX249" i="3"/>
  <c r="CX248" i="3"/>
  <c r="CX251" i="3"/>
  <c r="AO229" i="1"/>
  <c r="CS217" i="1"/>
  <c r="R217" i="1" s="1"/>
  <c r="GK217" i="1" s="1"/>
  <c r="AD217" i="1"/>
  <c r="CQ211" i="1"/>
  <c r="P211" i="1" s="1"/>
  <c r="CP211" i="1" s="1"/>
  <c r="O211" i="1" s="1"/>
  <c r="AB211" i="1"/>
  <c r="BX149" i="1"/>
  <c r="CG173" i="1"/>
  <c r="AO173" i="1"/>
  <c r="CZ170" i="1"/>
  <c r="Y170" i="1" s="1"/>
  <c r="AB168" i="1"/>
  <c r="CZ158" i="1"/>
  <c r="Y158" i="1" s="1"/>
  <c r="CY158" i="1"/>
  <c r="X158" i="1" s="1"/>
  <c r="AB158" i="1"/>
  <c r="CQ158" i="1"/>
  <c r="P158" i="1" s="1"/>
  <c r="CP158" i="1" s="1"/>
  <c r="O158" i="1" s="1"/>
  <c r="CZ156" i="1"/>
  <c r="Y156" i="1" s="1"/>
  <c r="CY156" i="1"/>
  <c r="X156" i="1" s="1"/>
  <c r="AH173" i="1"/>
  <c r="CQ153" i="1"/>
  <c r="P153" i="1" s="1"/>
  <c r="CS214" i="1"/>
  <c r="R214" i="1" s="1"/>
  <c r="GK214" i="1" s="1"/>
  <c r="CX218" i="3"/>
  <c r="CX217" i="3"/>
  <c r="CX221" i="3"/>
  <c r="CX216" i="3"/>
  <c r="CX220" i="3"/>
  <c r="CX219" i="3"/>
  <c r="CS213" i="1"/>
  <c r="R213" i="1" s="1"/>
  <c r="GK213" i="1" s="1"/>
  <c r="CX206" i="3"/>
  <c r="CX210" i="3"/>
  <c r="CX214" i="3"/>
  <c r="CX209" i="3"/>
  <c r="CX213" i="3"/>
  <c r="CX208" i="3"/>
  <c r="CX212" i="3"/>
  <c r="CX207" i="3"/>
  <c r="CX211" i="3"/>
  <c r="CX215" i="3"/>
  <c r="CS212" i="1"/>
  <c r="R212" i="1" s="1"/>
  <c r="GK212" i="1" s="1"/>
  <c r="CX202" i="3"/>
  <c r="CX205" i="3"/>
  <c r="CX204" i="3"/>
  <c r="CX203" i="3"/>
  <c r="CS211" i="1"/>
  <c r="R211" i="1" s="1"/>
  <c r="GK211" i="1" s="1"/>
  <c r="CQ210" i="1"/>
  <c r="P210" i="1" s="1"/>
  <c r="CP210" i="1" s="1"/>
  <c r="O210" i="1" s="1"/>
  <c r="CS209" i="1"/>
  <c r="R209" i="1" s="1"/>
  <c r="GK209" i="1" s="1"/>
  <c r="CX198" i="3"/>
  <c r="CX197" i="3"/>
  <c r="CX201" i="3"/>
  <c r="CX196" i="3"/>
  <c r="CX200" i="3"/>
  <c r="CX199" i="3"/>
  <c r="CS208" i="1"/>
  <c r="R208" i="1" s="1"/>
  <c r="GK208" i="1" s="1"/>
  <c r="CX189" i="3"/>
  <c r="CX188" i="3"/>
  <c r="CX190" i="3"/>
  <c r="CX194" i="3"/>
  <c r="CX193" i="3"/>
  <c r="CX192" i="3"/>
  <c r="CX191" i="3"/>
  <c r="CX195" i="3"/>
  <c r="CS207" i="1"/>
  <c r="R207" i="1" s="1"/>
  <c r="CI173" i="1"/>
  <c r="BD173" i="1"/>
  <c r="CS171" i="1"/>
  <c r="R171" i="1" s="1"/>
  <c r="GK171" i="1" s="1"/>
  <c r="CQ170" i="1"/>
  <c r="P170" i="1" s="1"/>
  <c r="CP170" i="1" s="1"/>
  <c r="O170" i="1" s="1"/>
  <c r="CS169" i="1"/>
  <c r="R169" i="1" s="1"/>
  <c r="GK169" i="1" s="1"/>
  <c r="CQ168" i="1"/>
  <c r="P168" i="1" s="1"/>
  <c r="CP168" i="1" s="1"/>
  <c r="O168" i="1" s="1"/>
  <c r="CS167" i="1"/>
  <c r="R167" i="1" s="1"/>
  <c r="GK167" i="1" s="1"/>
  <c r="AD161" i="1"/>
  <c r="AB161" i="1" s="1"/>
  <c r="CS161" i="1"/>
  <c r="R161" i="1" s="1"/>
  <c r="GK161" i="1" s="1"/>
  <c r="CP160" i="1"/>
  <c r="O160" i="1" s="1"/>
  <c r="CQ157" i="1"/>
  <c r="P157" i="1" s="1"/>
  <c r="CP157" i="1" s="1"/>
  <c r="O157" i="1" s="1"/>
  <c r="CP154" i="1"/>
  <c r="O154" i="1" s="1"/>
  <c r="BC173" i="1"/>
  <c r="AQ173" i="1"/>
  <c r="CQ161" i="1"/>
  <c r="P161" i="1" s="1"/>
  <c r="CP161" i="1" s="1"/>
  <c r="O161" i="1" s="1"/>
  <c r="AB156" i="1"/>
  <c r="CQ156" i="1"/>
  <c r="P156" i="1" s="1"/>
  <c r="CP156" i="1" s="1"/>
  <c r="O156" i="1" s="1"/>
  <c r="CZ152" i="1"/>
  <c r="Y152" i="1" s="1"/>
  <c r="CY152" i="1"/>
  <c r="X152" i="1" s="1"/>
  <c r="BY91" i="1"/>
  <c r="AP117" i="1"/>
  <c r="CX234" i="3"/>
  <c r="CX233" i="3"/>
  <c r="CX232" i="3"/>
  <c r="CX231" i="3"/>
  <c r="CX235" i="3"/>
  <c r="BB173" i="1"/>
  <c r="AP173" i="1"/>
  <c r="AD166" i="1"/>
  <c r="AB166" i="1" s="1"/>
  <c r="CS166" i="1"/>
  <c r="R166" i="1" s="1"/>
  <c r="GK166" i="1" s="1"/>
  <c r="CS165" i="1"/>
  <c r="R165" i="1" s="1"/>
  <c r="GK165" i="1" s="1"/>
  <c r="AD165" i="1"/>
  <c r="AD164" i="1"/>
  <c r="AB164" i="1" s="1"/>
  <c r="CS164" i="1"/>
  <c r="R164" i="1" s="1"/>
  <c r="GK164" i="1" s="1"/>
  <c r="CS163" i="1"/>
  <c r="R163" i="1" s="1"/>
  <c r="GK163" i="1" s="1"/>
  <c r="AD163" i="1"/>
  <c r="AD162" i="1"/>
  <c r="AB162" i="1" s="1"/>
  <c r="CS162" i="1"/>
  <c r="R162" i="1" s="1"/>
  <c r="GK162" i="1" s="1"/>
  <c r="CQ155" i="1"/>
  <c r="P155" i="1" s="1"/>
  <c r="CP155" i="1" s="1"/>
  <c r="O155" i="1" s="1"/>
  <c r="CZ153" i="1"/>
  <c r="Y153" i="1" s="1"/>
  <c r="CY153" i="1"/>
  <c r="X153" i="1" s="1"/>
  <c r="CP152" i="1"/>
  <c r="O152" i="1" s="1"/>
  <c r="CZ151" i="1"/>
  <c r="Y151" i="1" s="1"/>
  <c r="CY151" i="1"/>
  <c r="X151" i="1" s="1"/>
  <c r="AJ91" i="1"/>
  <c r="W117" i="1"/>
  <c r="CP104" i="1"/>
  <c r="O104" i="1" s="1"/>
  <c r="CX177" i="3"/>
  <c r="CX181" i="3"/>
  <c r="CX185" i="3"/>
  <c r="CX176" i="3"/>
  <c r="CX180" i="3"/>
  <c r="CX184" i="3"/>
  <c r="CX179" i="3"/>
  <c r="CX183" i="3"/>
  <c r="CX178" i="3"/>
  <c r="CX182" i="3"/>
  <c r="CX186" i="3"/>
  <c r="CX173" i="3"/>
  <c r="CX172" i="3"/>
  <c r="CX171" i="3"/>
  <c r="CX175" i="3"/>
  <c r="CX174" i="3"/>
  <c r="AB160" i="1"/>
  <c r="AD158" i="1"/>
  <c r="AD157" i="1"/>
  <c r="AB157" i="1" s="1"/>
  <c r="AD156" i="1"/>
  <c r="AD155" i="1"/>
  <c r="AB155" i="1" s="1"/>
  <c r="AB154" i="1"/>
  <c r="AD153" i="1"/>
  <c r="AB153" i="1" s="1"/>
  <c r="AB152" i="1"/>
  <c r="AB151" i="1"/>
  <c r="BB117" i="1"/>
  <c r="AT117" i="1"/>
  <c r="CQ115" i="1"/>
  <c r="P115" i="1" s="1"/>
  <c r="CP115" i="1" s="1"/>
  <c r="O115" i="1" s="1"/>
  <c r="CZ114" i="1"/>
  <c r="Y114" i="1" s="1"/>
  <c r="CR114" i="1"/>
  <c r="Q114" i="1" s="1"/>
  <c r="T114" i="1"/>
  <c r="CQ113" i="1"/>
  <c r="P113" i="1" s="1"/>
  <c r="CP113" i="1" s="1"/>
  <c r="O113" i="1" s="1"/>
  <c r="CZ112" i="1"/>
  <c r="Y112" i="1" s="1"/>
  <c r="CR112" i="1"/>
  <c r="Q112" i="1" s="1"/>
  <c r="T112" i="1"/>
  <c r="CQ111" i="1"/>
  <c r="P111" i="1" s="1"/>
  <c r="CP111" i="1" s="1"/>
  <c r="O111" i="1" s="1"/>
  <c r="CZ110" i="1"/>
  <c r="Y110" i="1" s="1"/>
  <c r="CR110" i="1"/>
  <c r="Q110" i="1" s="1"/>
  <c r="T110" i="1"/>
  <c r="CQ109" i="1"/>
  <c r="P109" i="1" s="1"/>
  <c r="CP109" i="1" s="1"/>
  <c r="O109" i="1" s="1"/>
  <c r="CZ108" i="1"/>
  <c r="Y108" i="1" s="1"/>
  <c r="CR108" i="1"/>
  <c r="Q108" i="1" s="1"/>
  <c r="T108" i="1"/>
  <c r="CQ107" i="1"/>
  <c r="P107" i="1" s="1"/>
  <c r="CP107" i="1" s="1"/>
  <c r="O107" i="1" s="1"/>
  <c r="CZ106" i="1"/>
  <c r="Y106" i="1" s="1"/>
  <c r="CR106" i="1"/>
  <c r="Q106" i="1" s="1"/>
  <c r="T106" i="1"/>
  <c r="AG117" i="1" s="1"/>
  <c r="CQ105" i="1"/>
  <c r="P105" i="1" s="1"/>
  <c r="CP105" i="1" s="1"/>
  <c r="O105" i="1" s="1"/>
  <c r="CP101" i="1"/>
  <c r="O101" i="1" s="1"/>
  <c r="CZ100" i="1"/>
  <c r="Y100" i="1" s="1"/>
  <c r="GX46" i="1"/>
  <c r="BA117" i="1"/>
  <c r="AS117" i="1"/>
  <c r="CY103" i="1"/>
  <c r="X103" i="1" s="1"/>
  <c r="GP103" i="1" s="1"/>
  <c r="CZ103" i="1"/>
  <c r="Y103" i="1" s="1"/>
  <c r="GM103" i="1" s="1"/>
  <c r="CZ101" i="1"/>
  <c r="Y101" i="1" s="1"/>
  <c r="CY101" i="1"/>
  <c r="X101" i="1" s="1"/>
  <c r="AB101" i="1"/>
  <c r="AH117" i="1"/>
  <c r="CQ94" i="1"/>
  <c r="P94" i="1" s="1"/>
  <c r="CP94" i="1" s="1"/>
  <c r="O94" i="1" s="1"/>
  <c r="CX157" i="3"/>
  <c r="CX161" i="3"/>
  <c r="CX156" i="3"/>
  <c r="CX160" i="3"/>
  <c r="CX159" i="3"/>
  <c r="CX158" i="3"/>
  <c r="CX149" i="3"/>
  <c r="CX153" i="3"/>
  <c r="CX148" i="3"/>
  <c r="CX152" i="3"/>
  <c r="CX147" i="3"/>
  <c r="CX151" i="3"/>
  <c r="CX155" i="3"/>
  <c r="CX154" i="3"/>
  <c r="CX150" i="3"/>
  <c r="CX146" i="3"/>
  <c r="CX145" i="3"/>
  <c r="CX144" i="3"/>
  <c r="CX143" i="3"/>
  <c r="CX142" i="3"/>
  <c r="CG117" i="1"/>
  <c r="AF117" i="1"/>
  <c r="BZ117" i="1"/>
  <c r="CI117" i="1" s="1"/>
  <c r="AB98" i="1"/>
  <c r="CQ98" i="1"/>
  <c r="P98" i="1" s="1"/>
  <c r="CP98" i="1" s="1"/>
  <c r="O98" i="1" s="1"/>
  <c r="AD117" i="1"/>
  <c r="CZ93" i="1"/>
  <c r="Y93" i="1" s="1"/>
  <c r="CY93" i="1"/>
  <c r="X93" i="1" s="1"/>
  <c r="AO117" i="1"/>
  <c r="CY115" i="1"/>
  <c r="X115" i="1" s="1"/>
  <c r="CP114" i="1"/>
  <c r="O114" i="1" s="1"/>
  <c r="CY113" i="1"/>
  <c r="X113" i="1" s="1"/>
  <c r="CP112" i="1"/>
  <c r="O112" i="1" s="1"/>
  <c r="CY111" i="1"/>
  <c r="X111" i="1" s="1"/>
  <c r="CP110" i="1"/>
  <c r="O110" i="1" s="1"/>
  <c r="CY109" i="1"/>
  <c r="X109" i="1" s="1"/>
  <c r="CP108" i="1"/>
  <c r="O108" i="1" s="1"/>
  <c r="CY107" i="1"/>
  <c r="X107" i="1" s="1"/>
  <c r="CP106" i="1"/>
  <c r="O106" i="1" s="1"/>
  <c r="CY105" i="1"/>
  <c r="X105" i="1" s="1"/>
  <c r="AB104" i="1"/>
  <c r="CY102" i="1"/>
  <c r="X102" i="1" s="1"/>
  <c r="GP102" i="1" s="1"/>
  <c r="CZ102" i="1"/>
  <c r="Y102" i="1" s="1"/>
  <c r="AB100" i="1"/>
  <c r="CQ100" i="1"/>
  <c r="P100" i="1" s="1"/>
  <c r="CP100" i="1" s="1"/>
  <c r="O100" i="1" s="1"/>
  <c r="CZ98" i="1"/>
  <c r="Y98" i="1" s="1"/>
  <c r="CX137" i="3"/>
  <c r="CX141" i="3"/>
  <c r="CX136" i="3"/>
  <c r="CX140" i="3"/>
  <c r="CX139" i="3"/>
  <c r="CX138" i="3"/>
  <c r="CX129" i="3"/>
  <c r="CX133" i="3"/>
  <c r="CX128" i="3"/>
  <c r="CX132" i="3"/>
  <c r="CX131" i="3"/>
  <c r="CX135" i="3"/>
  <c r="CX130" i="3"/>
  <c r="CX134" i="3"/>
  <c r="BD117" i="1"/>
  <c r="CX117" i="3"/>
  <c r="CX121" i="3"/>
  <c r="CX125" i="3"/>
  <c r="CX116" i="3"/>
  <c r="CX120" i="3"/>
  <c r="CX124" i="3"/>
  <c r="CX115" i="3"/>
  <c r="CX119" i="3"/>
  <c r="CX123" i="3"/>
  <c r="CX114" i="3"/>
  <c r="CX118" i="3"/>
  <c r="CX122" i="3"/>
  <c r="CX126" i="3"/>
  <c r="CX109" i="3"/>
  <c r="CX113" i="3"/>
  <c r="CX112" i="3"/>
  <c r="CX111" i="3"/>
  <c r="CX110" i="3"/>
  <c r="CS99" i="1"/>
  <c r="R99" i="1" s="1"/>
  <c r="GK99" i="1" s="1"/>
  <c r="AD99" i="1"/>
  <c r="CS97" i="1"/>
  <c r="R97" i="1" s="1"/>
  <c r="GK97" i="1" s="1"/>
  <c r="AD97" i="1"/>
  <c r="AD96" i="1"/>
  <c r="CS96" i="1"/>
  <c r="R96" i="1" s="1"/>
  <c r="GK96" i="1" s="1"/>
  <c r="CS95" i="1"/>
  <c r="R95" i="1" s="1"/>
  <c r="GK95" i="1" s="1"/>
  <c r="AD95" i="1"/>
  <c r="CQ93" i="1"/>
  <c r="P93" i="1" s="1"/>
  <c r="S53" i="1"/>
  <c r="R53" i="1"/>
  <c r="GK53" i="1" s="1"/>
  <c r="BC117" i="1"/>
  <c r="AB99" i="1"/>
  <c r="CQ99" i="1"/>
  <c r="P99" i="1" s="1"/>
  <c r="CP99" i="1" s="1"/>
  <c r="O99" i="1" s="1"/>
  <c r="AB97" i="1"/>
  <c r="CQ97" i="1"/>
  <c r="P97" i="1" s="1"/>
  <c r="CP97" i="1" s="1"/>
  <c r="O97" i="1" s="1"/>
  <c r="CQ96" i="1"/>
  <c r="P96" i="1" s="1"/>
  <c r="CP96" i="1" s="1"/>
  <c r="O96" i="1" s="1"/>
  <c r="AB96" i="1"/>
  <c r="AB95" i="1"/>
  <c r="CQ95" i="1"/>
  <c r="P95" i="1" s="1"/>
  <c r="CP95" i="1" s="1"/>
  <c r="O95" i="1" s="1"/>
  <c r="BD56" i="1"/>
  <c r="CY54" i="1"/>
  <c r="X54" i="1" s="1"/>
  <c r="CZ54" i="1"/>
  <c r="Y54" i="1" s="1"/>
  <c r="Q53" i="1"/>
  <c r="R52" i="1"/>
  <c r="GK52" i="1" s="1"/>
  <c r="CS100" i="1"/>
  <c r="R100" i="1" s="1"/>
  <c r="GK100" i="1" s="1"/>
  <c r="AD100" i="1"/>
  <c r="CS98" i="1"/>
  <c r="R98" i="1" s="1"/>
  <c r="GK98" i="1" s="1"/>
  <c r="AD98" i="1"/>
  <c r="CS94" i="1"/>
  <c r="R94" i="1" s="1"/>
  <c r="AD94" i="1"/>
  <c r="AB94" i="1" s="1"/>
  <c r="AZ30" i="1"/>
  <c r="F67" i="1"/>
  <c r="CP54" i="1"/>
  <c r="O54" i="1" s="1"/>
  <c r="P53" i="1"/>
  <c r="CP53" i="1" s="1"/>
  <c r="O53" i="1" s="1"/>
  <c r="CP51" i="1"/>
  <c r="O51" i="1" s="1"/>
  <c r="AD93" i="1"/>
  <c r="AB93" i="1" s="1"/>
  <c r="AS56" i="1"/>
  <c r="AO56" i="1"/>
  <c r="S52" i="1"/>
  <c r="CP48" i="1"/>
  <c r="O48" i="1" s="1"/>
  <c r="AB47" i="1"/>
  <c r="W46" i="1"/>
  <c r="AB46" i="1"/>
  <c r="S45" i="1"/>
  <c r="CY42" i="1"/>
  <c r="X42" i="1" s="1"/>
  <c r="CZ42" i="1"/>
  <c r="Y42" i="1" s="1"/>
  <c r="AB42" i="1"/>
  <c r="AB35" i="1"/>
  <c r="CQ35" i="1"/>
  <c r="P35" i="1" s="1"/>
  <c r="CP35" i="1" s="1"/>
  <c r="O35" i="1" s="1"/>
  <c r="AB54" i="1"/>
  <c r="AD53" i="1"/>
  <c r="AB53" i="1" s="1"/>
  <c r="T51" i="1"/>
  <c r="GX50" i="1"/>
  <c r="T50" i="1"/>
  <c r="CX53" i="3"/>
  <c r="CX57" i="3"/>
  <c r="CX61" i="3"/>
  <c r="CX56" i="3"/>
  <c r="CX60" i="3"/>
  <c r="CX64" i="3"/>
  <c r="CX55" i="3"/>
  <c r="CX59" i="3"/>
  <c r="CX63" i="3"/>
  <c r="CX54" i="3"/>
  <c r="CX58" i="3"/>
  <c r="CX62" i="3"/>
  <c r="I45" i="1"/>
  <c r="AB41" i="1"/>
  <c r="CZ38" i="1"/>
  <c r="Y38" i="1" s="1"/>
  <c r="CY38" i="1"/>
  <c r="X38" i="1" s="1"/>
  <c r="GP38" i="1" s="1"/>
  <c r="CY33" i="1"/>
  <c r="X33" i="1" s="1"/>
  <c r="CZ33" i="1"/>
  <c r="Y33" i="1" s="1"/>
  <c r="CX97" i="3"/>
  <c r="CX96" i="3"/>
  <c r="CX95" i="3"/>
  <c r="CX99" i="3"/>
  <c r="CX94" i="3"/>
  <c r="CX98" i="3"/>
  <c r="CX85" i="3"/>
  <c r="CX89" i="3"/>
  <c r="CX93" i="3"/>
  <c r="CX84" i="3"/>
  <c r="CX88" i="3"/>
  <c r="CX92" i="3"/>
  <c r="CX87" i="3"/>
  <c r="CX91" i="3"/>
  <c r="CX86" i="3"/>
  <c r="CX90" i="3"/>
  <c r="CX81" i="3"/>
  <c r="CX80" i="3"/>
  <c r="CX83" i="3"/>
  <c r="CX82" i="3"/>
  <c r="CX77" i="3"/>
  <c r="CX76" i="3"/>
  <c r="CX75" i="3"/>
  <c r="CX79" i="3"/>
  <c r="CX74" i="3"/>
  <c r="CX78" i="3"/>
  <c r="CX69" i="3"/>
  <c r="CX73" i="3"/>
  <c r="CX68" i="3"/>
  <c r="CX72" i="3"/>
  <c r="CX67" i="3"/>
  <c r="CX71" i="3"/>
  <c r="CX66" i="3"/>
  <c r="CX70" i="3"/>
  <c r="BC56" i="1"/>
  <c r="AQ56" i="1"/>
  <c r="I52" i="1"/>
  <c r="W51" i="1"/>
  <c r="S51" i="1"/>
  <c r="W50" i="1"/>
  <c r="S50" i="1"/>
  <c r="GX49" i="1"/>
  <c r="GX48" i="1"/>
  <c r="I47" i="1"/>
  <c r="U46" i="1"/>
  <c r="I46" i="1"/>
  <c r="Q45" i="1"/>
  <c r="U45" i="1"/>
  <c r="T44" i="1"/>
  <c r="W44" i="1"/>
  <c r="S44" i="1"/>
  <c r="AB44" i="1"/>
  <c r="CP43" i="1"/>
  <c r="O43" i="1" s="1"/>
  <c r="CX49" i="3"/>
  <c r="CX48" i="3"/>
  <c r="CX52" i="3"/>
  <c r="CX51" i="3"/>
  <c r="CX50" i="3"/>
  <c r="CZ40" i="1"/>
  <c r="Y40" i="1" s="1"/>
  <c r="CY40" i="1"/>
  <c r="X40" i="1" s="1"/>
  <c r="GM40" i="1" s="1"/>
  <c r="CZ37" i="1"/>
  <c r="Y37" i="1" s="1"/>
  <c r="CY37" i="1"/>
  <c r="X37" i="1" s="1"/>
  <c r="BB56" i="1"/>
  <c r="AX56" i="1"/>
  <c r="AT56" i="1"/>
  <c r="AP56" i="1"/>
  <c r="I53" i="1"/>
  <c r="GX53" i="1" s="1"/>
  <c r="W49" i="1"/>
  <c r="S49" i="1"/>
  <c r="W48" i="1"/>
  <c r="S48" i="1"/>
  <c r="V45" i="1"/>
  <c r="S43" i="1"/>
  <c r="AB43" i="1"/>
  <c r="CP42" i="1"/>
  <c r="O42" i="1" s="1"/>
  <c r="CZ39" i="1"/>
  <c r="Y39" i="1" s="1"/>
  <c r="GM39" i="1" s="1"/>
  <c r="CY39" i="1"/>
  <c r="X39" i="1" s="1"/>
  <c r="GP39" i="1" s="1"/>
  <c r="CP36" i="1"/>
  <c r="O36" i="1" s="1"/>
  <c r="CY34" i="1"/>
  <c r="X34" i="1" s="1"/>
  <c r="CZ34" i="1"/>
  <c r="Y34" i="1" s="1"/>
  <c r="AB33" i="1"/>
  <c r="CQ33" i="1"/>
  <c r="P33" i="1" s="1"/>
  <c r="CP33" i="1" s="1"/>
  <c r="O33" i="1" s="1"/>
  <c r="AB40" i="1"/>
  <c r="AB38" i="1"/>
  <c r="AB37" i="1"/>
  <c r="CQ37" i="1"/>
  <c r="P37" i="1" s="1"/>
  <c r="CP37" i="1" s="1"/>
  <c r="O37" i="1" s="1"/>
  <c r="AD32" i="1"/>
  <c r="CS32" i="1"/>
  <c r="R32" i="1" s="1"/>
  <c r="CR32" i="1"/>
  <c r="Q32" i="1" s="1"/>
  <c r="AD36" i="1"/>
  <c r="AB36" i="1" s="1"/>
  <c r="CS36" i="1"/>
  <c r="R36" i="1" s="1"/>
  <c r="GK36" i="1" s="1"/>
  <c r="CY35" i="1"/>
  <c r="X35" i="1" s="1"/>
  <c r="CZ35" i="1"/>
  <c r="Y35" i="1" s="1"/>
  <c r="CR41" i="1"/>
  <c r="Q41" i="1" s="1"/>
  <c r="CP41" i="1" s="1"/>
  <c r="O41" i="1" s="1"/>
  <c r="AD41" i="1"/>
  <c r="AB39" i="1"/>
  <c r="CR36" i="1"/>
  <c r="Q36" i="1" s="1"/>
  <c r="AB34" i="1"/>
  <c r="CQ34" i="1"/>
  <c r="P34" i="1" s="1"/>
  <c r="CP34" i="1" s="1"/>
  <c r="O34" i="1" s="1"/>
  <c r="CY32" i="1"/>
  <c r="X32" i="1" s="1"/>
  <c r="CZ32" i="1"/>
  <c r="Y32" i="1" s="1"/>
  <c r="CX33" i="3"/>
  <c r="CX37" i="3"/>
  <c r="CX36" i="3"/>
  <c r="CX35" i="3"/>
  <c r="CX34" i="3"/>
  <c r="CX38" i="3"/>
  <c r="CX25" i="3"/>
  <c r="CX29" i="3"/>
  <c r="CX24" i="3"/>
  <c r="CX28" i="3"/>
  <c r="CX32" i="3"/>
  <c r="CX23" i="3"/>
  <c r="CX27" i="3"/>
  <c r="CX31" i="3"/>
  <c r="CX26" i="3"/>
  <c r="CX30" i="3"/>
  <c r="CX21" i="3"/>
  <c r="CX20" i="3"/>
  <c r="CX19" i="3"/>
  <c r="CX22" i="3"/>
  <c r="CX13" i="3"/>
  <c r="CX17" i="3"/>
  <c r="CX16" i="3"/>
  <c r="CX15" i="3"/>
  <c r="CX14" i="3"/>
  <c r="CX18" i="3"/>
  <c r="CX5" i="3"/>
  <c r="CX9" i="3"/>
  <c r="CX8" i="3"/>
  <c r="CX12" i="3"/>
  <c r="CX7" i="3"/>
  <c r="CX11" i="3"/>
  <c r="CX6" i="3"/>
  <c r="CX10" i="3"/>
  <c r="CQ32" i="1"/>
  <c r="P32" i="1" s="1"/>
  <c r="AB32" i="1"/>
  <c r="I345" i="5" l="1"/>
  <c r="I610" i="5"/>
  <c r="I738" i="5"/>
  <c r="I732" i="5"/>
  <c r="I726" i="5"/>
  <c r="I142" i="5"/>
  <c r="I575" i="5"/>
  <c r="CI405" i="1"/>
  <c r="AZ418" i="1"/>
  <c r="GP268" i="1"/>
  <c r="GM268" i="1"/>
  <c r="T117" i="1"/>
  <c r="AG91" i="1"/>
  <c r="AL359" i="1"/>
  <c r="Y373" i="1"/>
  <c r="BA289" i="1"/>
  <c r="CJ261" i="1"/>
  <c r="GP267" i="1"/>
  <c r="GM267" i="1"/>
  <c r="CI91" i="1"/>
  <c r="AZ117" i="1"/>
  <c r="GP41" i="1"/>
  <c r="GM41" i="1"/>
  <c r="W289" i="1"/>
  <c r="AJ261" i="1"/>
  <c r="GP282" i="1"/>
  <c r="GM282" i="1"/>
  <c r="AD359" i="1"/>
  <c r="Q373" i="1"/>
  <c r="AI418" i="1"/>
  <c r="GP33" i="1"/>
  <c r="GM33" i="1"/>
  <c r="AP30" i="1"/>
  <c r="F65" i="1"/>
  <c r="GX47" i="1"/>
  <c r="V47" i="1"/>
  <c r="P47" i="1"/>
  <c r="AC56" i="1" s="1"/>
  <c r="R47" i="1"/>
  <c r="GK47" i="1" s="1"/>
  <c r="AD91" i="1"/>
  <c r="Q117" i="1"/>
  <c r="BB149" i="1"/>
  <c r="F186" i="1"/>
  <c r="GP161" i="1"/>
  <c r="GM161" i="1"/>
  <c r="GP167" i="1"/>
  <c r="GM167" i="1"/>
  <c r="AQ261" i="1"/>
  <c r="F299" i="1"/>
  <c r="CP263" i="1"/>
  <c r="O263" i="1" s="1"/>
  <c r="AC289" i="1"/>
  <c r="F314" i="1"/>
  <c r="BD261" i="1"/>
  <c r="GP164" i="1"/>
  <c r="GM164" i="1"/>
  <c r="BD205" i="1"/>
  <c r="F254" i="1"/>
  <c r="GP270" i="1"/>
  <c r="GM270" i="1"/>
  <c r="GP274" i="1"/>
  <c r="GM274" i="1"/>
  <c r="GP266" i="1"/>
  <c r="GM266" i="1"/>
  <c r="AE321" i="1"/>
  <c r="R327" i="1"/>
  <c r="CC359" i="1"/>
  <c r="AT373" i="1"/>
  <c r="CZ416" i="1"/>
  <c r="Y416" i="1" s="1"/>
  <c r="CY416" i="1"/>
  <c r="X416" i="1" s="1"/>
  <c r="AE505" i="1"/>
  <c r="GK498" i="1"/>
  <c r="BC405" i="1"/>
  <c r="F434" i="1"/>
  <c r="F349" i="1"/>
  <c r="U321" i="1"/>
  <c r="Y505" i="1"/>
  <c r="AL496" i="1"/>
  <c r="CP416" i="1"/>
  <c r="O416" i="1" s="1"/>
  <c r="F522" i="1"/>
  <c r="AS496" i="1"/>
  <c r="AH359" i="1"/>
  <c r="U373" i="1"/>
  <c r="AF450" i="1"/>
  <c r="S464" i="1"/>
  <c r="AG450" i="1"/>
  <c r="T464" i="1"/>
  <c r="AQ496" i="1"/>
  <c r="F515" i="1"/>
  <c r="AD56" i="1"/>
  <c r="CY43" i="1"/>
  <c r="X43" i="1" s="1"/>
  <c r="CZ43" i="1"/>
  <c r="Y43" i="1" s="1"/>
  <c r="CZ49" i="1"/>
  <c r="Y49" i="1" s="1"/>
  <c r="CY49" i="1"/>
  <c r="X49" i="1" s="1"/>
  <c r="AT30" i="1"/>
  <c r="F74" i="1"/>
  <c r="AT535" i="1"/>
  <c r="V46" i="1"/>
  <c r="P46" i="1"/>
  <c r="R46" i="1"/>
  <c r="GK46" i="1" s="1"/>
  <c r="U47" i="1"/>
  <c r="CZ50" i="1"/>
  <c r="Y50" i="1" s="1"/>
  <c r="CY50" i="1"/>
  <c r="X50" i="1" s="1"/>
  <c r="T52" i="1"/>
  <c r="P52" i="1"/>
  <c r="CP52" i="1" s="1"/>
  <c r="O52" i="1" s="1"/>
  <c r="U52" i="1"/>
  <c r="Q52" i="1"/>
  <c r="V52" i="1"/>
  <c r="GX45" i="1"/>
  <c r="P45" i="1"/>
  <c r="CP45" i="1" s="1"/>
  <c r="O45" i="1" s="1"/>
  <c r="GP35" i="1"/>
  <c r="GM35" i="1"/>
  <c r="S46" i="1"/>
  <c r="AF56" i="1" s="1"/>
  <c r="W47" i="1"/>
  <c r="W52" i="1"/>
  <c r="CP50" i="1"/>
  <c r="O50" i="1" s="1"/>
  <c r="U53" i="1"/>
  <c r="T46" i="1"/>
  <c r="W53" i="1"/>
  <c r="GP95" i="1"/>
  <c r="GM95" i="1"/>
  <c r="GP97" i="1"/>
  <c r="GM97" i="1"/>
  <c r="BC91" i="1"/>
  <c r="F133" i="1"/>
  <c r="V53" i="1"/>
  <c r="GP100" i="1"/>
  <c r="GM100" i="1"/>
  <c r="GP108" i="1"/>
  <c r="GM108" i="1"/>
  <c r="GP112" i="1"/>
  <c r="GM112" i="1"/>
  <c r="F121" i="1"/>
  <c r="AO91" i="1"/>
  <c r="GP98" i="1"/>
  <c r="GM98" i="1"/>
  <c r="CG91" i="1"/>
  <c r="AX117" i="1"/>
  <c r="T47" i="1"/>
  <c r="GM105" i="1"/>
  <c r="GP105" i="1"/>
  <c r="GM107" i="1"/>
  <c r="GP107" i="1"/>
  <c r="GM109" i="1"/>
  <c r="GP109" i="1"/>
  <c r="GM111" i="1"/>
  <c r="GP111" i="1"/>
  <c r="GM113" i="1"/>
  <c r="GP113" i="1"/>
  <c r="GM115" i="1"/>
  <c r="GP115" i="1"/>
  <c r="GM102" i="1"/>
  <c r="GM156" i="1"/>
  <c r="GP156" i="1"/>
  <c r="AQ149" i="1"/>
  <c r="F183" i="1"/>
  <c r="GP210" i="1"/>
  <c r="GM210" i="1"/>
  <c r="AO149" i="1"/>
  <c r="F177" i="1"/>
  <c r="GP211" i="1"/>
  <c r="GM211" i="1"/>
  <c r="GP165" i="1"/>
  <c r="GM165" i="1"/>
  <c r="F305" i="1"/>
  <c r="BC261" i="1"/>
  <c r="GP169" i="1"/>
  <c r="GM169" i="1"/>
  <c r="GP208" i="1"/>
  <c r="GM208" i="1"/>
  <c r="GP264" i="1"/>
  <c r="GM264" i="1"/>
  <c r="AT229" i="1"/>
  <c r="CC205" i="1"/>
  <c r="GP219" i="1"/>
  <c r="GM219" i="1"/>
  <c r="GP227" i="1"/>
  <c r="GM227" i="1"/>
  <c r="AO405" i="1"/>
  <c r="F422" i="1"/>
  <c r="AJ205" i="1"/>
  <c r="W229" i="1"/>
  <c r="GM218" i="1"/>
  <c r="GP218" i="1"/>
  <c r="GM224" i="1"/>
  <c r="GP224" i="1"/>
  <c r="GP287" i="1"/>
  <c r="GM287" i="1"/>
  <c r="AT321" i="1"/>
  <c r="F345" i="1"/>
  <c r="AF205" i="1"/>
  <c r="S229" i="1"/>
  <c r="GP209" i="1"/>
  <c r="GM209" i="1"/>
  <c r="AG205" i="1"/>
  <c r="T229" i="1"/>
  <c r="CP361" i="1"/>
  <c r="O361" i="1" s="1"/>
  <c r="AC373" i="1"/>
  <c r="GP365" i="1"/>
  <c r="GM365" i="1"/>
  <c r="F382" i="1"/>
  <c r="AP359" i="1"/>
  <c r="CG359" i="1"/>
  <c r="AX373" i="1"/>
  <c r="CZ410" i="1"/>
  <c r="Y410" i="1" s="1"/>
  <c r="CY410" i="1"/>
  <c r="X410" i="1" s="1"/>
  <c r="CZ412" i="1"/>
  <c r="Y412" i="1" s="1"/>
  <c r="CY412" i="1"/>
  <c r="X412" i="1" s="1"/>
  <c r="GP368" i="1"/>
  <c r="GM368" i="1"/>
  <c r="V278" i="1"/>
  <c r="AI289" i="1" s="1"/>
  <c r="AD321" i="1"/>
  <c r="Q327" i="1"/>
  <c r="CZ413" i="1"/>
  <c r="Y413" i="1" s="1"/>
  <c r="CY413" i="1"/>
  <c r="X413" i="1" s="1"/>
  <c r="GP369" i="1"/>
  <c r="GM369" i="1"/>
  <c r="GP281" i="1"/>
  <c r="GM281" i="1"/>
  <c r="AQ321" i="1"/>
  <c r="F337" i="1"/>
  <c r="GM408" i="1"/>
  <c r="GP408" i="1"/>
  <c r="P410" i="1"/>
  <c r="AC418" i="1" s="1"/>
  <c r="T410" i="1"/>
  <c r="GX410" i="1"/>
  <c r="U411" i="1"/>
  <c r="GP276" i="1"/>
  <c r="GM276" i="1"/>
  <c r="GP371" i="1"/>
  <c r="GM371" i="1"/>
  <c r="F514" i="1"/>
  <c r="AP496" i="1"/>
  <c r="CJ450" i="1"/>
  <c r="BA464" i="1"/>
  <c r="GP498" i="1"/>
  <c r="GM498" i="1"/>
  <c r="AB505" i="1"/>
  <c r="X505" i="1"/>
  <c r="AK496" i="1"/>
  <c r="AI450" i="1"/>
  <c r="V464" i="1"/>
  <c r="F394" i="1"/>
  <c r="T359" i="1"/>
  <c r="R411" i="1"/>
  <c r="GK411" i="1" s="1"/>
  <c r="T505" i="1"/>
  <c r="AG496" i="1"/>
  <c r="V359" i="1"/>
  <c r="F396" i="1"/>
  <c r="AK464" i="1"/>
  <c r="AS450" i="1"/>
  <c r="F481" i="1"/>
  <c r="W505" i="1"/>
  <c r="AJ496" i="1"/>
  <c r="AZ496" i="1"/>
  <c r="F516" i="1"/>
  <c r="GM452" i="1"/>
  <c r="AB464" i="1"/>
  <c r="GP452" i="1"/>
  <c r="AD496" i="1"/>
  <c r="Q505" i="1"/>
  <c r="CY44" i="1"/>
  <c r="X44" i="1" s="1"/>
  <c r="CZ44" i="1"/>
  <c r="Y44" i="1" s="1"/>
  <c r="GM38" i="1"/>
  <c r="GP96" i="1"/>
  <c r="GM96" i="1"/>
  <c r="CP93" i="1"/>
  <c r="O93" i="1" s="1"/>
  <c r="AC117" i="1"/>
  <c r="AH91" i="1"/>
  <c r="U117" i="1"/>
  <c r="GM101" i="1"/>
  <c r="GP101" i="1"/>
  <c r="GM152" i="1"/>
  <c r="GP152" i="1"/>
  <c r="GP170" i="1"/>
  <c r="GM170" i="1"/>
  <c r="AH149" i="1"/>
  <c r="U173" i="1"/>
  <c r="AG149" i="1"/>
  <c r="T173" i="1"/>
  <c r="GP213" i="1"/>
  <c r="GM213" i="1"/>
  <c r="AP261" i="1"/>
  <c r="F298" i="1"/>
  <c r="AJ418" i="1"/>
  <c r="GP370" i="1"/>
  <c r="GM370" i="1"/>
  <c r="CP32" i="1"/>
  <c r="O32" i="1" s="1"/>
  <c r="AX30" i="1"/>
  <c r="F63" i="1"/>
  <c r="Q47" i="1"/>
  <c r="GP40" i="1"/>
  <c r="CP44" i="1"/>
  <c r="O44" i="1" s="1"/>
  <c r="AO30" i="1"/>
  <c r="F60" i="1"/>
  <c r="AO535" i="1"/>
  <c r="GP54" i="1"/>
  <c r="GM54" i="1"/>
  <c r="AK117" i="1"/>
  <c r="GP94" i="1"/>
  <c r="AS91" i="1"/>
  <c r="F134" i="1"/>
  <c r="T53" i="1"/>
  <c r="AT91" i="1"/>
  <c r="F135" i="1"/>
  <c r="AK173" i="1"/>
  <c r="BC149" i="1"/>
  <c r="F189" i="1"/>
  <c r="GP160" i="1"/>
  <c r="GM160" i="1"/>
  <c r="GP168" i="1"/>
  <c r="GM168" i="1"/>
  <c r="BD149" i="1"/>
  <c r="F198" i="1"/>
  <c r="AC173" i="1"/>
  <c r="CP153" i="1"/>
  <c r="O153" i="1" s="1"/>
  <c r="CG149" i="1"/>
  <c r="AX173" i="1"/>
  <c r="BB261" i="1"/>
  <c r="F302" i="1"/>
  <c r="GK154" i="1"/>
  <c r="AE173" i="1"/>
  <c r="GP216" i="1"/>
  <c r="GM216" i="1"/>
  <c r="GP265" i="1"/>
  <c r="GM265" i="1"/>
  <c r="CB205" i="1"/>
  <c r="AS229" i="1"/>
  <c r="GP221" i="1"/>
  <c r="GM221" i="1"/>
  <c r="CC261" i="1"/>
  <c r="AT289" i="1"/>
  <c r="GP275" i="1"/>
  <c r="GM275" i="1"/>
  <c r="GP279" i="1"/>
  <c r="GM279" i="1"/>
  <c r="AF149" i="1"/>
  <c r="S173" i="1"/>
  <c r="GP162" i="1"/>
  <c r="GM162" i="1"/>
  <c r="AI205" i="1"/>
  <c r="V229" i="1"/>
  <c r="BY205" i="1"/>
  <c r="AP229" i="1"/>
  <c r="CI229" i="1"/>
  <c r="GM226" i="1"/>
  <c r="GP226" i="1"/>
  <c r="AO261" i="1"/>
  <c r="F293" i="1"/>
  <c r="BB321" i="1"/>
  <c r="F340" i="1"/>
  <c r="GP171" i="1"/>
  <c r="GM171" i="1"/>
  <c r="AL229" i="1"/>
  <c r="AD205" i="1"/>
  <c r="Q229" i="1"/>
  <c r="GP271" i="1"/>
  <c r="GM271" i="1"/>
  <c r="GP273" i="1"/>
  <c r="GM273" i="1"/>
  <c r="GP277" i="1"/>
  <c r="GM277" i="1"/>
  <c r="GP283" i="1"/>
  <c r="GM283" i="1"/>
  <c r="GP324" i="1"/>
  <c r="GM324" i="1"/>
  <c r="F386" i="1"/>
  <c r="BB359" i="1"/>
  <c r="AK321" i="1"/>
  <c r="X327" i="1"/>
  <c r="W373" i="1"/>
  <c r="AJ359" i="1"/>
  <c r="CB405" i="1"/>
  <c r="AS418" i="1"/>
  <c r="Q278" i="1"/>
  <c r="AD289" i="1" s="1"/>
  <c r="U278" i="1"/>
  <c r="AH289" i="1" s="1"/>
  <c r="AG321" i="1"/>
  <c r="T327" i="1"/>
  <c r="GM325" i="1"/>
  <c r="CZ415" i="1"/>
  <c r="Y415" i="1" s="1"/>
  <c r="CY415" i="1"/>
  <c r="X415" i="1" s="1"/>
  <c r="AZ464" i="1"/>
  <c r="CI450" i="1"/>
  <c r="GP166" i="1"/>
  <c r="GM166" i="1"/>
  <c r="AF321" i="1"/>
  <c r="S327" i="1"/>
  <c r="AX327" i="1"/>
  <c r="CG321" i="1"/>
  <c r="AP321" i="1"/>
  <c r="F336" i="1"/>
  <c r="S373" i="1"/>
  <c r="AF359" i="1"/>
  <c r="AS359" i="1"/>
  <c r="F390" i="1"/>
  <c r="P409" i="1"/>
  <c r="CP409" i="1" s="1"/>
  <c r="O409" i="1" s="1"/>
  <c r="T409" i="1"/>
  <c r="GX409" i="1"/>
  <c r="GP502" i="1"/>
  <c r="GM502" i="1"/>
  <c r="GP151" i="1"/>
  <c r="F473" i="1"/>
  <c r="AP450" i="1"/>
  <c r="AT496" i="1"/>
  <c r="F523" i="1"/>
  <c r="CP415" i="1"/>
  <c r="O415" i="1" s="1"/>
  <c r="AC505" i="1"/>
  <c r="CJ496" i="1"/>
  <c r="BA505" i="1"/>
  <c r="AI496" i="1"/>
  <c r="V505" i="1"/>
  <c r="GP454" i="1"/>
  <c r="GP460" i="1"/>
  <c r="GM500" i="1"/>
  <c r="AS261" i="1"/>
  <c r="F306" i="1"/>
  <c r="CG450" i="1"/>
  <c r="AX464" i="1"/>
  <c r="GP458" i="1"/>
  <c r="AH496" i="1"/>
  <c r="U505" i="1"/>
  <c r="AC327" i="1"/>
  <c r="AL464" i="1"/>
  <c r="GP455" i="1"/>
  <c r="GM455" i="1"/>
  <c r="GP461" i="1"/>
  <c r="GM461" i="1"/>
  <c r="R410" i="1"/>
  <c r="GK410" i="1" s="1"/>
  <c r="CH464" i="1"/>
  <c r="AC450" i="1"/>
  <c r="P464" i="1"/>
  <c r="CE464" i="1"/>
  <c r="CF464" i="1"/>
  <c r="GM37" i="1"/>
  <c r="GP37" i="1"/>
  <c r="GP36" i="1"/>
  <c r="GM36" i="1"/>
  <c r="S47" i="1"/>
  <c r="CY52" i="1"/>
  <c r="X52" i="1" s="1"/>
  <c r="CZ52" i="1"/>
  <c r="Y52" i="1" s="1"/>
  <c r="BD30" i="1"/>
  <c r="F81" i="1"/>
  <c r="BD535" i="1"/>
  <c r="BD91" i="1"/>
  <c r="F142" i="1"/>
  <c r="AF91" i="1"/>
  <c r="S117" i="1"/>
  <c r="W91" i="1"/>
  <c r="F141" i="1"/>
  <c r="AP91" i="1"/>
  <c r="F126" i="1"/>
  <c r="GM157" i="1"/>
  <c r="GP157" i="1"/>
  <c r="AE229" i="1"/>
  <c r="GK207" i="1"/>
  <c r="AO205" i="1"/>
  <c r="F233" i="1"/>
  <c r="CC149" i="1"/>
  <c r="AT173" i="1"/>
  <c r="GP225" i="1"/>
  <c r="GM225" i="1"/>
  <c r="AZ373" i="1"/>
  <c r="CI359" i="1"/>
  <c r="GM222" i="1"/>
  <c r="GP222" i="1"/>
  <c r="GK263" i="1"/>
  <c r="AE289" i="1"/>
  <c r="GP272" i="1"/>
  <c r="GM272" i="1"/>
  <c r="GP362" i="1"/>
  <c r="GM362" i="1"/>
  <c r="AO359" i="1"/>
  <c r="F377" i="1"/>
  <c r="BA149" i="1"/>
  <c r="F193" i="1"/>
  <c r="BZ405" i="1"/>
  <c r="AQ418" i="1"/>
  <c r="CG418" i="1"/>
  <c r="F338" i="1"/>
  <c r="AZ321" i="1"/>
  <c r="AJ321" i="1"/>
  <c r="W327" i="1"/>
  <c r="T411" i="1"/>
  <c r="GX411" i="1"/>
  <c r="P411" i="1"/>
  <c r="AD149" i="1"/>
  <c r="Q173" i="1"/>
  <c r="F477" i="1"/>
  <c r="BB450" i="1"/>
  <c r="AD450" i="1"/>
  <c r="Q464" i="1"/>
  <c r="GP457" i="1"/>
  <c r="GM457" i="1"/>
  <c r="GK32" i="1"/>
  <c r="GP43" i="1"/>
  <c r="GM43" i="1"/>
  <c r="AQ30" i="1"/>
  <c r="F66" i="1"/>
  <c r="AQ535" i="1"/>
  <c r="CZ45" i="1"/>
  <c r="Y45" i="1" s="1"/>
  <c r="CY45" i="1"/>
  <c r="X45" i="1" s="1"/>
  <c r="GK94" i="1"/>
  <c r="GM94" i="1" s="1"/>
  <c r="AE117" i="1"/>
  <c r="CY53" i="1"/>
  <c r="X53" i="1" s="1"/>
  <c r="GP53" i="1" s="1"/>
  <c r="CZ53" i="1"/>
  <c r="Y53" i="1" s="1"/>
  <c r="GP34" i="1"/>
  <c r="GM34" i="1"/>
  <c r="GP42" i="1"/>
  <c r="GM42" i="1"/>
  <c r="CZ48" i="1"/>
  <c r="Y48" i="1" s="1"/>
  <c r="CY48" i="1"/>
  <c r="X48" i="1" s="1"/>
  <c r="GP48" i="1" s="1"/>
  <c r="BB30" i="1"/>
  <c r="F69" i="1"/>
  <c r="BB535" i="1"/>
  <c r="AH56" i="1"/>
  <c r="Q46" i="1"/>
  <c r="CZ51" i="1"/>
  <c r="Y51" i="1" s="1"/>
  <c r="GM51" i="1" s="1"/>
  <c r="CY51" i="1"/>
  <c r="X51" i="1" s="1"/>
  <c r="BC30" i="1"/>
  <c r="F72" i="1"/>
  <c r="BC535" i="1"/>
  <c r="R45" i="1"/>
  <c r="GK45" i="1" s="1"/>
  <c r="W45" i="1"/>
  <c r="AJ56" i="1" s="1"/>
  <c r="CP49" i="1"/>
  <c r="O49" i="1" s="1"/>
  <c r="AS30" i="1"/>
  <c r="F73" i="1"/>
  <c r="AS535" i="1"/>
  <c r="GX52" i="1"/>
  <c r="GP99" i="1"/>
  <c r="GM99" i="1"/>
  <c r="T45" i="1"/>
  <c r="AG56" i="1" s="1"/>
  <c r="GP106" i="1"/>
  <c r="GM106" i="1"/>
  <c r="GP110" i="1"/>
  <c r="GM110" i="1"/>
  <c r="GP114" i="1"/>
  <c r="GM114" i="1"/>
  <c r="AL117" i="1"/>
  <c r="BZ91" i="1"/>
  <c r="AQ117" i="1"/>
  <c r="F137" i="1"/>
  <c r="BA91" i="1"/>
  <c r="BB91" i="1"/>
  <c r="F130" i="1"/>
  <c r="GP104" i="1"/>
  <c r="GM104" i="1"/>
  <c r="AL173" i="1"/>
  <c r="GM155" i="1"/>
  <c r="GP155" i="1"/>
  <c r="AP149" i="1"/>
  <c r="F182" i="1"/>
  <c r="GP154" i="1"/>
  <c r="GM154" i="1"/>
  <c r="CI149" i="1"/>
  <c r="AZ173" i="1"/>
  <c r="GM158" i="1"/>
  <c r="GP158" i="1"/>
  <c r="AJ149" i="1"/>
  <c r="W173" i="1"/>
  <c r="GP163" i="1"/>
  <c r="GM163" i="1"/>
  <c r="CP207" i="1"/>
  <c r="O207" i="1" s="1"/>
  <c r="AC229" i="1"/>
  <c r="GP212" i="1"/>
  <c r="GM212" i="1"/>
  <c r="BB205" i="1"/>
  <c r="F242" i="1"/>
  <c r="BC205" i="1"/>
  <c r="F245" i="1"/>
  <c r="GP214" i="1"/>
  <c r="GM214" i="1"/>
  <c r="GP223" i="1"/>
  <c r="GM223" i="1"/>
  <c r="S278" i="1"/>
  <c r="GP280" i="1"/>
  <c r="GM280" i="1"/>
  <c r="GP286" i="1"/>
  <c r="GM286" i="1"/>
  <c r="V149" i="1"/>
  <c r="F196" i="1"/>
  <c r="GM217" i="1"/>
  <c r="GP217" i="1"/>
  <c r="GM220" i="1"/>
  <c r="GP220" i="1"/>
  <c r="CI261" i="1"/>
  <c r="AZ289" i="1"/>
  <c r="F296" i="1"/>
  <c r="AX261" i="1"/>
  <c r="AS149" i="1"/>
  <c r="F190" i="1"/>
  <c r="AK229" i="1"/>
  <c r="GP269" i="1"/>
  <c r="GM269" i="1"/>
  <c r="GP284" i="1"/>
  <c r="GM284" i="1"/>
  <c r="BC321" i="1"/>
  <c r="F343" i="1"/>
  <c r="GP363" i="1"/>
  <c r="GM363" i="1"/>
  <c r="CP367" i="1"/>
  <c r="O367" i="1" s="1"/>
  <c r="F251" i="1"/>
  <c r="U205" i="1"/>
  <c r="T278" i="1"/>
  <c r="AG289" i="1" s="1"/>
  <c r="CZ409" i="1"/>
  <c r="Y409" i="1" s="1"/>
  <c r="CY409" i="1"/>
  <c r="X409" i="1" s="1"/>
  <c r="S411" i="1"/>
  <c r="GX416" i="1"/>
  <c r="T416" i="1"/>
  <c r="F530" i="1"/>
  <c r="BD496" i="1"/>
  <c r="AI321" i="1"/>
  <c r="V327" i="1"/>
  <c r="GK361" i="1"/>
  <c r="AE373" i="1"/>
  <c r="BZ205" i="1"/>
  <c r="CG229" i="1"/>
  <c r="AQ229" i="1"/>
  <c r="GP364" i="1"/>
  <c r="GM364" i="1"/>
  <c r="CZ414" i="1"/>
  <c r="Y414" i="1" s="1"/>
  <c r="CY414" i="1"/>
  <c r="X414" i="1" s="1"/>
  <c r="V91" i="1"/>
  <c r="F140" i="1"/>
  <c r="CJ205" i="1"/>
  <c r="BA229" i="1"/>
  <c r="GP285" i="1"/>
  <c r="GM285" i="1"/>
  <c r="AL327" i="1"/>
  <c r="BD321" i="1"/>
  <c r="F352" i="1"/>
  <c r="AK373" i="1"/>
  <c r="GP366" i="1"/>
  <c r="GM366" i="1"/>
  <c r="BA359" i="1"/>
  <c r="F393" i="1"/>
  <c r="U409" i="1"/>
  <c r="AH418" i="1" s="1"/>
  <c r="Q410" i="1"/>
  <c r="AD418" i="1" s="1"/>
  <c r="P412" i="1"/>
  <c r="CP412" i="1" s="1"/>
  <c r="O412" i="1" s="1"/>
  <c r="T412" i="1"/>
  <c r="GX412" i="1"/>
  <c r="F468" i="1"/>
  <c r="AO450" i="1"/>
  <c r="GM151" i="1"/>
  <c r="BA327" i="1"/>
  <c r="CJ321" i="1"/>
  <c r="AT450" i="1"/>
  <c r="F482" i="1"/>
  <c r="F518" i="1"/>
  <c r="BB496" i="1"/>
  <c r="GM407" i="1"/>
  <c r="GP407" i="1"/>
  <c r="AP405" i="1"/>
  <c r="F427" i="1"/>
  <c r="AH450" i="1"/>
  <c r="U464" i="1"/>
  <c r="S505" i="1"/>
  <c r="AF496" i="1"/>
  <c r="GM501" i="1"/>
  <c r="GP501" i="1"/>
  <c r="GM503" i="1"/>
  <c r="GP503" i="1"/>
  <c r="V411" i="1"/>
  <c r="R409" i="1"/>
  <c r="CP414" i="1"/>
  <c r="O414" i="1" s="1"/>
  <c r="AE450" i="1"/>
  <c r="R464" i="1"/>
  <c r="AQ450" i="1"/>
  <c r="F474" i="1"/>
  <c r="GM323" i="1"/>
  <c r="AB327" i="1"/>
  <c r="GP323" i="1"/>
  <c r="CD327" i="1" s="1"/>
  <c r="CP413" i="1"/>
  <c r="O413" i="1" s="1"/>
  <c r="AJ450" i="1"/>
  <c r="W464" i="1"/>
  <c r="GP453" i="1"/>
  <c r="GM453" i="1"/>
  <c r="GP459" i="1"/>
  <c r="GM459" i="1"/>
  <c r="CG496" i="1"/>
  <c r="AX505" i="1"/>
  <c r="R412" i="1"/>
  <c r="GK412" i="1" s="1"/>
  <c r="AF30" i="1" l="1"/>
  <c r="S56" i="1"/>
  <c r="CH418" i="1"/>
  <c r="CE418" i="1"/>
  <c r="AC405" i="1"/>
  <c r="P418" i="1"/>
  <c r="CF418" i="1"/>
  <c r="Q418" i="1"/>
  <c r="AD405" i="1"/>
  <c r="AD261" i="1"/>
  <c r="Q289" i="1"/>
  <c r="AC30" i="1"/>
  <c r="CH56" i="1"/>
  <c r="P56" i="1"/>
  <c r="CF56" i="1"/>
  <c r="CE56" i="1"/>
  <c r="AG30" i="1"/>
  <c r="T56" i="1"/>
  <c r="AJ30" i="1"/>
  <c r="W56" i="1"/>
  <c r="GM413" i="1"/>
  <c r="GP413" i="1"/>
  <c r="AE359" i="1"/>
  <c r="R373" i="1"/>
  <c r="CZ411" i="1"/>
  <c r="Y411" i="1" s="1"/>
  <c r="CY411" i="1"/>
  <c r="X411" i="1" s="1"/>
  <c r="AK418" i="1" s="1"/>
  <c r="AF418" i="1"/>
  <c r="CY278" i="1"/>
  <c r="X278" i="1" s="1"/>
  <c r="AK289" i="1" s="1"/>
  <c r="CZ278" i="1"/>
  <c r="Y278" i="1" s="1"/>
  <c r="AL289" i="1" s="1"/>
  <c r="AF289" i="1"/>
  <c r="AL149" i="1"/>
  <c r="Y173" i="1"/>
  <c r="AE91" i="1"/>
  <c r="R117" i="1"/>
  <c r="AE205" i="1"/>
  <c r="R229" i="1"/>
  <c r="CZ47" i="1"/>
  <c r="Y47" i="1" s="1"/>
  <c r="CY47" i="1"/>
  <c r="X47" i="1" s="1"/>
  <c r="W359" i="1"/>
  <c r="F397" i="1"/>
  <c r="AC149" i="1"/>
  <c r="CH173" i="1"/>
  <c r="P173" i="1"/>
  <c r="CE173" i="1"/>
  <c r="CF173" i="1"/>
  <c r="U91" i="1"/>
  <c r="F139" i="1"/>
  <c r="CD505" i="1"/>
  <c r="S205" i="1"/>
  <c r="F244" i="1"/>
  <c r="GM50" i="1"/>
  <c r="GP50" i="1"/>
  <c r="AD30" i="1"/>
  <c r="Q56" i="1"/>
  <c r="AE496" i="1"/>
  <c r="R505" i="1"/>
  <c r="GP263" i="1"/>
  <c r="GM263" i="1"/>
  <c r="AI405" i="1"/>
  <c r="V418" i="1"/>
  <c r="Y359" i="1"/>
  <c r="F400" i="1"/>
  <c r="CD321" i="1"/>
  <c r="AU327" i="1"/>
  <c r="GK409" i="1"/>
  <c r="GM409" i="1" s="1"/>
  <c r="AE418" i="1"/>
  <c r="U450" i="1"/>
  <c r="F486" i="1"/>
  <c r="BA321" i="1"/>
  <c r="F347" i="1"/>
  <c r="U418" i="1"/>
  <c r="AH405" i="1"/>
  <c r="AL321" i="1"/>
  <c r="Y327" i="1"/>
  <c r="AQ205" i="1"/>
  <c r="F239" i="1"/>
  <c r="GP207" i="1"/>
  <c r="CD229" i="1" s="1"/>
  <c r="GM207" i="1"/>
  <c r="CA229" i="1" s="1"/>
  <c r="AB229" i="1"/>
  <c r="AL91" i="1"/>
  <c r="Y117" i="1"/>
  <c r="BB26" i="1"/>
  <c r="F548" i="1"/>
  <c r="BB568" i="1"/>
  <c r="GM48" i="1"/>
  <c r="AE56" i="1"/>
  <c r="CF450" i="1"/>
  <c r="AW464" i="1"/>
  <c r="AY464" i="1"/>
  <c r="CH450" i="1"/>
  <c r="U496" i="1"/>
  <c r="F527" i="1"/>
  <c r="F525" i="1"/>
  <c r="BA496" i="1"/>
  <c r="CJ418" i="1"/>
  <c r="AZ450" i="1"/>
  <c r="F475" i="1"/>
  <c r="T321" i="1"/>
  <c r="F348" i="1"/>
  <c r="F435" i="1"/>
  <c r="AS405" i="1"/>
  <c r="F353" i="1"/>
  <c r="X321" i="1"/>
  <c r="AL205" i="1"/>
  <c r="Y229" i="1"/>
  <c r="V205" i="1"/>
  <c r="F252" i="1"/>
  <c r="S149" i="1"/>
  <c r="F188" i="1"/>
  <c r="AE149" i="1"/>
  <c r="R173" i="1"/>
  <c r="AX149" i="1"/>
  <c r="F180" i="1"/>
  <c r="AK149" i="1"/>
  <c r="X173" i="1"/>
  <c r="AK91" i="1"/>
  <c r="X117" i="1"/>
  <c r="AJ405" i="1"/>
  <c r="W418" i="1"/>
  <c r="CD464" i="1"/>
  <c r="X496" i="1"/>
  <c r="F531" i="1"/>
  <c r="F484" i="1"/>
  <c r="BA450" i="1"/>
  <c r="V289" i="1"/>
  <c r="AI261" i="1"/>
  <c r="CP46" i="1"/>
  <c r="O46" i="1" s="1"/>
  <c r="R321" i="1"/>
  <c r="F341" i="1"/>
  <c r="Q91" i="1"/>
  <c r="F129" i="1"/>
  <c r="Q359" i="1"/>
  <c r="F385" i="1"/>
  <c r="T91" i="1"/>
  <c r="F138" i="1"/>
  <c r="AZ405" i="1"/>
  <c r="F429" i="1"/>
  <c r="AX496" i="1"/>
  <c r="F512" i="1"/>
  <c r="S496" i="1"/>
  <c r="F520" i="1"/>
  <c r="AZ149" i="1"/>
  <c r="F184" i="1"/>
  <c r="AH30" i="1"/>
  <c r="U56" i="1"/>
  <c r="F384" i="1"/>
  <c r="AZ359" i="1"/>
  <c r="GM415" i="1"/>
  <c r="GP415" i="1"/>
  <c r="U149" i="1"/>
  <c r="F195" i="1"/>
  <c r="CP410" i="1"/>
  <c r="O410" i="1" s="1"/>
  <c r="AX359" i="1"/>
  <c r="F380" i="1"/>
  <c r="CP47" i="1"/>
  <c r="O47" i="1" s="1"/>
  <c r="AB321" i="1"/>
  <c r="O327" i="1"/>
  <c r="AK359" i="1"/>
  <c r="X373" i="1"/>
  <c r="AX229" i="1"/>
  <c r="CG205" i="1"/>
  <c r="V321" i="1"/>
  <c r="F350" i="1"/>
  <c r="AL418" i="1"/>
  <c r="GP367" i="1"/>
  <c r="GM367" i="1"/>
  <c r="BC26" i="1"/>
  <c r="F551" i="1"/>
  <c r="BC568" i="1"/>
  <c r="GP51" i="1"/>
  <c r="F476" i="1"/>
  <c r="Q450" i="1"/>
  <c r="Q149" i="1"/>
  <c r="F185" i="1"/>
  <c r="CP278" i="1"/>
  <c r="O278" i="1" s="1"/>
  <c r="CE450" i="1"/>
  <c r="AV464" i="1"/>
  <c r="AG418" i="1"/>
  <c r="CI205" i="1"/>
  <c r="AZ229" i="1"/>
  <c r="GM32" i="1"/>
  <c r="GP32" i="1"/>
  <c r="AB56" i="1"/>
  <c r="T149" i="1"/>
  <c r="F194" i="1"/>
  <c r="CH117" i="1"/>
  <c r="AC91" i="1"/>
  <c r="P117" i="1"/>
  <c r="CE117" i="1"/>
  <c r="CF117" i="1"/>
  <c r="GM53" i="1"/>
  <c r="AB450" i="1"/>
  <c r="O464" i="1"/>
  <c r="AK450" i="1"/>
  <c r="X464" i="1"/>
  <c r="F526" i="1"/>
  <c r="T496" i="1"/>
  <c r="V450" i="1"/>
  <c r="F487" i="1"/>
  <c r="O505" i="1"/>
  <c r="AB496" i="1"/>
  <c r="AC359" i="1"/>
  <c r="P373" i="1"/>
  <c r="CE373" i="1"/>
  <c r="CF373" i="1"/>
  <c r="CH373" i="1"/>
  <c r="W205" i="1"/>
  <c r="F253" i="1"/>
  <c r="AX91" i="1"/>
  <c r="F124" i="1"/>
  <c r="GM45" i="1"/>
  <c r="GP45" i="1"/>
  <c r="AI56" i="1"/>
  <c r="F479" i="1"/>
  <c r="S450" i="1"/>
  <c r="F532" i="1"/>
  <c r="Y496" i="1"/>
  <c r="F313" i="1"/>
  <c r="W261" i="1"/>
  <c r="AZ91" i="1"/>
  <c r="F128" i="1"/>
  <c r="AZ535" i="1"/>
  <c r="GM414" i="1"/>
  <c r="GP414" i="1"/>
  <c r="BA205" i="1"/>
  <c r="F249" i="1"/>
  <c r="F300" i="1"/>
  <c r="AZ261" i="1"/>
  <c r="CF229" i="1"/>
  <c r="AC205" i="1"/>
  <c r="CH229" i="1"/>
  <c r="P229" i="1"/>
  <c r="CE229" i="1"/>
  <c r="W149" i="1"/>
  <c r="F197" i="1"/>
  <c r="AS26" i="1"/>
  <c r="F552" i="1"/>
  <c r="AS568" i="1"/>
  <c r="AQ26" i="1"/>
  <c r="F545" i="1"/>
  <c r="AQ568" i="1"/>
  <c r="CP411" i="1"/>
  <c r="O411" i="1" s="1"/>
  <c r="F428" i="1"/>
  <c r="AQ405" i="1"/>
  <c r="CF327" i="1"/>
  <c r="CH327" i="1"/>
  <c r="AC321" i="1"/>
  <c r="P327" i="1"/>
  <c r="CE327" i="1"/>
  <c r="AX450" i="1"/>
  <c r="F471" i="1"/>
  <c r="S321" i="1"/>
  <c r="F342" i="1"/>
  <c r="AO26" i="1"/>
  <c r="F539" i="1"/>
  <c r="AO568" i="1"/>
  <c r="T205" i="1"/>
  <c r="F250" i="1"/>
  <c r="AT26" i="1"/>
  <c r="AT568" i="1"/>
  <c r="F553" i="1"/>
  <c r="T450" i="1"/>
  <c r="F485" i="1"/>
  <c r="U359" i="1"/>
  <c r="F395" i="1"/>
  <c r="GM416" i="1"/>
  <c r="GP416" i="1"/>
  <c r="F488" i="1"/>
  <c r="W450" i="1"/>
  <c r="R450" i="1"/>
  <c r="F478" i="1"/>
  <c r="CA327" i="1"/>
  <c r="GM412" i="1"/>
  <c r="GP412" i="1"/>
  <c r="AG261" i="1"/>
  <c r="T289" i="1"/>
  <c r="AK205" i="1"/>
  <c r="X229" i="1"/>
  <c r="AQ91" i="1"/>
  <c r="F127" i="1"/>
  <c r="GM49" i="1"/>
  <c r="GP49" i="1"/>
  <c r="W321" i="1"/>
  <c r="F351" i="1"/>
  <c r="CG405" i="1"/>
  <c r="AX418" i="1"/>
  <c r="R289" i="1"/>
  <c r="AE261" i="1"/>
  <c r="AT149" i="1"/>
  <c r="F191" i="1"/>
  <c r="S91" i="1"/>
  <c r="F132" i="1"/>
  <c r="BD26" i="1"/>
  <c r="F560" i="1"/>
  <c r="BD568" i="1"/>
  <c r="P450" i="1"/>
  <c r="F467" i="1"/>
  <c r="AL450" i="1"/>
  <c r="Y464" i="1"/>
  <c r="V496" i="1"/>
  <c r="F528" i="1"/>
  <c r="CH505" i="1"/>
  <c r="P505" i="1"/>
  <c r="CE505" i="1"/>
  <c r="AC496" i="1"/>
  <c r="CF505" i="1"/>
  <c r="S359" i="1"/>
  <c r="F388" i="1"/>
  <c r="AX321" i="1"/>
  <c r="F334" i="1"/>
  <c r="AH261" i="1"/>
  <c r="U289" i="1"/>
  <c r="Q205" i="1"/>
  <c r="F241" i="1"/>
  <c r="AP205" i="1"/>
  <c r="F238" i="1"/>
  <c r="AT261" i="1"/>
  <c r="F307" i="1"/>
  <c r="AS205" i="1"/>
  <c r="F246" i="1"/>
  <c r="GM153" i="1"/>
  <c r="CA173" i="1" s="1"/>
  <c r="GP153" i="1"/>
  <c r="CD173" i="1" s="1"/>
  <c r="GP44" i="1"/>
  <c r="GM44" i="1"/>
  <c r="GM93" i="1"/>
  <c r="CA117" i="1" s="1"/>
  <c r="GP93" i="1"/>
  <c r="CD117" i="1" s="1"/>
  <c r="AB117" i="1"/>
  <c r="F517" i="1"/>
  <c r="Q496" i="1"/>
  <c r="CA464" i="1"/>
  <c r="W496" i="1"/>
  <c r="F529" i="1"/>
  <c r="CA505" i="1"/>
  <c r="F339" i="1"/>
  <c r="Q321" i="1"/>
  <c r="GP361" i="1"/>
  <c r="CD373" i="1" s="1"/>
  <c r="AB373" i="1"/>
  <c r="GM361" i="1"/>
  <c r="CA373" i="1" s="1"/>
  <c r="AT205" i="1"/>
  <c r="F247" i="1"/>
  <c r="CZ46" i="1"/>
  <c r="Y46" i="1" s="1"/>
  <c r="AL56" i="1" s="1"/>
  <c r="CY46" i="1"/>
  <c r="X46" i="1" s="1"/>
  <c r="AK56" i="1" s="1"/>
  <c r="CJ56" i="1"/>
  <c r="GP52" i="1"/>
  <c r="GM52" i="1"/>
  <c r="AT359" i="1"/>
  <c r="F391" i="1"/>
  <c r="AC261" i="1"/>
  <c r="CH289" i="1"/>
  <c r="P289" i="1"/>
  <c r="CE289" i="1"/>
  <c r="CF289" i="1"/>
  <c r="AP535" i="1"/>
  <c r="BA261" i="1"/>
  <c r="F309" i="1"/>
  <c r="AB173" i="1"/>
  <c r="AL30" i="1" l="1"/>
  <c r="Y56" i="1"/>
  <c r="CD149" i="1"/>
  <c r="AU173" i="1"/>
  <c r="AK30" i="1"/>
  <c r="X56" i="1"/>
  <c r="CA149" i="1"/>
  <c r="AR173" i="1"/>
  <c r="CJ30" i="1"/>
  <c r="BA56" i="1"/>
  <c r="AB30" i="1"/>
  <c r="O56" i="1"/>
  <c r="AX205" i="1"/>
  <c r="F236" i="1"/>
  <c r="AX535" i="1"/>
  <c r="GM410" i="1"/>
  <c r="CA418" i="1" s="1"/>
  <c r="GP410" i="1"/>
  <c r="AB418" i="1"/>
  <c r="BB22" i="1"/>
  <c r="F581" i="1"/>
  <c r="BB601" i="1"/>
  <c r="Q30" i="1"/>
  <c r="F68" i="1"/>
  <c r="Q535" i="1"/>
  <c r="CH149" i="1"/>
  <c r="AY173" i="1"/>
  <c r="AK405" i="1"/>
  <c r="X418" i="1"/>
  <c r="T30" i="1"/>
  <c r="F77" i="1"/>
  <c r="T535" i="1"/>
  <c r="P30" i="1"/>
  <c r="F59" i="1"/>
  <c r="P535" i="1"/>
  <c r="CF405" i="1"/>
  <c r="AW418" i="1"/>
  <c r="CH405" i="1"/>
  <c r="AY418" i="1"/>
  <c r="F292" i="1"/>
  <c r="P261" i="1"/>
  <c r="AR373" i="1"/>
  <c r="CA359" i="1"/>
  <c r="AR464" i="1"/>
  <c r="CA450" i="1"/>
  <c r="CD91" i="1"/>
  <c r="AU117" i="1"/>
  <c r="GP409" i="1"/>
  <c r="CD418" i="1" s="1"/>
  <c r="CE496" i="1"/>
  <c r="AV505" i="1"/>
  <c r="F310" i="1"/>
  <c r="T261" i="1"/>
  <c r="CH321" i="1"/>
  <c r="AY327" i="1"/>
  <c r="GM411" i="1"/>
  <c r="GP411" i="1"/>
  <c r="AS22" i="1"/>
  <c r="AS601" i="1"/>
  <c r="F585" i="1"/>
  <c r="E16" i="2" s="1"/>
  <c r="AZ26" i="1"/>
  <c r="F546" i="1"/>
  <c r="AZ568" i="1"/>
  <c r="CH359" i="1"/>
  <c r="AY373" i="1"/>
  <c r="CF91" i="1"/>
  <c r="AW117" i="1"/>
  <c r="CH91" i="1"/>
  <c r="AY117" i="1"/>
  <c r="AG405" i="1"/>
  <c r="T418" i="1"/>
  <c r="GP278" i="1"/>
  <c r="GM278" i="1"/>
  <c r="F399" i="1"/>
  <c r="X359" i="1"/>
  <c r="GM47" i="1"/>
  <c r="GP47" i="1"/>
  <c r="GM46" i="1"/>
  <c r="GP46" i="1"/>
  <c r="CD56" i="1" s="1"/>
  <c r="F442" i="1"/>
  <c r="W405" i="1"/>
  <c r="X149" i="1"/>
  <c r="F199" i="1"/>
  <c r="R149" i="1"/>
  <c r="F187" i="1"/>
  <c r="CJ405" i="1"/>
  <c r="BA418" i="1"/>
  <c r="AB205" i="1"/>
  <c r="O229" i="1"/>
  <c r="U405" i="1"/>
  <c r="F440" i="1"/>
  <c r="AU321" i="1"/>
  <c r="F346" i="1"/>
  <c r="V405" i="1"/>
  <c r="F441" i="1"/>
  <c r="AB289" i="1"/>
  <c r="CF149" i="1"/>
  <c r="AW173" i="1"/>
  <c r="AL261" i="1"/>
  <c r="Y289" i="1"/>
  <c r="CH30" i="1"/>
  <c r="AY56" i="1"/>
  <c r="P405" i="1"/>
  <c r="F421" i="1"/>
  <c r="S30" i="1"/>
  <c r="F71" i="1"/>
  <c r="CE261" i="1"/>
  <c r="AV289" i="1"/>
  <c r="CH205" i="1"/>
  <c r="AY229" i="1"/>
  <c r="X450" i="1"/>
  <c r="F490" i="1"/>
  <c r="AU464" i="1"/>
  <c r="CD450" i="1"/>
  <c r="S289" i="1"/>
  <c r="S535" i="1" s="1"/>
  <c r="AF261" i="1"/>
  <c r="CA91" i="1"/>
  <c r="AR117" i="1"/>
  <c r="P496" i="1"/>
  <c r="F508" i="1"/>
  <c r="BD22" i="1"/>
  <c r="BD601" i="1"/>
  <c r="F593" i="1"/>
  <c r="R261" i="1"/>
  <c r="F303" i="1"/>
  <c r="CA321" i="1"/>
  <c r="AR327" i="1"/>
  <c r="CE321" i="1"/>
  <c r="AV327" i="1"/>
  <c r="AW327" i="1"/>
  <c r="CF321" i="1"/>
  <c r="AQ22" i="1"/>
  <c r="F578" i="1"/>
  <c r="AQ601" i="1"/>
  <c r="CE205" i="1"/>
  <c r="AV229" i="1"/>
  <c r="CF205" i="1"/>
  <c r="AW229" i="1"/>
  <c r="AI30" i="1"/>
  <c r="V56" i="1"/>
  <c r="AW373" i="1"/>
  <c r="CF359" i="1"/>
  <c r="O450" i="1"/>
  <c r="F466" i="1"/>
  <c r="CE91" i="1"/>
  <c r="AV117" i="1"/>
  <c r="CA56" i="1"/>
  <c r="AE30" i="1"/>
  <c r="R56" i="1"/>
  <c r="CA205" i="1"/>
  <c r="AR229" i="1"/>
  <c r="F354" i="1"/>
  <c r="Y321" i="1"/>
  <c r="R496" i="1"/>
  <c r="F519" i="1"/>
  <c r="AU505" i="1"/>
  <c r="CD496" i="1"/>
  <c r="CE149" i="1"/>
  <c r="AV173" i="1"/>
  <c r="R205" i="1"/>
  <c r="F243" i="1"/>
  <c r="Y149" i="1"/>
  <c r="F200" i="1"/>
  <c r="AK261" i="1"/>
  <c r="X289" i="1"/>
  <c r="R359" i="1"/>
  <c r="F387" i="1"/>
  <c r="W30" i="1"/>
  <c r="F80" i="1"/>
  <c r="W535" i="1"/>
  <c r="CE30" i="1"/>
  <c r="AV56" i="1"/>
  <c r="F430" i="1"/>
  <c r="Q405" i="1"/>
  <c r="AB91" i="1"/>
  <c r="O117" i="1"/>
  <c r="F376" i="1"/>
  <c r="P359" i="1"/>
  <c r="Y418" i="1"/>
  <c r="AL405" i="1"/>
  <c r="AW450" i="1"/>
  <c r="F470" i="1"/>
  <c r="CD289" i="1"/>
  <c r="R91" i="1"/>
  <c r="F131" i="1"/>
  <c r="AP26" i="1"/>
  <c r="F544" i="1"/>
  <c r="AP568" i="1"/>
  <c r="CH261" i="1"/>
  <c r="AY289" i="1"/>
  <c r="AB359" i="1"/>
  <c r="O373" i="1"/>
  <c r="CA496" i="1"/>
  <c r="AR505" i="1"/>
  <c r="Y450" i="1"/>
  <c r="F491" i="1"/>
  <c r="AB149" i="1"/>
  <c r="O173" i="1"/>
  <c r="CF261" i="1"/>
  <c r="AW289" i="1"/>
  <c r="CD359" i="1"/>
  <c r="AU373" i="1"/>
  <c r="U261" i="1"/>
  <c r="F311" i="1"/>
  <c r="CF496" i="1"/>
  <c r="AW505" i="1"/>
  <c r="AY505" i="1"/>
  <c r="CH496" i="1"/>
  <c r="AX405" i="1"/>
  <c r="F425" i="1"/>
  <c r="X205" i="1"/>
  <c r="F255" i="1"/>
  <c r="AT22" i="1"/>
  <c r="AT601" i="1"/>
  <c r="F586" i="1"/>
  <c r="F16" i="2" s="1"/>
  <c r="F18" i="2" s="1"/>
  <c r="AO22" i="1"/>
  <c r="F572" i="1"/>
  <c r="AO601" i="1"/>
  <c r="F330" i="1"/>
  <c r="P321" i="1"/>
  <c r="P205" i="1"/>
  <c r="F232" i="1"/>
  <c r="AV373" i="1"/>
  <c r="CE359" i="1"/>
  <c r="O496" i="1"/>
  <c r="F507" i="1"/>
  <c r="P91" i="1"/>
  <c r="F120" i="1"/>
  <c r="AZ205" i="1"/>
  <c r="F240" i="1"/>
  <c r="AV450" i="1"/>
  <c r="F469" i="1"/>
  <c r="BC22" i="1"/>
  <c r="F584" i="1"/>
  <c r="BC601" i="1"/>
  <c r="O321" i="1"/>
  <c r="F329" i="1"/>
  <c r="U30" i="1"/>
  <c r="F78" i="1"/>
  <c r="U535" i="1"/>
  <c r="F312" i="1"/>
  <c r="V261" i="1"/>
  <c r="X91" i="1"/>
  <c r="F143" i="1"/>
  <c r="F256" i="1"/>
  <c r="Y205" i="1"/>
  <c r="F472" i="1"/>
  <c r="AY450" i="1"/>
  <c r="Y91" i="1"/>
  <c r="F144" i="1"/>
  <c r="CD205" i="1"/>
  <c r="AU229" i="1"/>
  <c r="R418" i="1"/>
  <c r="AE405" i="1"/>
  <c r="CA289" i="1"/>
  <c r="P149" i="1"/>
  <c r="F176" i="1"/>
  <c r="AF405" i="1"/>
  <c r="S418" i="1"/>
  <c r="CF30" i="1"/>
  <c r="AW56" i="1"/>
  <c r="Q261" i="1"/>
  <c r="F301" i="1"/>
  <c r="AV418" i="1"/>
  <c r="CE405" i="1"/>
  <c r="CA405" i="1" l="1"/>
  <c r="AR418" i="1"/>
  <c r="S26" i="1"/>
  <c r="S568" i="1"/>
  <c r="F550" i="1"/>
  <c r="CD30" i="1"/>
  <c r="AU56" i="1"/>
  <c r="CA261" i="1"/>
  <c r="AR289" i="1"/>
  <c r="BC18" i="1"/>
  <c r="F617" i="1"/>
  <c r="AY496" i="1"/>
  <c r="F513" i="1"/>
  <c r="Y405" i="1"/>
  <c r="F445" i="1"/>
  <c r="O289" i="1"/>
  <c r="AB261" i="1"/>
  <c r="CD405" i="1"/>
  <c r="AU418" i="1"/>
  <c r="T26" i="1"/>
  <c r="F556" i="1"/>
  <c r="T568" i="1"/>
  <c r="AX26" i="1"/>
  <c r="AX568" i="1"/>
  <c r="F542" i="1"/>
  <c r="AU149" i="1"/>
  <c r="F192" i="1"/>
  <c r="AO18" i="1"/>
  <c r="F605" i="1"/>
  <c r="AT18" i="1"/>
  <c r="F619" i="1"/>
  <c r="AW496" i="1"/>
  <c r="F511" i="1"/>
  <c r="AU359" i="1"/>
  <c r="F392" i="1"/>
  <c r="O149" i="1"/>
  <c r="F175" i="1"/>
  <c r="F533" i="1"/>
  <c r="AR496" i="1"/>
  <c r="F297" i="1"/>
  <c r="AY261" i="1"/>
  <c r="W26" i="1"/>
  <c r="W568" i="1"/>
  <c r="F559" i="1"/>
  <c r="AV91" i="1"/>
  <c r="F122" i="1"/>
  <c r="AW205" i="1"/>
  <c r="F235" i="1"/>
  <c r="AQ18" i="1"/>
  <c r="F611" i="1"/>
  <c r="F333" i="1"/>
  <c r="AW321" i="1"/>
  <c r="BD18" i="1"/>
  <c r="F626" i="1"/>
  <c r="AR91" i="1"/>
  <c r="F145" i="1"/>
  <c r="AY205" i="1"/>
  <c r="F237" i="1"/>
  <c r="F438" i="1"/>
  <c r="BA405" i="1"/>
  <c r="T405" i="1"/>
  <c r="F439" i="1"/>
  <c r="E18" i="2"/>
  <c r="AU91" i="1"/>
  <c r="F136" i="1"/>
  <c r="F426" i="1"/>
  <c r="AY405" i="1"/>
  <c r="P26" i="1"/>
  <c r="P568" i="1"/>
  <c r="F538" i="1"/>
  <c r="AY149" i="1"/>
  <c r="F181" i="1"/>
  <c r="AB405" i="1"/>
  <c r="O418" i="1"/>
  <c r="BA30" i="1"/>
  <c r="F76" i="1"/>
  <c r="BA535" i="1"/>
  <c r="CD261" i="1"/>
  <c r="AU289" i="1"/>
  <c r="AV149" i="1"/>
  <c r="F178" i="1"/>
  <c r="AR205" i="1"/>
  <c r="F257" i="1"/>
  <c r="F355" i="1"/>
  <c r="AR321" i="1"/>
  <c r="F304" i="1"/>
  <c r="S261" i="1"/>
  <c r="Y261" i="1"/>
  <c r="F316" i="1"/>
  <c r="AY359" i="1"/>
  <c r="F381" i="1"/>
  <c r="AW30" i="1"/>
  <c r="F62" i="1"/>
  <c r="AW535" i="1"/>
  <c r="R405" i="1"/>
  <c r="F432" i="1"/>
  <c r="X261" i="1"/>
  <c r="F315" i="1"/>
  <c r="R30" i="1"/>
  <c r="F70" i="1"/>
  <c r="R535" i="1"/>
  <c r="AW359" i="1"/>
  <c r="F379" i="1"/>
  <c r="AV321" i="1"/>
  <c r="F332" i="1"/>
  <c r="F483" i="1"/>
  <c r="AU450" i="1"/>
  <c r="AY30" i="1"/>
  <c r="F64" i="1"/>
  <c r="AY535" i="1"/>
  <c r="AW149" i="1"/>
  <c r="F179" i="1"/>
  <c r="AW91" i="1"/>
  <c r="F123" i="1"/>
  <c r="AZ22" i="1"/>
  <c r="F579" i="1"/>
  <c r="AZ601" i="1"/>
  <c r="AS18" i="1"/>
  <c r="F618" i="1"/>
  <c r="AY321" i="1"/>
  <c r="F335" i="1"/>
  <c r="F510" i="1"/>
  <c r="AV496" i="1"/>
  <c r="F401" i="1"/>
  <c r="AR359" i="1"/>
  <c r="BB18" i="1"/>
  <c r="F614" i="1"/>
  <c r="X30" i="1"/>
  <c r="F82" i="1"/>
  <c r="X535" i="1"/>
  <c r="Y30" i="1"/>
  <c r="F83" i="1"/>
  <c r="Y535" i="1"/>
  <c r="S405" i="1"/>
  <c r="F433" i="1"/>
  <c r="F378" i="1"/>
  <c r="AV359" i="1"/>
  <c r="CA30" i="1"/>
  <c r="AR56" i="1"/>
  <c r="AY91" i="1"/>
  <c r="F125" i="1"/>
  <c r="AR450" i="1"/>
  <c r="F492" i="1"/>
  <c r="AR149" i="1"/>
  <c r="F201" i="1"/>
  <c r="AV405" i="1"/>
  <c r="F423" i="1"/>
  <c r="AU205" i="1"/>
  <c r="F248" i="1"/>
  <c r="U26" i="1"/>
  <c r="F557" i="1"/>
  <c r="U568" i="1"/>
  <c r="AW261" i="1"/>
  <c r="F295" i="1"/>
  <c r="O359" i="1"/>
  <c r="F375" i="1"/>
  <c r="AP22" i="1"/>
  <c r="F577" i="1"/>
  <c r="G16" i="2" s="1"/>
  <c r="G18" i="2" s="1"/>
  <c r="AP601" i="1"/>
  <c r="O91" i="1"/>
  <c r="F119" i="1"/>
  <c r="AV30" i="1"/>
  <c r="F61" i="1"/>
  <c r="AV535" i="1"/>
  <c r="AU496" i="1"/>
  <c r="F524" i="1"/>
  <c r="V30" i="1"/>
  <c r="F79" i="1"/>
  <c r="V535" i="1"/>
  <c r="AV205" i="1"/>
  <c r="F234" i="1"/>
  <c r="AV261" i="1"/>
  <c r="F294" i="1"/>
  <c r="O205" i="1"/>
  <c r="F231" i="1"/>
  <c r="AW405" i="1"/>
  <c r="F424" i="1"/>
  <c r="X405" i="1"/>
  <c r="F444" i="1"/>
  <c r="Q26" i="1"/>
  <c r="F547" i="1"/>
  <c r="Q568" i="1"/>
  <c r="O30" i="1"/>
  <c r="F58" i="1"/>
  <c r="F308" i="1" l="1"/>
  <c r="AU261" i="1"/>
  <c r="AX22" i="1"/>
  <c r="F575" i="1"/>
  <c r="AX601" i="1"/>
  <c r="O261" i="1"/>
  <c r="F291" i="1"/>
  <c r="Q22" i="1"/>
  <c r="Q601" i="1"/>
  <c r="F580" i="1"/>
  <c r="X26" i="1"/>
  <c r="F561" i="1"/>
  <c r="X568" i="1"/>
  <c r="AY26" i="1"/>
  <c r="AY568" i="1"/>
  <c r="F543" i="1"/>
  <c r="AW26" i="1"/>
  <c r="F541" i="1"/>
  <c r="AW568" i="1"/>
  <c r="F420" i="1"/>
  <c r="O405" i="1"/>
  <c r="W22" i="1"/>
  <c r="F592" i="1"/>
  <c r="W601" i="1"/>
  <c r="AU405" i="1"/>
  <c r="F437" i="1"/>
  <c r="F75" i="1"/>
  <c r="AU30" i="1"/>
  <c r="AU535" i="1"/>
  <c r="AP18" i="1"/>
  <c r="F610" i="1"/>
  <c r="AR30" i="1"/>
  <c r="F84" i="1"/>
  <c r="F85" i="1" s="1"/>
  <c r="AR535" i="1"/>
  <c r="O535" i="1"/>
  <c r="AZ18" i="1"/>
  <c r="F612" i="1"/>
  <c r="R26" i="1"/>
  <c r="F549" i="1"/>
  <c r="R568" i="1"/>
  <c r="BA26" i="1"/>
  <c r="BA568" i="1"/>
  <c r="F555" i="1"/>
  <c r="P22" i="1"/>
  <c r="F571" i="1"/>
  <c r="P601" i="1"/>
  <c r="T22" i="1"/>
  <c r="T601" i="1"/>
  <c r="F589" i="1"/>
  <c r="AR405" i="1"/>
  <c r="F446" i="1"/>
  <c r="S22" i="1"/>
  <c r="F583" i="1"/>
  <c r="J16" i="2" s="1"/>
  <c r="J18" i="2" s="1"/>
  <c r="S601" i="1"/>
  <c r="V26" i="1"/>
  <c r="V568" i="1"/>
  <c r="F558" i="1"/>
  <c r="Y26" i="1"/>
  <c r="F562" i="1"/>
  <c r="Y568" i="1"/>
  <c r="AV26" i="1"/>
  <c r="F540" i="1"/>
  <c r="AV568" i="1"/>
  <c r="U22" i="1"/>
  <c r="U601" i="1"/>
  <c r="F590" i="1"/>
  <c r="F317" i="1"/>
  <c r="AR261" i="1"/>
  <c r="V22" i="1" l="1"/>
  <c r="F591" i="1"/>
  <c r="V601" i="1"/>
  <c r="T18" i="1"/>
  <c r="F622" i="1"/>
  <c r="AV22" i="1"/>
  <c r="AV601" i="1"/>
  <c r="F573" i="1"/>
  <c r="O26" i="1"/>
  <c r="O568" i="1"/>
  <c r="F537" i="1"/>
  <c r="AW22" i="1"/>
  <c r="F574" i="1"/>
  <c r="AW601" i="1"/>
  <c r="AY22" i="1"/>
  <c r="F576" i="1"/>
  <c r="AY601" i="1"/>
  <c r="Y22" i="1"/>
  <c r="F595" i="1"/>
  <c r="Y601" i="1"/>
  <c r="S18" i="1"/>
  <c r="F616" i="1"/>
  <c r="P18" i="1"/>
  <c r="F604" i="1"/>
  <c r="BA22" i="1"/>
  <c r="F588" i="1"/>
  <c r="BA601" i="1"/>
  <c r="AR26" i="1"/>
  <c r="F563" i="1"/>
  <c r="F564" i="1" s="1"/>
  <c r="AR568" i="1"/>
  <c r="R22" i="1"/>
  <c r="F582" i="1"/>
  <c r="R601" i="1"/>
  <c r="W18" i="1"/>
  <c r="F625" i="1"/>
  <c r="U18" i="1"/>
  <c r="F623" i="1"/>
  <c r="F87" i="1"/>
  <c r="F86" i="1"/>
  <c r="AU26" i="1"/>
  <c r="AU568" i="1"/>
  <c r="F554" i="1"/>
  <c r="X22" i="1"/>
  <c r="X601" i="1"/>
  <c r="F594" i="1"/>
  <c r="Q18" i="1"/>
  <c r="F613" i="1"/>
  <c r="AX18" i="1"/>
  <c r="F608" i="1"/>
  <c r="X18" i="1" l="1"/>
  <c r="F627" i="1"/>
  <c r="Y18" i="1"/>
  <c r="F628" i="1"/>
  <c r="BA18" i="1"/>
  <c r="F621" i="1"/>
  <c r="AV18" i="1"/>
  <c r="F606" i="1"/>
  <c r="V18" i="1"/>
  <c r="F624" i="1"/>
  <c r="AR22" i="1"/>
  <c r="AR601" i="1"/>
  <c r="F596" i="1"/>
  <c r="F597" i="1" s="1"/>
  <c r="AW18" i="1"/>
  <c r="F607" i="1"/>
  <c r="O22" i="1"/>
  <c r="O601" i="1"/>
  <c r="F570" i="1"/>
  <c r="AU22" i="1"/>
  <c r="F587" i="1"/>
  <c r="H16" i="2" s="1"/>
  <c r="AU601" i="1"/>
  <c r="R18" i="1"/>
  <c r="F615" i="1"/>
  <c r="F565" i="1"/>
  <c r="F566" i="1" s="1"/>
  <c r="AY18" i="1"/>
  <c r="F609" i="1"/>
  <c r="AR18" i="1" l="1"/>
  <c r="F629" i="1"/>
  <c r="F630" i="1" s="1"/>
  <c r="H18" i="2"/>
  <c r="I16" i="2"/>
  <c r="I18" i="2" s="1"/>
  <c r="AU18" i="1"/>
  <c r="F620" i="1"/>
  <c r="O18" i="1"/>
  <c r="F603" i="1"/>
  <c r="F598" i="1"/>
  <c r="F599" i="1" s="1"/>
  <c r="F631" i="1" l="1"/>
  <c r="F632" i="1"/>
</calcChain>
</file>

<file path=xl/sharedStrings.xml><?xml version="1.0" encoding="utf-8"?>
<sst xmlns="http://schemas.openxmlformats.org/spreadsheetml/2006/main" count="13154" uniqueCount="629">
  <si>
    <t>Smeta.RU Flash  (495) 974-1589</t>
  </si>
  <si>
    <t>_PS_</t>
  </si>
  <si>
    <t>Smeta.RU Flash</t>
  </si>
  <si>
    <t/>
  </si>
  <si>
    <t>Новый объект</t>
  </si>
  <si>
    <t>Выполнение работ по благоустройству территории для нужд БОУ Школа № 1018 ул. Чоботовская д 7</t>
  </si>
  <si>
    <t>Сметные нормы списания</t>
  </si>
  <si>
    <t>Коды ОКП для СН-2012 - 2021 г.</t>
  </si>
  <si>
    <t>СН-2012 - 2021 г_глава_1-5,7</t>
  </si>
  <si>
    <t>Типовой расчет для СН-2012 - 2021 г</t>
  </si>
  <si>
    <t>СН-2012-2021 г. База данных "Сборник стоимостных нормативов"</t>
  </si>
  <si>
    <t>Поправки для СН-2012-2021 в ценах на 01.10.2020 г</t>
  </si>
  <si>
    <t>Новая локальная смета</t>
  </si>
  <si>
    <t>Новый раздел</t>
  </si>
  <si>
    <t>Детский сад ул. Чоботовская д 7</t>
  </si>
  <si>
    <t>Новый подраздел</t>
  </si>
  <si>
    <t>группа № 6</t>
  </si>
  <si>
    <t>1</t>
  </si>
  <si>
    <t>5.4-3104-5-1/1</t>
  </si>
  <si>
    <t>Удаление пней пнедробилкой, диаметр пня до 0,5 м</t>
  </si>
  <si>
    <t>пень</t>
  </si>
  <si>
    <t>СН-2012-2021.5. Доп.1. Сб.4-3104-5-1/1</t>
  </si>
  <si>
    <t>СН-2012</t>
  </si>
  <si>
    <t>Подрядные работы, гл. 1-5,7</t>
  </si>
  <si>
    <t>работа</t>
  </si>
  <si>
    <t>2</t>
  </si>
  <si>
    <t>5.4-3203-2-1/1</t>
  </si>
  <si>
    <t>Устройство корыта под газоны и цветники с планировкой дна в грунтах 1 и 2 группы</t>
  </si>
  <si>
    <t>м3</t>
  </si>
  <si>
    <t>СН-2012-2021.5. Доп.1. Сб.4-3203-2-1/1</t>
  </si>
  <si>
    <t>3</t>
  </si>
  <si>
    <t>2.1-3303-1-1/1</t>
  </si>
  <si>
    <t>Устройство подстилающих и выравнивающих слоев оснований из песка</t>
  </si>
  <si>
    <t>100 м3</t>
  </si>
  <si>
    <t>СН-2012-2021.2. Доп.1. Сб.1-3303-1-1/1</t>
  </si>
  <si>
    <t>4</t>
  </si>
  <si>
    <t>2.1-3303-10-1/1</t>
  </si>
  <si>
    <t>Устройство оснований под тротуары или дорожки из щебня толщиной 12 см</t>
  </si>
  <si>
    <t>100 м2</t>
  </si>
  <si>
    <t>СН-2012-2021.2. Доп.1. Сб.1-3303-10-1/1</t>
  </si>
  <si>
    <t>4,1</t>
  </si>
  <si>
    <t>21.1-12-36</t>
  </si>
  <si>
    <t>Щебень из естественного камня для строительных работ, марка 1200-800, фракция 20-40 мм</t>
  </si>
  <si>
    <t>СН-2012-2021.21. Доп.1. Р.1, о.12, поз.36</t>
  </si>
  <si>
    <t>4,2</t>
  </si>
  <si>
    <t>21.1-12-50</t>
  </si>
  <si>
    <t>Щебень из естественного камня, декоративный, фракционированный известняковый</t>
  </si>
  <si>
    <t>СН-2012-2021.21. Доп.1. Р.1, о.12, поз.50</t>
  </si>
  <si>
    <t>5</t>
  </si>
  <si>
    <t>2.1-3103-19-4/1</t>
  </si>
  <si>
    <t>Устройство асфальтобетонных покрытий дорожек и тротуаров двухслойных, верхний слой из песчаной асфальтобетонной смеси толщиной 3 см</t>
  </si>
  <si>
    <t>СН-2012-2021.2. Доп.1. Сб.1-3103-19-4/1</t>
  </si>
  <si>
    <t>6</t>
  </si>
  <si>
    <t>5.3-3103-11-1/1</t>
  </si>
  <si>
    <t>Устройство наливного полиуретанового покрытия спортивных площадок и беговых дорожек толщиной 10 мм</t>
  </si>
  <si>
    <t>СН-2012-2021.5. Доп.1. Сб.3-3103-11-1/1</t>
  </si>
  <si>
    <t>7</t>
  </si>
  <si>
    <t>5.3-3103-11-2/1</t>
  </si>
  <si>
    <t>Устройство наливного полиуретанового покрытия спортивных площадок и беговых дорожек, добавляется на 2 мм толщины покрытия</t>
  </si>
  <si>
    <t>СН-2012-2021.5. Доп.1. Сб.3-3103-11-2/1</t>
  </si>
  <si>
    <t>8</t>
  </si>
  <si>
    <t>1.1-3303-2-1/1</t>
  </si>
  <si>
    <t>Разработка грунта вручную в траншеях глубиной до 2 м без креплений с откосами группа грунтов 1-3</t>
  </si>
  <si>
    <t>СН-2012-2021.1. Доп.1. Сб.1-3303-2-1/1</t>
  </si>
  <si>
    <t>9</t>
  </si>
  <si>
    <t>Устройство подстилающих и выравнивающих слоев оснований из песка   (10 см)</t>
  </si>
  <si>
    <t>10</t>
  </si>
  <si>
    <t>2.1-3203-1-5/1</t>
  </si>
  <si>
    <t>Установка бортовых камней бетонных газонных и садовых марка 2ГБ 60.8.20, цвет серый, при цементобетонных покрытиях</t>
  </si>
  <si>
    <t>100 м</t>
  </si>
  <si>
    <t>СН-2012-2021.2. Доп.1. Сб.1-3203-1-5/1</t>
  </si>
  <si>
    <t>11</t>
  </si>
  <si>
    <t>5.3-3203-7-5/1</t>
  </si>
  <si>
    <t>Устройство калиток с установкой столбов металлических (без стоимости металлических изделий полотен калиток и стоек опорных)  (МАФ)</t>
  </si>
  <si>
    <t>100 шт.</t>
  </si>
  <si>
    <t>СН-2012-2021.5. Доп.1. Сб.3-3203-7-5/1</t>
  </si>
  <si>
    <t>11,1</t>
  </si>
  <si>
    <t>21.1-5-5</t>
  </si>
  <si>
    <t>Кирпич керамический обыкновенный, размер 250х120х65 мм, марка 100</t>
  </si>
  <si>
    <t>1000 шт.</t>
  </si>
  <si>
    <t>СН-2012-2021.21. Доп.1. Р.1, о.5, поз.5</t>
  </si>
  <si>
    <t>11,2</t>
  </si>
  <si>
    <t>22.1-6-52</t>
  </si>
  <si>
    <t>Вибраторы глубинные</t>
  </si>
  <si>
    <t>маш.-ч</t>
  </si>
  <si>
    <t>СН-2012-2021.22. Доп.1. п.1-6-52 (069402)</t>
  </si>
  <si>
    <t>11,3</t>
  </si>
  <si>
    <t>22.1-13-14</t>
  </si>
  <si>
    <t>Установки для сварки ручной дуговой (постоянного тока)</t>
  </si>
  <si>
    <t>СН-2012-2021.22. Доп.1. п.1-13-14 (136001)</t>
  </si>
  <si>
    <t>11,4</t>
  </si>
  <si>
    <t>22.1-1-1</t>
  </si>
  <si>
    <t>Экскаваторы на гусеничном ходу гидравлические, объем ковша до 0,25 м3</t>
  </si>
  <si>
    <t>СН-2012-2021.22. Доп.1. п.1-1-1 (010101)</t>
  </si>
  <si>
    <t>11,5</t>
  </si>
  <si>
    <t>21.3-1-2</t>
  </si>
  <si>
    <t>Смеси бетонные, БСГ, песчаного бетона на обогащенном песке, класс прочности: В12,5 (М150)</t>
  </si>
  <si>
    <t>СН-2012-2021.21. Доп.1. Р.3, о.1, поз.2</t>
  </si>
  <si>
    <t>11,6</t>
  </si>
  <si>
    <t>21.1-23-9</t>
  </si>
  <si>
    <t>Электроды, тип Э-42, 46, 50, диаметр 4 - 6 мм</t>
  </si>
  <si>
    <t>т</t>
  </si>
  <si>
    <t>СН-2012-2021.21. Доп.1. Р.1, о.23, поз.9</t>
  </si>
  <si>
    <t>11,7</t>
  </si>
  <si>
    <t>по цене поставщика</t>
  </si>
  <si>
    <t>МАФ: Песочница с крышкой "Малыш" (РЕ-45) для детских садов и ДОУ 2000х1500х580  Ссылка: https://goroddd.ru/pesoch/pesochnitca-s-kryshkoy-malysh-dlya-detskikh-sadov-i-dou</t>
  </si>
  <si>
    <t>шт.</t>
  </si>
  <si>
    <t>[20 700 / 1,2]</t>
  </si>
  <si>
    <t>0</t>
  </si>
  <si>
    <t>11,8</t>
  </si>
  <si>
    <t>Функциональный уличный игровой домик для детей "Море" (DO-33) 1800х1350х1450  https://goroddd.ru/detdom/ulichnyy-igrovoy-domik-dlya-detey-more</t>
  </si>
  <si>
    <t>[53 000 / 1,2]</t>
  </si>
  <si>
    <t>11,9</t>
  </si>
  <si>
    <t>Детская игровая форма, уличный игровой макет "Рейсовый автобус" (ИМН-7) 2350х1080х1670 https://goroddd.ru/makety-i-elementy/tematicheskiy-maket-dlya-detskikh-ploschadok-reysovyy-avtobus-im</t>
  </si>
  <si>
    <t>[74 800 / 1,2]</t>
  </si>
  <si>
    <t>11,10</t>
  </si>
  <si>
    <t>Лавочка двухсторонняя для детских садов "Курица-наседка" (СПН-88) 1200х650х780 http://mes.mosedu.ru/</t>
  </si>
  <si>
    <t>[14 870 / 1,2]</t>
  </si>
  <si>
    <t>ПЗ</t>
  </si>
  <si>
    <t>Прямые затраты</t>
  </si>
  <si>
    <t>СтМатОб</t>
  </si>
  <si>
    <t>Стоимость материальных ресурсов (всего)</t>
  </si>
  <si>
    <t>СтМатОбЗак</t>
  </si>
  <si>
    <t>Стоимость материалов и оборудования заказчика</t>
  </si>
  <si>
    <t>СтМатОбПод</t>
  </si>
  <si>
    <t>Стоимость материалов и оборудования подрядчика</t>
  </si>
  <si>
    <t>СтМат</t>
  </si>
  <si>
    <t>Стоимость материалов (всего)</t>
  </si>
  <si>
    <t>СтМатЗак</t>
  </si>
  <si>
    <t>Стоимость материалов заказчика</t>
  </si>
  <si>
    <t>СтМатПод</t>
  </si>
  <si>
    <t>Стоимость материалов подрядчика</t>
  </si>
  <si>
    <t>Оборуд</t>
  </si>
  <si>
    <t>Стоимость оборудования (всего)</t>
  </si>
  <si>
    <t>ОборудЗак</t>
  </si>
  <si>
    <t>Стоимость оборудования заказчика</t>
  </si>
  <si>
    <t>ОборудПод</t>
  </si>
  <si>
    <t>Стоимость оборудования подрядчика</t>
  </si>
  <si>
    <t>ЭММ</t>
  </si>
  <si>
    <t>Эксплуатация машин</t>
  </si>
  <si>
    <t>ЭММсНРиСП</t>
  </si>
  <si>
    <t>Эксплуатация машин по ТСН-2001.16</t>
  </si>
  <si>
    <t>ЗПМ</t>
  </si>
  <si>
    <t>ЗП машинистов</t>
  </si>
  <si>
    <t>ОЗП</t>
  </si>
  <si>
    <t>Основная ЗП рабочих</t>
  </si>
  <si>
    <t>ОЗПсНРиСП</t>
  </si>
  <si>
    <t>Основная ЗП рабочих по ТСН-2001.16</t>
  </si>
  <si>
    <t>Строит</t>
  </si>
  <si>
    <t>Строительные работы с НР и СП</t>
  </si>
  <si>
    <t>Монтаж</t>
  </si>
  <si>
    <t>Монтажные работы с НР и СП</t>
  </si>
  <si>
    <t>Прочие</t>
  </si>
  <si>
    <t>Прочие работы с НР и СП</t>
  </si>
  <si>
    <t>ПрочиеЗатр</t>
  </si>
  <si>
    <t>Прочие затраты по ТСН-2001.16</t>
  </si>
  <si>
    <t>ВозврМат</t>
  </si>
  <si>
    <t>Возврат материалов</t>
  </si>
  <si>
    <t>ТрудСтр</t>
  </si>
  <si>
    <t>Трудозатраты строителей</t>
  </si>
  <si>
    <t>ТрудМаш</t>
  </si>
  <si>
    <t>Трудозатраты машинистов</t>
  </si>
  <si>
    <t>ТранспМат</t>
  </si>
  <si>
    <t>Транспорт материалов</t>
  </si>
  <si>
    <t>Перевозка</t>
  </si>
  <si>
    <t>Перевозка грузов</t>
  </si>
  <si>
    <t>НР</t>
  </si>
  <si>
    <t>Накладные расходы</t>
  </si>
  <si>
    <t>СмПриб</t>
  </si>
  <si>
    <t>Сметная прибыль</t>
  </si>
  <si>
    <t>Всего</t>
  </si>
  <si>
    <t>Всего с НР и СП</t>
  </si>
  <si>
    <t>и1</t>
  </si>
  <si>
    <t>Итого</t>
  </si>
  <si>
    <t>и2</t>
  </si>
  <si>
    <t>НДС 20%</t>
  </si>
  <si>
    <t>и3</t>
  </si>
  <si>
    <t>Игровая площадка группы №12</t>
  </si>
  <si>
    <t>12</t>
  </si>
  <si>
    <t>13</t>
  </si>
  <si>
    <t>Устройство подстилающих и выравнивающих слоев оснований из песка (10см)</t>
  </si>
  <si>
    <t>14</t>
  </si>
  <si>
    <t>14,1</t>
  </si>
  <si>
    <t>14,2</t>
  </si>
  <si>
    <t>15</t>
  </si>
  <si>
    <t>16</t>
  </si>
  <si>
    <t>17</t>
  </si>
  <si>
    <t>18</t>
  </si>
  <si>
    <t>19</t>
  </si>
  <si>
    <t>20</t>
  </si>
  <si>
    <t>21</t>
  </si>
  <si>
    <t>Устройство калиток с установкой столбов металлических (без стоимости металлических изделий полотен калиток и стоек опорных)</t>
  </si>
  <si>
    <t>21,1</t>
  </si>
  <si>
    <t>21,2</t>
  </si>
  <si>
    <t>21,3</t>
  </si>
  <si>
    <t>21,4</t>
  </si>
  <si>
    <t>21,5</t>
  </si>
  <si>
    <t>21,6</t>
  </si>
  <si>
    <t>21,7</t>
  </si>
  <si>
    <t>21,8</t>
  </si>
  <si>
    <t>Уличный игровой детский домик для детских садов "Чиполлино" 1400х1400х1700  https://goroddd.ru/detdom/ulichnyy-detskiy-domik-dlya-detskikh-sadov-chipollino-imn-13-140</t>
  </si>
  <si>
    <t>[51 700 / 1,2]</t>
  </si>
  <si>
    <t>21,9</t>
  </si>
  <si>
    <t>Игровой макет кораблик для детских площадок "Чунга-Чанга" 2880х1100х2100  https://goroddd.ru/makety-i-elementy/ulichnyy-igrovoy-maket-dlya-detey-chunga-changa-imn-88-2880kh110</t>
  </si>
  <si>
    <t>[48 200 / 1,2]</t>
  </si>
  <si>
    <t>21,10</t>
  </si>
  <si>
    <t>МАФ: Игровое оборудование паровозик для детских садов и ДОУ "Разноцветный паровозик" (ИМН-66) 1900х1000х1600  https://goroddd.ru/makety-i-elementy/igrovoy-maket-dlya-detskikh-ploschadok-raznotcvetnyy-parovozik-i</t>
  </si>
  <si>
    <t>[58 700 / 1,2]</t>
  </si>
  <si>
    <t>21,11</t>
  </si>
  <si>
    <t>Детская лавочка со спинкой "Пятнашки" на металлическом каркасе 1600х400х700 https://goroddd.ru/detskie-skameiki-i-stoly/detskaya-lavochka-so-spinkoy-pyatnashki</t>
  </si>
  <si>
    <t>[13 000 / 1,2]</t>
  </si>
  <si>
    <t>Игровая площадка группы № 11</t>
  </si>
  <si>
    <t>22</t>
  </si>
  <si>
    <t>23</t>
  </si>
  <si>
    <t>24</t>
  </si>
  <si>
    <t>24,1</t>
  </si>
  <si>
    <t>24,2</t>
  </si>
  <si>
    <t>25</t>
  </si>
  <si>
    <t>26</t>
  </si>
  <si>
    <t>27</t>
  </si>
  <si>
    <t>28</t>
  </si>
  <si>
    <t>29</t>
  </si>
  <si>
    <t>30</t>
  </si>
  <si>
    <t>31</t>
  </si>
  <si>
    <t>31,1</t>
  </si>
  <si>
    <t>31,2</t>
  </si>
  <si>
    <t>31,3</t>
  </si>
  <si>
    <t>31,4</t>
  </si>
  <si>
    <t>31,5</t>
  </si>
  <si>
    <t>31,6</t>
  </si>
  <si>
    <t>31,7</t>
  </si>
  <si>
    <t>31,8</t>
  </si>
  <si>
    <t>31,9</t>
  </si>
  <si>
    <t>Игровая площадка группы № 8</t>
  </si>
  <si>
    <t>32</t>
  </si>
  <si>
    <t>33</t>
  </si>
  <si>
    <t>34</t>
  </si>
  <si>
    <t>34,1</t>
  </si>
  <si>
    <t>34,2</t>
  </si>
  <si>
    <t>35</t>
  </si>
  <si>
    <t>36</t>
  </si>
  <si>
    <t>37</t>
  </si>
  <si>
    <t>38</t>
  </si>
  <si>
    <t>39</t>
  </si>
  <si>
    <t>40</t>
  </si>
  <si>
    <t>41</t>
  </si>
  <si>
    <t>Устройство калиток с установкой столбов металлических (без стоимости металлических изделий полотен калиток и стоек опорных) (установка МАФов)</t>
  </si>
  <si>
    <t>41,1</t>
  </si>
  <si>
    <t>41,2</t>
  </si>
  <si>
    <t>41,3</t>
  </si>
  <si>
    <t>41,4</t>
  </si>
  <si>
    <t>41,5</t>
  </si>
  <si>
    <t>41,6</t>
  </si>
  <si>
    <t>41,7</t>
  </si>
  <si>
    <t>41,8</t>
  </si>
  <si>
    <t>41,9</t>
  </si>
  <si>
    <t>Игровая площадка группы № 10</t>
  </si>
  <si>
    <t>42</t>
  </si>
  <si>
    <t>5.3-3104-1-1/1</t>
  </si>
  <si>
    <t>Разборка полиуретанового покрытия игровых площадок, спортивных дорожек и площадок - на асфальтобетонном основании</t>
  </si>
  <si>
    <t>СН-2012-2021.5. Доп.1. Сб.3-3104-1-1/1</t>
  </si>
  <si>
    <t>43</t>
  </si>
  <si>
    <t>2.1-3104-1-4/1</t>
  </si>
  <si>
    <t>Разборка покрытий и оснований асфальтобетонных</t>
  </si>
  <si>
    <t>СН-2012-2021.2. Доп.1. Сб.1-3104-1-4/1</t>
  </si>
  <si>
    <t>44</t>
  </si>
  <si>
    <t>2.1-3104-1-2/1</t>
  </si>
  <si>
    <t>Разборка покрытий и оснований щебеночных</t>
  </si>
  <si>
    <t>СН-2012-2021.2. Доп.1. Сб.1-3104-1-2/1</t>
  </si>
  <si>
    <t>45</t>
  </si>
  <si>
    <t>2.49-3101-4-1/1</t>
  </si>
  <si>
    <t>Разработка грунта с погрузкой на автомобили-самосвалы экскаваторами с ковшом вместимостью 0,4 м3, группа грунтов 1-3</t>
  </si>
  <si>
    <t>СН-2012-2021.2. Доп.1. Сб.49-3101-4-1/1</t>
  </si>
  <si>
    <t>46</t>
  </si>
  <si>
    <t>47</t>
  </si>
  <si>
    <t>47,1</t>
  </si>
  <si>
    <t>47,2</t>
  </si>
  <si>
    <t>48</t>
  </si>
  <si>
    <t>49</t>
  </si>
  <si>
    <t>50</t>
  </si>
  <si>
    <t>51</t>
  </si>
  <si>
    <t>52</t>
  </si>
  <si>
    <t>53</t>
  </si>
  <si>
    <t>54</t>
  </si>
  <si>
    <t>54,1</t>
  </si>
  <si>
    <t>54,2</t>
  </si>
  <si>
    <t>54,3</t>
  </si>
  <si>
    <t>54,4</t>
  </si>
  <si>
    <t>54,5</t>
  </si>
  <si>
    <t>54,6</t>
  </si>
  <si>
    <t>54,7</t>
  </si>
  <si>
    <t>54,8</t>
  </si>
  <si>
    <t>54,9</t>
  </si>
  <si>
    <t>54,10</t>
  </si>
  <si>
    <t>Ремонт асфальта</t>
  </si>
  <si>
    <t>55</t>
  </si>
  <si>
    <t>2.1-3101-6-1/1</t>
  </si>
  <si>
    <t>Ремонт дорожных покрытий и тротуаров литым асфальтом толщиной 5 см с применением компрессора картами до 5 м2</t>
  </si>
  <si>
    <t>м2</t>
  </si>
  <si>
    <t>СН-2012-2021.2. Доп.1. Сб.1-3101-6-1/1</t>
  </si>
  <si>
    <t>56</t>
  </si>
  <si>
    <t>2.1-3101-6-2/1</t>
  </si>
  <si>
    <t>Ремонт дорожных покрытий и тротуаров литым асфальтом толщиной 5 см с применением компрессора картами до 30 м2</t>
  </si>
  <si>
    <t>СН-2012-2021.2. Доп.1. Сб.1-3101-6-2/1</t>
  </si>
  <si>
    <t>57</t>
  </si>
  <si>
    <t>2.1-3202-1-1/1</t>
  </si>
  <si>
    <t>Замена бортового камня бетонного во дворовых территориях</t>
  </si>
  <si>
    <t>м</t>
  </si>
  <si>
    <t>СН-2012-2021.2. Доп.1. Сб.1-3202-1-1/1</t>
  </si>
  <si>
    <t>Установка МАФов площадка группы № 5</t>
  </si>
  <si>
    <t>58</t>
  </si>
  <si>
    <t>58,1</t>
  </si>
  <si>
    <t>58,2</t>
  </si>
  <si>
    <t>58,3</t>
  </si>
  <si>
    <t>58,4</t>
  </si>
  <si>
    <t>58,5</t>
  </si>
  <si>
    <t>58,6</t>
  </si>
  <si>
    <t>58,7</t>
  </si>
  <si>
    <t>Детский игровой домик-беседка "Теремок" (ИМН-18) для детского сада 2420х1570х1690 https://goroddd.ru/detdom/detskiy-igrovoy-domik-besedka-teremok-dlya-detskogo-sada</t>
  </si>
  <si>
    <t>[68 000 / 1,2]</t>
  </si>
  <si>
    <t>58,8</t>
  </si>
  <si>
    <t>58,9</t>
  </si>
  <si>
    <t>58,10</t>
  </si>
  <si>
    <t>Установка МАФов площадка группы № 7</t>
  </si>
  <si>
    <t>59</t>
  </si>
  <si>
    <t>59,1</t>
  </si>
  <si>
    <t>59,2</t>
  </si>
  <si>
    <t>59,3</t>
  </si>
  <si>
    <t>59,4</t>
  </si>
  <si>
    <t>59,5</t>
  </si>
  <si>
    <t>59,6</t>
  </si>
  <si>
    <t>59,7</t>
  </si>
  <si>
    <t>59,8</t>
  </si>
  <si>
    <t>59,9</t>
  </si>
  <si>
    <t>Установка МАФов площадка № 9</t>
  </si>
  <si>
    <t>60</t>
  </si>
  <si>
    <t>60,1</t>
  </si>
  <si>
    <t>60,2</t>
  </si>
  <si>
    <t>60,3</t>
  </si>
  <si>
    <t>60,4</t>
  </si>
  <si>
    <t>60,5</t>
  </si>
  <si>
    <t>60,6</t>
  </si>
  <si>
    <t>60,7</t>
  </si>
  <si>
    <t>60,8</t>
  </si>
  <si>
    <t>60,9</t>
  </si>
  <si>
    <t>Фигурная двухсторонняя скамейка для детей "Паровозик из Ромашково" 1250х620х700/900 https://goroddd.ru/detskie-skameiki-i-stoly/figurnaya-dvukhstoronnyaya-skameyka-dlya-detey-parovozik-iz-roma</t>
  </si>
  <si>
    <t>[15 800 / 1,2]</t>
  </si>
  <si>
    <t>60,10</t>
  </si>
  <si>
    <t>Мусор</t>
  </si>
  <si>
    <t>61</t>
  </si>
  <si>
    <t>2.12-3105-6-1/1</t>
  </si>
  <si>
    <t>Погрузка грунта экскаватором в самосвал</t>
  </si>
  <si>
    <t>10 м3</t>
  </si>
  <si>
    <t>СН-2012-2021.2. Доп.1. Сб.12-3105-6-1/1</t>
  </si>
  <si>
    <t>62</t>
  </si>
  <si>
    <t>2.49-3401-1-1/1</t>
  </si>
  <si>
    <t>Перевозка грунта автосамосвалами грузоподъемностью до 10 т на расстояние 1 км</t>
  </si>
  <si>
    <t>СН-2012-2021.2. Доп.1. Сб.49-3401-1-1/1</t>
  </si>
  <si>
    <t>Подрядные работы, гл. 1 перевозка мусора</t>
  </si>
  <si>
    <t>63</t>
  </si>
  <si>
    <t>2.49-3401-1-2/1</t>
  </si>
  <si>
    <t>Перевозка грунта автосамосвалами грузоподъемностью до 10 т - добавляется на каждый последующий 1 км до 100 км (к поз. 49-3401-1-1)</t>
  </si>
  <si>
    <t>СН-2012-2021.2. Доп.1. Сб.49-3401-1-2/1</t>
  </si>
  <si>
    <t>)*48</t>
  </si>
  <si>
    <t>64</t>
  </si>
  <si>
    <t>1.49-9101-7-1/1</t>
  </si>
  <si>
    <t>Механизированная погрузка строительного мусора в автомобили-самосвалы</t>
  </si>
  <si>
    <t>СН-2012-2021.1. Доп.1. Сб.49-9101-7-1/1</t>
  </si>
  <si>
    <t>65</t>
  </si>
  <si>
    <t>1.49-9201-1-2/1</t>
  </si>
  <si>
    <t>Перевозка строительного мусора автосамосвалами грузоподъемностью до 10 т на расстояние 1 км - при механизированной погрузке</t>
  </si>
  <si>
    <t>СН-2012-2021.1. Доп.1. Сб.49-9201-1-2/1</t>
  </si>
  <si>
    <t>66</t>
  </si>
  <si>
    <t>1.49-9201-1-3/1</t>
  </si>
  <si>
    <t>Перевозка строительного мусора автосамосвалами грузоподъемностью до 10 т - добавляется на каждый последующий 1 км до 100 км</t>
  </si>
  <si>
    <t>СН-2012-2021.1. Доп.1. Сб.49-9201-1-3/1</t>
  </si>
  <si>
    <t>Уровень цен на 01.10.2020 г</t>
  </si>
  <si>
    <t>_OBSM_</t>
  </si>
  <si>
    <t>9999990008</t>
  </si>
  <si>
    <t>Трудозатраты рабочих</t>
  </si>
  <si>
    <t>чел.-ч.</t>
  </si>
  <si>
    <t>22.1-30-83</t>
  </si>
  <si>
    <t>СН-2012-2021.22. Доп.1. п.1-30-83 (302001)</t>
  </si>
  <si>
    <t>Пнедробилки</t>
  </si>
  <si>
    <t>22.1-30-84</t>
  </si>
  <si>
    <t>СН-2012-2021.22. Доп.1. п.1-30-84 (303401)</t>
  </si>
  <si>
    <t>Пилы бензиновые мощностью до 4 кВт, тип "Husqvarna"</t>
  </si>
  <si>
    <t>22.1-2-1</t>
  </si>
  <si>
    <t>СН-2012-2021.22. Доп.1. п.1-2-1 (020101)</t>
  </si>
  <si>
    <t>Тракторы на гусеничном ходу, мощность до 60 (81) кВт (л.с.)</t>
  </si>
  <si>
    <t>22.1-5-15</t>
  </si>
  <si>
    <t>СН-2012-2021.22. Доп.1. п.1-5-15 (050703)</t>
  </si>
  <si>
    <t>Катки прицепные пневмоколесные, масса до 50 т</t>
  </si>
  <si>
    <t>22.1-5-18</t>
  </si>
  <si>
    <t>СН-2012-2021.22. Доп.1. п.1-5-18 (050902)</t>
  </si>
  <si>
    <t>Поливомоечные машины, емкость цистерны более 5000 л</t>
  </si>
  <si>
    <t>22.1-5-48</t>
  </si>
  <si>
    <t>СН-2012-2021.22. Доп.1. п.1-5-48 (056003)</t>
  </si>
  <si>
    <t>Автогрейдеры, мощность 99-147 кВт (130-200 л.с.)</t>
  </si>
  <si>
    <t>22.1-5-7</t>
  </si>
  <si>
    <t>СН-2012-2021.22. Доп.1. п.1-5-7 (050301)</t>
  </si>
  <si>
    <t>Катки дорожные самоходные на пневмоколесном ходу, масса до 16 т</t>
  </si>
  <si>
    <t>21.1-12-10</t>
  </si>
  <si>
    <t>СН-2012-2021.21. Доп.1. Р.1, о.12, поз.10</t>
  </si>
  <si>
    <t>Песок для дорожных работ, рядовой</t>
  </si>
  <si>
    <t>21.1-25-13</t>
  </si>
  <si>
    <t>СН-2012-2021.21. Доп.1. Р.1, о.25, поз.13</t>
  </si>
  <si>
    <t>Вода</t>
  </si>
  <si>
    <t>22.1-5-2</t>
  </si>
  <si>
    <t>СН-2012-2021.22. Доп.1. п.1-5-2 (050102)</t>
  </si>
  <si>
    <t>Катки самоходные вибрационные, масса до 8 т</t>
  </si>
  <si>
    <t>21.1-1-3</t>
  </si>
  <si>
    <t>СН-2012-2021.21. Доп.1. Р.1, о.1, поз.3</t>
  </si>
  <si>
    <t>Битумы нефтяные, дорожные жидкие, марка МГ, СГ</t>
  </si>
  <si>
    <t>21.3-3-34</t>
  </si>
  <si>
    <t>СН-2012-2021.21. Доп.1. Р.3, о.3, поз.34</t>
  </si>
  <si>
    <t>Смеси асфальтобетонные дорожные горячие песчаные, тип Д, марка III</t>
  </si>
  <si>
    <t>22.1-17-168</t>
  </si>
  <si>
    <t>СН-2012-2021.22. Доп.1. п.1-17-168 (266501)</t>
  </si>
  <si>
    <t>Укладчики полимерных покрытий на игровых и спортивных площадках, производительность 10-50 м2/ч</t>
  </si>
  <si>
    <t>22.1-30-102</t>
  </si>
  <si>
    <t>СН-2012-2021.22. Доп.1. п.1-30-102 (303704)</t>
  </si>
  <si>
    <t>Дрели электрические, двухскоростные, мощностью 600 Вт</t>
  </si>
  <si>
    <t>22.1-4-8</t>
  </si>
  <si>
    <t>СН-2012-2021.22. Доп.1. п.1-4-8 (040201)</t>
  </si>
  <si>
    <t>Погрузчики на автомобильном ходу, грузоподъемность до 1 т</t>
  </si>
  <si>
    <t>22.1-6-68</t>
  </si>
  <si>
    <t>СН-2012-2021.22. Доп.1. п.1-6-68 (067203)</t>
  </si>
  <si>
    <t>Растворосмесители стационарные, емкость до 250 л</t>
  </si>
  <si>
    <t>21.1-25-255</t>
  </si>
  <si>
    <t>СН-2012-2021.21. Доп.1. Р.1, о.25, поз.255</t>
  </si>
  <si>
    <t>Пленка полиэтиленовая, толщина 0,12 - 0,15 мм</t>
  </si>
  <si>
    <t>21.1-25-343</t>
  </si>
  <si>
    <t>СН-2012-2021.21. Доп.1. Р.1, о.25, поз.343</t>
  </si>
  <si>
    <t>Скипидар живичный</t>
  </si>
  <si>
    <t>21.1-25-769</t>
  </si>
  <si>
    <t>СН-2012-2021.21. Доп.1. Р.1, о.25, поз.769</t>
  </si>
  <si>
    <t>Крошка резиновая гранулированная, фракция 2-3 мм</t>
  </si>
  <si>
    <t>кг</t>
  </si>
  <si>
    <t>21.1-25-776</t>
  </si>
  <si>
    <t>СН-2012-2021.21. Доп.1. Р.1, о.25, поз.776</t>
  </si>
  <si>
    <t>Средство связующее универсальное полиуретановое на основе резиновой и каучуковой крошки для устройства высокопрочных эластичных покрытий</t>
  </si>
  <si>
    <t>21.1-6-101</t>
  </si>
  <si>
    <t>СН-2012-2021.21. Доп.1. Р.1, о.6, поз.101</t>
  </si>
  <si>
    <t>Пигменты сухие для красок, кислотный желтый</t>
  </si>
  <si>
    <t>22.1-4-12</t>
  </si>
  <si>
    <t>СН-2012-2021.22. Доп.1. п.1-4-12 (040205)</t>
  </si>
  <si>
    <t>Погрузчики на автомобильном ходу, грузоподъемность до 5 т</t>
  </si>
  <si>
    <t>21.3-1-69</t>
  </si>
  <si>
    <t>СН-2012-2021.21. Доп.1. Р.3, о.1, поз.69</t>
  </si>
  <si>
    <t>Смеси бетонные, БСГ, тяжелого бетона на гранитном щебне, класс прочности: В15 (М200); П3, фракция 5-20, F50-100, W0-2</t>
  </si>
  <si>
    <t>21.3-2-15</t>
  </si>
  <si>
    <t>СН-2012-2021.21. Доп.1. Р.3, о.2, поз.15</t>
  </si>
  <si>
    <t>Растворы цементные, марка 100</t>
  </si>
  <si>
    <t>21.5-3-9</t>
  </si>
  <si>
    <t>СН-2012-2021.21. Доп.1. Р.5, о.3, поз.9</t>
  </si>
  <si>
    <t>Камни бетонные бортовые газонные, марка 2ГБ 60.8.20, цвет серый</t>
  </si>
  <si>
    <t>21.3-2-12</t>
  </si>
  <si>
    <t>СН-2012-2021.21. Доп.1. Р.3, о.2, поз.12</t>
  </si>
  <si>
    <t>Растворы цементные, марка 25</t>
  </si>
  <si>
    <t>22.1-10-5</t>
  </si>
  <si>
    <t>СН-2012-2021.22. Доп.1. п.1-10-5 (101002)</t>
  </si>
  <si>
    <t>Компрессоры с дизельным двигателем прицепные до 5 м3/мин</t>
  </si>
  <si>
    <t>22.1-30-54</t>
  </si>
  <si>
    <t>СН-2012-2021.22. Доп.1. п.1-30-54 (308901)</t>
  </si>
  <si>
    <t>Молотки отбойные</t>
  </si>
  <si>
    <t>22.1-1-3</t>
  </si>
  <si>
    <t>СН-2012-2021.22. Доп.1. п.1-1-3 (010103)</t>
  </si>
  <si>
    <t>Экскаваторы на гусеничном ходу гидравлические, объем ковша до 0,4 м3</t>
  </si>
  <si>
    <t>22.1-1-43</t>
  </si>
  <si>
    <t>СН-2012-2021.22. Доп.1. п.1-1-43 (012102)</t>
  </si>
  <si>
    <t>Бульдозеры гусеничные, мощность до 59 кВт (80 л.с.)</t>
  </si>
  <si>
    <t>22.1-10-6</t>
  </si>
  <si>
    <t>СН-2012-2021.22. Доп.1. п.1-10-6 (101003)</t>
  </si>
  <si>
    <t>Компрессоры с дизельным двигателем прицепные до 6 м3/мин</t>
  </si>
  <si>
    <t>22.1-4-2</t>
  </si>
  <si>
    <t>СН-2012-2021.22. Доп.1. п.1-4-2 (040102)</t>
  </si>
  <si>
    <t>Погрузчики универсальные на пневмоколесном ходу, грузоподъемность до 2 т</t>
  </si>
  <si>
    <t>22.1-5-66</t>
  </si>
  <si>
    <t>СН-2012-2021.22. Доп.1. п.1-5-66 (052801)</t>
  </si>
  <si>
    <t>Установки для перевозки литого асфальта типа "Кохер"</t>
  </si>
  <si>
    <t>21.1-12-39</t>
  </si>
  <si>
    <t>СН-2012-2021.21. Доп.1. Р.1, о.12, поз.39</t>
  </si>
  <si>
    <t>Щебень из естественного камня для строительных работ, марка 1400, фракция 5-10 мм</t>
  </si>
  <si>
    <t>21.3-3-3</t>
  </si>
  <si>
    <t>СН-2012-2021.21. Доп.1. Р.3, о.3, поз.3</t>
  </si>
  <si>
    <t>Асфальт литой для покрытий, марка ЛIV</t>
  </si>
  <si>
    <t>22.1-10-4</t>
  </si>
  <si>
    <t>СН-2012-2021.22. Доп.1. п.1-10-4 (101001)</t>
  </si>
  <si>
    <t>Компрессоры с дизельным двигателем прицепные до 2,5 м3/мин</t>
  </si>
  <si>
    <t>22.1-18-27</t>
  </si>
  <si>
    <t>СН-2012-2021.22. Доп.1. п.1-18-27 (183301)</t>
  </si>
  <si>
    <t>Автомобили грузовые для аварийно-ремонтных работ, грузоподъемность до 7 т</t>
  </si>
  <si>
    <t>22.1-4-1</t>
  </si>
  <si>
    <t>СН-2012-2021.22. Доп.1. п.1-4-1 (040101)</t>
  </si>
  <si>
    <t>Погрузчики универсальные на пневмоколесном ходу, грузоподъемность до 1 т</t>
  </si>
  <si>
    <t>21.3-1-36</t>
  </si>
  <si>
    <t>СН-2012-2021.21. Доп.1. Р.3, о.1, поз.36</t>
  </si>
  <si>
    <t>Смеси бетонные, БСГ, тяжелого бетона на гранитном щебне фракция 20-40 для инженерных коммуникаций и дорог, класс прочности: В15 (М200); П1, F100, W2</t>
  </si>
  <si>
    <t>21.5-3-13</t>
  </si>
  <si>
    <t>СН-2012-2021.21. Доп.1. Р.5, о.3, поз.13</t>
  </si>
  <si>
    <t>Камни бетонные бортовые, марка БР 100.30.15</t>
  </si>
  <si>
    <t>9999990001</t>
  </si>
  <si>
    <t>Масса мусора</t>
  </si>
  <si>
    <t>22.1-1-25</t>
  </si>
  <si>
    <t>СН-2012-2021.22. Доп.1. п.1-1-25 (010601)</t>
  </si>
  <si>
    <t>Экскаваторы-планировщики на автомобиле, объем ковша до 0,63 м3</t>
  </si>
  <si>
    <t>22.1-18-13</t>
  </si>
  <si>
    <t>СН-2012-2021.22. Доп.1. п.1-18-13 (184002)</t>
  </si>
  <si>
    <t>Автомобили-самосвалы, грузоподъемность до 10 т</t>
  </si>
  <si>
    <t>22.1-1-5</t>
  </si>
  <si>
    <t>СН-2012-2021.22. Доп.1. п.1-1-5 (010109)</t>
  </si>
  <si>
    <t>Экскаваторы на гусеничном ходу гидравлические, объем ковша до 0,65 м3</t>
  </si>
  <si>
    <t>22.1-18-12</t>
  </si>
  <si>
    <t>СН-2012-2021.22. Доп.1. п.1-18-12 (184001)</t>
  </si>
  <si>
    <t>Автомобили-самосвалы, грузоподъемность до 7 т</t>
  </si>
  <si>
    <t>5262150000</t>
  </si>
  <si>
    <t>Металлические изделия полотна калиток</t>
  </si>
  <si>
    <t>5290900000</t>
  </si>
  <si>
    <t>Стойки металлические опорные</t>
  </si>
  <si>
    <t>"СОГЛАСОВАНО"</t>
  </si>
  <si>
    <t>"УТВЕРЖДАЮ"</t>
  </si>
  <si>
    <t>Форма № 1а (глава 1-5)</t>
  </si>
  <si>
    <t>"_____"________________ 2021 г.</t>
  </si>
  <si>
    <t>(локальный сметный расчет)</t>
  </si>
  <si>
    <t>(наименование работ и затрат, наименование объекта)</t>
  </si>
  <si>
    <t>Сметная стоимость</t>
  </si>
  <si>
    <t>тыс.руб</t>
  </si>
  <si>
    <t>Строительные работы</t>
  </si>
  <si>
    <t>Монтажные работы</t>
  </si>
  <si>
    <t>Оборудование</t>
  </si>
  <si>
    <t>Прочие работы</t>
  </si>
  <si>
    <t>Средства на оплату труда</t>
  </si>
  <si>
    <t>№№ п/п</t>
  </si>
  <si>
    <t>Шифр расценки и коды ресурсов</t>
  </si>
  <si>
    <t>Наименование работ и затрат</t>
  </si>
  <si>
    <t>Единица измерения</t>
  </si>
  <si>
    <t>Кол-во единиц</t>
  </si>
  <si>
    <t>Цена на ед. изм. руб.</t>
  </si>
  <si>
    <t>Попра-вочные коэфф.</t>
  </si>
  <si>
    <t>Коэфф. зимних удоро-жаний</t>
  </si>
  <si>
    <t>Коэфф. пересчета</t>
  </si>
  <si>
    <t>ВСЕГО затрат, руб.</t>
  </si>
  <si>
    <t>Справочно</t>
  </si>
  <si>
    <t>ЗТР, всего чел.-час</t>
  </si>
  <si>
    <t>Ст-ть ед. с начислен.</t>
  </si>
  <si>
    <t>Составлен(а) в уровне текущих (прогнозных) цен октябрь 2020 года</t>
  </si>
  <si>
    <t>ЗП</t>
  </si>
  <si>
    <t>ЭМ</t>
  </si>
  <si>
    <t>в т.ч. ЗПМ</t>
  </si>
  <si>
    <t>НР от ЗП</t>
  </si>
  <si>
    <t>%</t>
  </si>
  <si>
    <t>СП от ЗП</t>
  </si>
  <si>
    <t>НР и СП от ЗПМ</t>
  </si>
  <si>
    <t>ЗТР</t>
  </si>
  <si>
    <t>чел-ч</t>
  </si>
  <si>
    <t>МР</t>
  </si>
  <si>
    <r>
      <t>МАФ: Песочница с крышкой "Малыш" (РЕ-45) для детских садов и ДОУ 2000х1500х580  Ссылка: https://goroddd.ru/pesoch/pesochnitca-s-kryshkoy-malysh-dlya-detskikh-sadov-i-dou</t>
    </r>
    <r>
      <rPr>
        <i/>
        <sz val="10"/>
        <rFont val="Arial"/>
        <family val="2"/>
        <charset val="204"/>
      </rPr>
      <t xml:space="preserve">
Базисная стоимость: 17 250,00 = [20 700 / 1,2]</t>
    </r>
  </si>
  <si>
    <r>
      <t>Функциональный уличный игровой домик для детей "Море" (DO-33) 1800х1350х1450  https://goroddd.ru/detdom/ulichnyy-igrovoy-domik-dlya-detey-more</t>
    </r>
    <r>
      <rPr>
        <i/>
        <sz val="10"/>
        <rFont val="Arial"/>
        <family val="2"/>
        <charset val="204"/>
      </rPr>
      <t xml:space="preserve">
Базисная стоимость: 44 166,67 = [53 000 / 1,2]</t>
    </r>
  </si>
  <si>
    <r>
      <t>Детская игровая форма, уличный игровой макет "Рейсовый автобус" (ИМН-7) 2350х1080х1670 https://goroddd.ru/makety-i-elementy/tematicheskiy-maket-dlya-detskikh-ploschadok-reysovyy-avtobus-im</t>
    </r>
    <r>
      <rPr>
        <i/>
        <sz val="10"/>
        <rFont val="Arial"/>
        <family val="2"/>
        <charset val="204"/>
      </rPr>
      <t xml:space="preserve">
Базисная стоимость: 62 333,33 = [74 800 / 1,2]</t>
    </r>
  </si>
  <si>
    <r>
      <t>Лавочка двухсторонняя для детских садов "Курица-наседка" (СПН-88) 1200х650х780 http://mes.mosedu.ru/</t>
    </r>
    <r>
      <rPr>
        <i/>
        <sz val="10"/>
        <rFont val="Arial"/>
        <family val="2"/>
        <charset val="204"/>
      </rPr>
      <t xml:space="preserve">
Базисная стоимость: 12 391,67 = [14 870 / 1,2]</t>
    </r>
  </si>
  <si>
    <r>
      <t>Уличный игровой детский домик для детских садов "Чиполлино" 1400х1400х1700  https://goroddd.ru/detdom/ulichnyy-detskiy-domik-dlya-detskikh-sadov-chipollino-imn-13-140</t>
    </r>
    <r>
      <rPr>
        <i/>
        <sz val="10"/>
        <rFont val="Arial"/>
        <family val="2"/>
        <charset val="204"/>
      </rPr>
      <t xml:space="preserve">
Базисная стоимость: 43 083,33 = [51 700 / 1,2]</t>
    </r>
  </si>
  <si>
    <r>
      <t>Игровой макет кораблик для детских площадок "Чунга-Чанга" 2880х1100х2100  https://goroddd.ru/makety-i-elementy/ulichnyy-igrovoy-maket-dlya-detey-chunga-changa-imn-88-2880kh110</t>
    </r>
    <r>
      <rPr>
        <i/>
        <sz val="10"/>
        <rFont val="Arial"/>
        <family val="2"/>
        <charset val="204"/>
      </rPr>
      <t xml:space="preserve">
Базисная стоимость: 40 166,67 = [48 200 / 1,2]</t>
    </r>
  </si>
  <si>
    <r>
      <t>МАФ: Игровое оборудование паровозик для детских садов и ДОУ "Разноцветный паровозик" (ИМН-66) 1900х1000х1600  https://goroddd.ru/makety-i-elementy/igrovoy-maket-dlya-detskikh-ploschadok-raznotcvetnyy-parovozik-i</t>
    </r>
    <r>
      <rPr>
        <i/>
        <sz val="10"/>
        <rFont val="Arial"/>
        <family val="2"/>
        <charset val="204"/>
      </rPr>
      <t xml:space="preserve">
Базисная стоимость: 48 916,67 = [58 700 / 1,2]</t>
    </r>
  </si>
  <si>
    <r>
      <t>Детская лавочка со спинкой "Пятнашки" на металлическом каркасе 1600х400х700 https://goroddd.ru/detskie-skameiki-i-stoly/detskaya-lavochka-so-spinkoy-pyatnashki</t>
    </r>
    <r>
      <rPr>
        <i/>
        <sz val="10"/>
        <rFont val="Arial"/>
        <family val="2"/>
        <charset val="204"/>
      </rPr>
      <t xml:space="preserve">
Базисная стоимость: 10 833,33 = [13 000 / 1,2]</t>
    </r>
  </si>
  <si>
    <r>
      <t>Детский игровой домик-беседка "Теремок" (ИМН-18) для детского сада 2420х1570х1690 https://goroddd.ru/detdom/detskiy-igrovoy-domik-besedka-teremok-dlya-detskogo-sada</t>
    </r>
    <r>
      <rPr>
        <i/>
        <sz val="10"/>
        <rFont val="Arial"/>
        <family val="2"/>
        <charset val="204"/>
      </rPr>
      <t xml:space="preserve">
Базисная стоимость: 56 666,67 = [68 000 / 1,2]</t>
    </r>
  </si>
  <si>
    <r>
      <t>Фигурная двухсторонняя скамейка для детей "Паровозик из Ромашково" 1250х620х700/900 https://goroddd.ru/detskie-skameiki-i-stoly/figurnaya-dvukhstoronnyaya-skameyka-dlya-detey-parovozik-iz-roma</t>
    </r>
    <r>
      <rPr>
        <i/>
        <sz val="10"/>
        <rFont val="Arial"/>
        <family val="2"/>
        <charset val="204"/>
      </rPr>
      <t xml:space="preserve">
Базисная стоимость: 13 166,67 = [15 800 / 1,2]</t>
    </r>
  </si>
  <si>
    <t xml:space="preserve">Составил   </t>
  </si>
  <si>
    <t>[должность,подпись(инициалы,фамилия)]</t>
  </si>
  <si>
    <t xml:space="preserve">Проверил   </t>
  </si>
  <si>
    <t>___________________________</t>
  </si>
  <si>
    <t>" ___ " ___________ 20 ___ г.</t>
  </si>
  <si>
    <t xml:space="preserve">Мы, нижеподписавшиеся, произвели осмотр объекта </t>
  </si>
  <si>
    <t xml:space="preserve">и постановили произвести ремонт объекта в </t>
  </si>
  <si>
    <t>следующем объеме:</t>
  </si>
  <si>
    <t>№ п/п</t>
  </si>
  <si>
    <t>Количество</t>
  </si>
  <si>
    <t>Примечание</t>
  </si>
  <si>
    <t>Заказчик _________________</t>
  </si>
  <si>
    <t>Подрядчик _________________</t>
  </si>
  <si>
    <t>TYPE</t>
  </si>
  <si>
    <t>SOURCE_LINK</t>
  </si>
  <si>
    <t>RABMAT_EX</t>
  </si>
  <si>
    <t>TIP_RAB</t>
  </si>
  <si>
    <t>TYPE_TRUD</t>
  </si>
  <si>
    <t>TAB</t>
  </si>
  <si>
    <t>NAME</t>
  </si>
  <si>
    <t>EDIZM</t>
  </si>
  <si>
    <t>KOLL</t>
  </si>
  <si>
    <t>UCH</t>
  </si>
  <si>
    <t>PRICE_B</t>
  </si>
  <si>
    <t>PRICE_ED</t>
  </si>
  <si>
    <t>STOIM_B</t>
  </si>
  <si>
    <t>PRICE_C</t>
  </si>
  <si>
    <t>STOIM_C</t>
  </si>
  <si>
    <t>ZPM_B</t>
  </si>
  <si>
    <t>ZPM_ED</t>
  </si>
  <si>
    <t>STOIM_ZPM_B</t>
  </si>
  <si>
    <t>ZPM_C</t>
  </si>
  <si>
    <t>STOIM_ZPM_C</t>
  </si>
  <si>
    <t>CRC_GR_RES</t>
  </si>
  <si>
    <t>CRC_B</t>
  </si>
  <si>
    <t>CRC_C</t>
  </si>
  <si>
    <t>RABMAT</t>
  </si>
  <si>
    <t>BuildingFinished</t>
  </si>
  <si>
    <t>Trud</t>
  </si>
  <si>
    <t>Mash</t>
  </si>
  <si>
    <t>Mat</t>
  </si>
  <si>
    <t>MatZak</t>
  </si>
  <si>
    <t>Oborud</t>
  </si>
  <si>
    <t>OborudZak</t>
  </si>
  <si>
    <t>ZeroStoim</t>
  </si>
  <si>
    <t>NegativeKoll</t>
  </si>
  <si>
    <t>ReUnionKollResurcy</t>
  </si>
  <si>
    <t>UnionOneUchRes</t>
  </si>
  <si>
    <t>IdLevel</t>
  </si>
  <si>
    <t>Ресурсная ведомость на</t>
  </si>
  <si>
    <t>Объект: Выполнение работ по благоустройству территории для нужд БОУ Школа № 1018 ул. Чоботовская д 7</t>
  </si>
  <si>
    <t>Обоснование</t>
  </si>
  <si>
    <t>Наименование</t>
  </si>
  <si>
    <t>Объем</t>
  </si>
  <si>
    <t>Базовая</t>
  </si>
  <si>
    <t>цена</t>
  </si>
  <si>
    <t>стоимость</t>
  </si>
  <si>
    <t>Текущая</t>
  </si>
  <si>
    <t xml:space="preserve">Машины и механизмы </t>
  </si>
  <si>
    <t xml:space="preserve">Итого машины и механизмы </t>
  </si>
  <si>
    <t xml:space="preserve">Материальные ресурсы </t>
  </si>
  <si>
    <t xml:space="preserve">Итого материальные ресурсы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</si>
</sst>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mmmm"/>
    <numFmt numFmtId="165" formatCode="#,##0.00####;[Red]\-\ #,##0.00####"/>
    <numFmt numFmtId="166" formatCode="#,##0.00;[Red]\-\ #,##0.00"/>
  </numFmts>
  <fonts count="19" x14ac:knownFonts="1">
    <font>
      <sz val="10"/>
      <name val="Arial"/>
      <charset val="204"/>
    </font>
    <font>
      <b/>
      <sz val="10"/>
      <color indexed="12"/>
      <name val="Arial"/>
      <charset val="204"/>
    </font>
    <font>
      <b/>
      <sz val="10"/>
      <color indexed="16"/>
      <name val="Arial"/>
      <charset val="204"/>
    </font>
    <font>
      <b/>
      <sz val="10"/>
      <color indexed="20"/>
      <name val="Arial"/>
      <charset val="204"/>
    </font>
    <font>
      <b/>
      <sz val="10"/>
      <color indexed="17"/>
      <name val="Arial"/>
      <charset val="204"/>
    </font>
    <font>
      <sz val="10"/>
      <color indexed="12"/>
      <name val="Arial"/>
      <charset val="204"/>
    </font>
    <font>
      <sz val="10"/>
      <color indexed="14"/>
      <name val="Arial"/>
      <charset val="204"/>
    </font>
    <font>
      <b/>
      <sz val="10"/>
      <color indexed="14"/>
      <name val="Arial"/>
      <charset val="204"/>
    </font>
    <font>
      <sz val="10"/>
      <name val="Arial"/>
      <family val="2"/>
      <charset val="204"/>
    </font>
    <font>
      <sz val="9"/>
      <name val="Arial"/>
      <family val="2"/>
      <charset val="204"/>
    </font>
    <font>
      <sz val="11"/>
      <name val="Arial"/>
      <family val="2"/>
      <charset val="204"/>
    </font>
    <font>
      <b/>
      <sz val="13"/>
      <name val="Arial"/>
      <family val="2"/>
      <charset val="204"/>
    </font>
    <font>
      <b/>
      <sz val="12"/>
      <name val="Arial"/>
      <family val="2"/>
      <charset val="204"/>
    </font>
    <font>
      <sz val="12"/>
      <name val="Arial"/>
      <family val="2"/>
      <charset val="204"/>
    </font>
    <font>
      <b/>
      <sz val="14"/>
      <name val="Arial"/>
      <family val="2"/>
      <charset val="204"/>
    </font>
    <font>
      <i/>
      <sz val="11"/>
      <name val="Arial"/>
      <family val="2"/>
      <charset val="204"/>
    </font>
    <font>
      <sz val="13"/>
      <name val="Arial"/>
      <family val="2"/>
      <charset val="204"/>
    </font>
    <font>
      <b/>
      <sz val="11"/>
      <name val="Arial"/>
      <family val="2"/>
      <charset val="204"/>
    </font>
    <font>
      <i/>
      <sz val="1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9" fillId="0" borderId="0" xfId="0" applyFont="1"/>
    <xf numFmtId="0" fontId="10" fillId="0" borderId="0" xfId="0" applyFont="1" applyAlignment="1">
      <alignment horizontal="right"/>
    </xf>
    <xf numFmtId="0" fontId="10" fillId="0" borderId="0" xfId="0" applyFont="1"/>
    <xf numFmtId="0" fontId="11" fillId="0" borderId="0" xfId="0" applyFont="1" applyAlignment="1"/>
    <xf numFmtId="0" fontId="12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10" fillId="0" borderId="0" xfId="0" applyFont="1" applyAlignment="1"/>
    <xf numFmtId="0" fontId="10" fillId="0" borderId="0" xfId="0" applyFont="1" applyBorder="1" applyAlignment="1">
      <alignment horizontal="left"/>
    </xf>
    <xf numFmtId="0" fontId="10" fillId="0" borderId="0" xfId="0" applyFont="1" applyAlignment="1">
      <alignment horizontal="left"/>
    </xf>
    <xf numFmtId="0" fontId="10" fillId="0" borderId="0" xfId="0" applyFont="1" applyBorder="1" applyAlignment="1">
      <alignment wrapText="1"/>
    </xf>
    <xf numFmtId="0" fontId="10" fillId="0" borderId="0" xfId="0" applyFont="1" applyBorder="1" applyAlignment="1">
      <alignment horizontal="left" wrapText="1"/>
    </xf>
    <xf numFmtId="0" fontId="10" fillId="0" borderId="0" xfId="0" applyFont="1" applyAlignment="1">
      <alignment horizontal="right"/>
    </xf>
    <xf numFmtId="0" fontId="12" fillId="0" borderId="1" xfId="0" applyFont="1" applyBorder="1" applyAlignment="1">
      <alignment horizontal="center" wrapText="1"/>
    </xf>
    <xf numFmtId="0" fontId="13" fillId="0" borderId="1" xfId="0" applyFont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14" fillId="0" borderId="0" xfId="0" applyFont="1" applyAlignment="1">
      <alignment horizontal="center" wrapText="1"/>
    </xf>
    <xf numFmtId="0" fontId="14" fillId="0" borderId="1" xfId="0" applyFont="1" applyBorder="1" applyAlignment="1">
      <alignment horizontal="center" wrapText="1"/>
    </xf>
    <xf numFmtId="0" fontId="0" fillId="0" borderId="0" xfId="0" applyAlignment="1"/>
    <xf numFmtId="0" fontId="10" fillId="0" borderId="0" xfId="0" applyFont="1" applyAlignment="1">
      <alignment horizontal="left" wrapText="1"/>
    </xf>
    <xf numFmtId="164" fontId="10" fillId="0" borderId="0" xfId="0" applyNumberFormat="1" applyFont="1"/>
    <xf numFmtId="1" fontId="10" fillId="0" borderId="0" xfId="0" applyNumberFormat="1" applyFont="1"/>
    <xf numFmtId="0" fontId="10" fillId="0" borderId="2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1" fillId="0" borderId="0" xfId="0" applyFont="1" applyAlignment="1">
      <alignment horizontal="center" wrapText="1"/>
    </xf>
    <xf numFmtId="0" fontId="10" fillId="0" borderId="0" xfId="0" applyFont="1" applyAlignment="1">
      <alignment horizontal="left" vertical="top"/>
    </xf>
    <xf numFmtId="0" fontId="10" fillId="0" borderId="0" xfId="0" applyFont="1" applyAlignment="1">
      <alignment horizontal="left" vertical="top" wrapText="1"/>
    </xf>
    <xf numFmtId="0" fontId="15" fillId="0" borderId="0" xfId="0" applyFont="1" applyAlignment="1">
      <alignment horizontal="right" wrapText="1"/>
    </xf>
    <xf numFmtId="0" fontId="10" fillId="0" borderId="0" xfId="0" applyFont="1" applyAlignment="1">
      <alignment horizontal="right" wrapText="1"/>
    </xf>
    <xf numFmtId="165" fontId="10" fillId="0" borderId="0" xfId="0" applyNumberFormat="1" applyFont="1" applyAlignment="1">
      <alignment horizontal="right"/>
    </xf>
    <xf numFmtId="166" fontId="10" fillId="0" borderId="0" xfId="0" applyNumberFormat="1" applyFont="1" applyAlignment="1">
      <alignment horizontal="right"/>
    </xf>
    <xf numFmtId="166" fontId="15" fillId="0" borderId="0" xfId="0" applyNumberFormat="1" applyFont="1" applyAlignment="1">
      <alignment horizontal="right"/>
    </xf>
    <xf numFmtId="166" fontId="0" fillId="0" borderId="0" xfId="0" applyNumberFormat="1"/>
    <xf numFmtId="166" fontId="10" fillId="0" borderId="0" xfId="0" applyNumberFormat="1" applyFont="1" applyAlignment="1">
      <alignment horizontal="right"/>
    </xf>
    <xf numFmtId="166" fontId="17" fillId="0" borderId="0" xfId="0" applyNumberFormat="1" applyFont="1" applyAlignment="1">
      <alignment horizontal="right"/>
    </xf>
    <xf numFmtId="0" fontId="17" fillId="0" borderId="0" xfId="0" applyFont="1" applyAlignment="1">
      <alignment horizontal="right"/>
    </xf>
    <xf numFmtId="0" fontId="0" fillId="0" borderId="6" xfId="0" applyBorder="1"/>
    <xf numFmtId="166" fontId="17" fillId="0" borderId="6" xfId="0" applyNumberFormat="1" applyFont="1" applyBorder="1" applyAlignment="1">
      <alignment horizontal="right"/>
    </xf>
    <xf numFmtId="166" fontId="17" fillId="0" borderId="6" xfId="0" applyNumberFormat="1" applyFont="1" applyBorder="1" applyAlignment="1">
      <alignment horizontal="right"/>
    </xf>
    <xf numFmtId="0" fontId="8" fillId="0" borderId="0" xfId="0" applyFont="1" applyAlignment="1">
      <alignment wrapText="1"/>
    </xf>
    <xf numFmtId="0" fontId="10" fillId="0" borderId="0" xfId="0" quotePrefix="1" applyFont="1" applyAlignment="1">
      <alignment horizontal="right" wrapText="1"/>
    </xf>
    <xf numFmtId="0" fontId="17" fillId="0" borderId="0" xfId="0" applyFont="1"/>
    <xf numFmtId="0" fontId="17" fillId="0" borderId="0" xfId="0" applyFont="1" applyAlignment="1">
      <alignment horizontal="right"/>
    </xf>
    <xf numFmtId="0" fontId="17" fillId="0" borderId="0" xfId="0" applyFont="1" applyAlignment="1">
      <alignment horizontal="left" wrapText="1"/>
    </xf>
    <xf numFmtId="0" fontId="17" fillId="0" borderId="0" xfId="0" applyFont="1" applyAlignment="1">
      <alignment horizontal="left" wrapText="1"/>
    </xf>
    <xf numFmtId="0" fontId="10" fillId="0" borderId="0" xfId="0" applyFont="1" applyAlignment="1">
      <alignment horizontal="right" vertical="center"/>
    </xf>
    <xf numFmtId="0" fontId="10" fillId="0" borderId="1" xfId="0" applyFont="1" applyBorder="1"/>
    <xf numFmtId="0" fontId="9" fillId="0" borderId="5" xfId="0" applyFont="1" applyBorder="1" applyAlignment="1">
      <alignment horizontal="center"/>
    </xf>
    <xf numFmtId="0" fontId="17" fillId="0" borderId="0" xfId="0" applyFont="1" applyBorder="1" applyAlignment="1">
      <alignment horizontal="right"/>
    </xf>
    <xf numFmtId="0" fontId="17" fillId="0" borderId="0" xfId="0" applyFont="1" applyBorder="1" applyAlignment="1">
      <alignment horizontal="right"/>
    </xf>
    <xf numFmtId="0" fontId="12" fillId="0" borderId="0" xfId="0" applyFont="1" applyAlignment="1">
      <alignment horizontal="center" wrapText="1"/>
    </xf>
    <xf numFmtId="0" fontId="17" fillId="0" borderId="0" xfId="0" applyFont="1" applyAlignment="1">
      <alignment horizontal="center" wrapText="1"/>
    </xf>
    <xf numFmtId="0" fontId="17" fillId="0" borderId="0" xfId="0" applyFont="1" applyAlignment="1">
      <alignment horizontal="left" vertical="top"/>
    </xf>
    <xf numFmtId="0" fontId="10" fillId="0" borderId="2" xfId="0" applyFont="1" applyBorder="1" applyAlignment="1">
      <alignment horizontal="center" vertical="center" wrapText="1"/>
    </xf>
    <xf numFmtId="0" fontId="17" fillId="0" borderId="0" xfId="0" applyFont="1" applyAlignment="1">
      <alignment horizontal="center" wrapText="1"/>
    </xf>
    <xf numFmtId="0" fontId="10" fillId="0" borderId="2" xfId="0" applyFont="1" applyBorder="1" applyAlignment="1">
      <alignment horizontal="center"/>
    </xf>
    <xf numFmtId="0" fontId="10" fillId="0" borderId="2" xfId="0" applyFont="1" applyFill="1" applyBorder="1" applyAlignment="1">
      <alignment horizontal="center"/>
    </xf>
    <xf numFmtId="0" fontId="11" fillId="0" borderId="2" xfId="0" applyFont="1" applyBorder="1" applyAlignment="1">
      <alignment horizontal="center" wrapText="1"/>
    </xf>
    <xf numFmtId="0" fontId="10" fillId="0" borderId="3" xfId="0" applyFont="1" applyBorder="1" applyAlignment="1">
      <alignment horizontal="left" vertical="top" wrapText="1"/>
    </xf>
    <xf numFmtId="0" fontId="10" fillId="0" borderId="3" xfId="0" applyFont="1" applyBorder="1" applyAlignment="1">
      <alignment horizontal="left" wrapText="1"/>
    </xf>
    <xf numFmtId="0" fontId="10" fillId="0" borderId="3" xfId="0" applyFont="1" applyBorder="1" applyAlignment="1">
      <alignment horizontal="right" wrapText="1"/>
    </xf>
    <xf numFmtId="0" fontId="10" fillId="0" borderId="3" xfId="0" applyFont="1" applyBorder="1" applyAlignment="1">
      <alignment horizontal="right"/>
    </xf>
    <xf numFmtId="0" fontId="10" fillId="0" borderId="2" xfId="0" applyFont="1" applyBorder="1" applyAlignment="1">
      <alignment horizontal="left" vertical="top" wrapText="1"/>
    </xf>
    <xf numFmtId="0" fontId="10" fillId="0" borderId="2" xfId="0" applyFont="1" applyBorder="1" applyAlignment="1">
      <alignment horizontal="left" wrapText="1"/>
    </xf>
    <xf numFmtId="0" fontId="10" fillId="0" borderId="2" xfId="0" applyFont="1" applyBorder="1" applyAlignment="1">
      <alignment horizontal="right" wrapText="1"/>
    </xf>
    <xf numFmtId="0" fontId="10" fillId="0" borderId="2" xfId="0" applyFont="1" applyBorder="1" applyAlignment="1">
      <alignment horizontal="right"/>
    </xf>
    <xf numFmtId="0" fontId="11" fillId="0" borderId="3" xfId="0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/>
    </xf>
    <xf numFmtId="0" fontId="11" fillId="0" borderId="3" xfId="0" quotePrefix="1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17" fillId="0" borderId="3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left" vertical="center" wrapText="1"/>
    </xf>
    <xf numFmtId="49" fontId="10" fillId="0" borderId="3" xfId="0" applyNumberFormat="1" applyFont="1" applyBorder="1" applyAlignment="1">
      <alignment horizontal="left" vertical="top" wrapText="1"/>
    </xf>
    <xf numFmtId="166" fontId="10" fillId="0" borderId="3" xfId="0" applyNumberFormat="1" applyFont="1" applyBorder="1" applyAlignment="1">
      <alignment horizontal="right" wrapText="1"/>
    </xf>
    <xf numFmtId="0" fontId="17" fillId="0" borderId="3" xfId="0" applyFont="1" applyBorder="1" applyAlignment="1">
      <alignment horizontal="right"/>
    </xf>
    <xf numFmtId="166" fontId="17" fillId="0" borderId="3" xfId="0" applyNumberFormat="1" applyFont="1" applyBorder="1" applyAlignment="1">
      <alignment horizontal="righ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748"/>
  <sheetViews>
    <sheetView zoomScaleNormal="100" workbookViewId="0"/>
  </sheetViews>
  <sheetFormatPr defaultRowHeight="12.75" x14ac:dyDescent="0.2"/>
  <cols>
    <col min="1" max="1" width="5.7109375" customWidth="1"/>
    <col min="2" max="2" width="11.7109375" customWidth="1"/>
    <col min="3" max="3" width="40.7109375" customWidth="1"/>
    <col min="4" max="6" width="11.7109375" customWidth="1"/>
    <col min="7" max="7" width="12.7109375" customWidth="1"/>
    <col min="9" max="11" width="12.7109375" customWidth="1"/>
    <col min="15" max="31" width="0" hidden="1" customWidth="1"/>
    <col min="32" max="32" width="113.140625" hidden="1" customWidth="1"/>
    <col min="33" max="36" width="0" hidden="1" customWidth="1"/>
  </cols>
  <sheetData>
    <row r="1" spans="1:11" x14ac:dyDescent="0.2">
      <c r="A1" s="8" t="str">
        <f>CONCATENATE(Source!B1, "     СН-2012 (© ОАО МЦЦС 'Мосстройцены', ", "2021", ")")</f>
        <v>Smeta.RU Flash  (495) 974-1589     СН-2012 (© ОАО МЦЦС 'Мосстройцены', 2021)</v>
      </c>
    </row>
    <row r="2" spans="1:11" ht="14.25" x14ac:dyDescent="0.2">
      <c r="A2" s="9"/>
      <c r="B2" s="9"/>
      <c r="C2" s="9"/>
      <c r="D2" s="9"/>
      <c r="E2" s="9"/>
      <c r="F2" s="9"/>
      <c r="G2" s="9"/>
      <c r="H2" s="9"/>
      <c r="I2" s="9"/>
      <c r="J2" s="19" t="s">
        <v>522</v>
      </c>
      <c r="K2" s="19"/>
    </row>
    <row r="3" spans="1:11" ht="16.5" x14ac:dyDescent="0.25">
      <c r="A3" s="11"/>
      <c r="B3" s="12" t="s">
        <v>520</v>
      </c>
      <c r="C3" s="12"/>
      <c r="D3" s="12"/>
      <c r="E3" s="12"/>
      <c r="F3" s="10"/>
      <c r="G3" s="12" t="s">
        <v>521</v>
      </c>
      <c r="H3" s="12"/>
      <c r="I3" s="12"/>
      <c r="J3" s="12"/>
      <c r="K3" s="12"/>
    </row>
    <row r="4" spans="1:11" ht="14.25" x14ac:dyDescent="0.2">
      <c r="A4" s="10"/>
      <c r="B4" s="13"/>
      <c r="C4" s="13"/>
      <c r="D4" s="13"/>
      <c r="E4" s="13"/>
      <c r="F4" s="10"/>
      <c r="G4" s="13"/>
      <c r="H4" s="13"/>
      <c r="I4" s="13"/>
      <c r="J4" s="13"/>
      <c r="K4" s="13"/>
    </row>
    <row r="5" spans="1:11" ht="14.25" x14ac:dyDescent="0.2">
      <c r="A5" s="14"/>
      <c r="B5" s="14"/>
      <c r="C5" s="15"/>
      <c r="D5" s="15"/>
      <c r="E5" s="15"/>
      <c r="F5" s="10"/>
      <c r="G5" s="16"/>
      <c r="H5" s="15"/>
      <c r="I5" s="15"/>
      <c r="J5" s="15"/>
      <c r="K5" s="16"/>
    </row>
    <row r="6" spans="1:11" ht="14.25" x14ac:dyDescent="0.2">
      <c r="A6" s="16"/>
      <c r="B6" s="13" t="str">
        <f>CONCATENATE("______________________ ", IF(Source!AL12&lt;&gt;"", Source!AL12, ""))</f>
        <v xml:space="preserve">______________________ </v>
      </c>
      <c r="C6" s="13"/>
      <c r="D6" s="13"/>
      <c r="E6" s="13"/>
      <c r="F6" s="10"/>
      <c r="G6" s="13" t="str">
        <f>CONCATENATE("______________________ ", IF(Source!AH12&lt;&gt;"", Source!AH12, ""))</f>
        <v xml:space="preserve">______________________ </v>
      </c>
      <c r="H6" s="13"/>
      <c r="I6" s="13"/>
      <c r="J6" s="13"/>
      <c r="K6" s="13"/>
    </row>
    <row r="7" spans="1:11" ht="14.25" x14ac:dyDescent="0.2">
      <c r="A7" s="17"/>
      <c r="B7" s="18" t="s">
        <v>523</v>
      </c>
      <c r="C7" s="18"/>
      <c r="D7" s="18"/>
      <c r="E7" s="18"/>
      <c r="F7" s="10"/>
      <c r="G7" s="18" t="s">
        <v>523</v>
      </c>
      <c r="H7" s="18"/>
      <c r="I7" s="18"/>
      <c r="J7" s="18"/>
      <c r="K7" s="18"/>
    </row>
    <row r="9" spans="1:11" ht="14.25" x14ac:dyDescent="0.2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</row>
    <row r="10" spans="1:11" ht="15.75" x14ac:dyDescent="0.25">
      <c r="A10" s="20" t="str">
        <f>CONCATENATE( "ЛОКАЛЬНАЯ СМЕТА № ",IF(Source!F12&lt;&gt;"Новый объект", Source!F12, ""))</f>
        <v xml:space="preserve">ЛОКАЛЬНАЯ СМЕТА № </v>
      </c>
      <c r="B10" s="21"/>
      <c r="C10" s="21"/>
      <c r="D10" s="21"/>
      <c r="E10" s="21"/>
      <c r="F10" s="21"/>
      <c r="G10" s="21"/>
      <c r="H10" s="21"/>
      <c r="I10" s="21"/>
      <c r="J10" s="21"/>
      <c r="K10" s="21"/>
    </row>
    <row r="11" spans="1:11" x14ac:dyDescent="0.2">
      <c r="A11" s="22" t="s">
        <v>524</v>
      </c>
      <c r="B11" s="22"/>
      <c r="C11" s="22"/>
      <c r="D11" s="22"/>
      <c r="E11" s="22"/>
      <c r="F11" s="22"/>
      <c r="G11" s="22"/>
      <c r="H11" s="22"/>
      <c r="I11" s="22"/>
      <c r="J11" s="22"/>
      <c r="K11" s="22"/>
    </row>
    <row r="12" spans="1:11" ht="14.25" x14ac:dyDescent="0.2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</row>
    <row r="13" spans="1:11" ht="18" hidden="1" x14ac:dyDescent="0.25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</row>
    <row r="14" spans="1:11" ht="14.25" hidden="1" x14ac:dyDescent="0.2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</row>
    <row r="15" spans="1:11" ht="18" x14ac:dyDescent="0.25">
      <c r="A15" s="24" t="str">
        <f>IF(Source!G12&lt;&gt;"Новый объект", Source!G12, "")</f>
        <v>Выполнение работ по благоустройству территории для нужд БОУ Школа № 1018 ул. Чоботовская д 7</v>
      </c>
      <c r="B15" s="24"/>
      <c r="C15" s="24"/>
      <c r="D15" s="24"/>
      <c r="E15" s="24"/>
      <c r="F15" s="24"/>
      <c r="G15" s="24"/>
      <c r="H15" s="24"/>
      <c r="I15" s="24"/>
      <c r="J15" s="24"/>
      <c r="K15" s="24"/>
    </row>
    <row r="16" spans="1:11" x14ac:dyDescent="0.2">
      <c r="A16" s="22" t="s">
        <v>525</v>
      </c>
      <c r="B16" s="25"/>
      <c r="C16" s="25"/>
      <c r="D16" s="25"/>
      <c r="E16" s="25"/>
      <c r="F16" s="25"/>
      <c r="G16" s="25"/>
      <c r="H16" s="25"/>
      <c r="I16" s="25"/>
      <c r="J16" s="25"/>
      <c r="K16" s="25"/>
    </row>
    <row r="17" spans="1:11" ht="14.25" x14ac:dyDescent="0.2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</row>
    <row r="18" spans="1:11" ht="14.25" x14ac:dyDescent="0.2">
      <c r="A18" s="26" t="str">
        <f>CONCATENATE( "Основание: чертежи № ", Source!J12)</f>
        <v xml:space="preserve">Основание: чертежи № </v>
      </c>
      <c r="B18" s="26"/>
      <c r="C18" s="26"/>
      <c r="D18" s="26"/>
      <c r="E18" s="26"/>
      <c r="F18" s="26"/>
      <c r="G18" s="26"/>
      <c r="H18" s="26"/>
      <c r="I18" s="26"/>
      <c r="J18" s="26"/>
      <c r="K18" s="26"/>
    </row>
    <row r="19" spans="1:11" ht="14.25" x14ac:dyDescent="0.2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</row>
    <row r="20" spans="1:11" ht="14.25" x14ac:dyDescent="0.2">
      <c r="A20" s="10"/>
      <c r="B20" s="10"/>
      <c r="C20" s="10"/>
      <c r="D20" s="10"/>
      <c r="E20" s="10"/>
      <c r="F20" s="13" t="s">
        <v>526</v>
      </c>
      <c r="G20" s="13"/>
      <c r="H20" s="13"/>
      <c r="I20" s="42">
        <f>(Source!F632/1000)</f>
        <v>3271.9442300000001</v>
      </c>
      <c r="J20" s="19"/>
      <c r="K20" s="10" t="s">
        <v>527</v>
      </c>
    </row>
    <row r="21" spans="1:11" ht="14.25" hidden="1" x14ac:dyDescent="0.2">
      <c r="A21" s="10"/>
      <c r="B21" s="10"/>
      <c r="C21" s="10"/>
      <c r="D21" s="10"/>
      <c r="E21" s="10"/>
      <c r="F21" s="13" t="s">
        <v>528</v>
      </c>
      <c r="G21" s="13"/>
      <c r="H21" s="13"/>
      <c r="I21" s="42">
        <f>(Source!F618)/1000</f>
        <v>0</v>
      </c>
      <c r="J21" s="19"/>
      <c r="K21" s="10" t="s">
        <v>527</v>
      </c>
    </row>
    <row r="22" spans="1:11" ht="14.25" hidden="1" x14ac:dyDescent="0.2">
      <c r="A22" s="10"/>
      <c r="B22" s="10"/>
      <c r="C22" s="10"/>
      <c r="D22" s="10"/>
      <c r="E22" s="10"/>
      <c r="F22" s="13" t="s">
        <v>529</v>
      </c>
      <c r="G22" s="13"/>
      <c r="H22" s="13"/>
      <c r="I22" s="42">
        <f>(Source!F619)/1000</f>
        <v>0</v>
      </c>
      <c r="J22" s="19"/>
      <c r="K22" s="10" t="s">
        <v>527</v>
      </c>
    </row>
    <row r="23" spans="1:11" ht="14.25" hidden="1" x14ac:dyDescent="0.2">
      <c r="A23" s="10"/>
      <c r="B23" s="10"/>
      <c r="C23" s="10"/>
      <c r="D23" s="10"/>
      <c r="E23" s="10"/>
      <c r="F23" s="13" t="s">
        <v>530</v>
      </c>
      <c r="G23" s="13"/>
      <c r="H23" s="13"/>
      <c r="I23" s="42">
        <f>(Source!F610)/1000</f>
        <v>0</v>
      </c>
      <c r="J23" s="19"/>
      <c r="K23" s="10" t="s">
        <v>527</v>
      </c>
    </row>
    <row r="24" spans="1:11" ht="14.25" hidden="1" x14ac:dyDescent="0.2">
      <c r="A24" s="10"/>
      <c r="B24" s="10"/>
      <c r="C24" s="10"/>
      <c r="D24" s="10"/>
      <c r="E24" s="10"/>
      <c r="F24" s="13" t="s">
        <v>531</v>
      </c>
      <c r="G24" s="13"/>
      <c r="H24" s="13"/>
      <c r="I24" s="42">
        <f>(Source!F620+Source!F621)/1000</f>
        <v>2726.6201900000001</v>
      </c>
      <c r="J24" s="19"/>
      <c r="K24" s="10" t="s">
        <v>527</v>
      </c>
    </row>
    <row r="25" spans="1:11" ht="14.25" x14ac:dyDescent="0.2">
      <c r="A25" s="10"/>
      <c r="B25" s="10"/>
      <c r="C25" s="10"/>
      <c r="D25" s="10"/>
      <c r="E25" s="10"/>
      <c r="F25" s="13" t="s">
        <v>532</v>
      </c>
      <c r="G25" s="13"/>
      <c r="H25" s="13"/>
      <c r="I25" s="42">
        <f>(Source!F616+ Source!F615)/1000</f>
        <v>344.09370999999999</v>
      </c>
      <c r="J25" s="19"/>
      <c r="K25" s="10" t="s">
        <v>527</v>
      </c>
    </row>
    <row r="26" spans="1:11" ht="14.25" x14ac:dyDescent="0.2">
      <c r="A26" s="10" t="s">
        <v>546</v>
      </c>
      <c r="B26" s="10"/>
      <c r="C26" s="10"/>
      <c r="D26" s="27"/>
      <c r="E26" s="28"/>
      <c r="F26" s="10"/>
      <c r="G26" s="10"/>
      <c r="H26" s="10"/>
      <c r="I26" s="10"/>
      <c r="J26" s="10"/>
      <c r="K26" s="10"/>
    </row>
    <row r="27" spans="1:11" ht="14.25" x14ac:dyDescent="0.2">
      <c r="A27" s="29" t="s">
        <v>533</v>
      </c>
      <c r="B27" s="29" t="s">
        <v>534</v>
      </c>
      <c r="C27" s="29" t="s">
        <v>535</v>
      </c>
      <c r="D27" s="29" t="s">
        <v>536</v>
      </c>
      <c r="E27" s="29" t="s">
        <v>537</v>
      </c>
      <c r="F27" s="29" t="s">
        <v>538</v>
      </c>
      <c r="G27" s="29" t="s">
        <v>539</v>
      </c>
      <c r="H27" s="29" t="s">
        <v>540</v>
      </c>
      <c r="I27" s="29" t="s">
        <v>541</v>
      </c>
      <c r="J27" s="29" t="s">
        <v>542</v>
      </c>
      <c r="K27" s="30" t="s">
        <v>543</v>
      </c>
    </row>
    <row r="28" spans="1:11" ht="28.5" x14ac:dyDescent="0.2">
      <c r="A28" s="31"/>
      <c r="B28" s="31"/>
      <c r="C28" s="31"/>
      <c r="D28" s="31"/>
      <c r="E28" s="31"/>
      <c r="F28" s="31"/>
      <c r="G28" s="31"/>
      <c r="H28" s="31"/>
      <c r="I28" s="31"/>
      <c r="J28" s="31"/>
      <c r="K28" s="32" t="s">
        <v>544</v>
      </c>
    </row>
    <row r="29" spans="1:11" ht="28.5" x14ac:dyDescent="0.2">
      <c r="A29" s="31"/>
      <c r="B29" s="31"/>
      <c r="C29" s="31"/>
      <c r="D29" s="31"/>
      <c r="E29" s="31"/>
      <c r="F29" s="31"/>
      <c r="G29" s="31"/>
      <c r="H29" s="31"/>
      <c r="I29" s="31"/>
      <c r="J29" s="31"/>
      <c r="K29" s="32" t="s">
        <v>545</v>
      </c>
    </row>
    <row r="30" spans="1:11" ht="14.25" x14ac:dyDescent="0.2">
      <c r="A30" s="32">
        <v>1</v>
      </c>
      <c r="B30" s="32">
        <v>2</v>
      </c>
      <c r="C30" s="32">
        <v>3</v>
      </c>
      <c r="D30" s="32">
        <v>4</v>
      </c>
      <c r="E30" s="32">
        <v>5</v>
      </c>
      <c r="F30" s="32">
        <v>6</v>
      </c>
      <c r="G30" s="32">
        <v>7</v>
      </c>
      <c r="H30" s="32">
        <v>8</v>
      </c>
      <c r="I30" s="32">
        <v>9</v>
      </c>
      <c r="J30" s="32">
        <v>10</v>
      </c>
      <c r="K30" s="32">
        <v>11</v>
      </c>
    </row>
    <row r="32" spans="1:11" ht="16.5" x14ac:dyDescent="0.25">
      <c r="A32" s="33" t="str">
        <f>CONCATENATE("Локальная смета: ",IF(Source!G20&lt;&gt;"Новая локальная смета", Source!G20, ""))</f>
        <v xml:space="preserve">Локальная смета: </v>
      </c>
      <c r="B32" s="33"/>
      <c r="C32" s="33"/>
      <c r="D32" s="33"/>
      <c r="E32" s="33"/>
      <c r="F32" s="33"/>
      <c r="G32" s="33"/>
      <c r="H32" s="33"/>
      <c r="I32" s="33"/>
      <c r="J32" s="33"/>
      <c r="K32" s="33"/>
    </row>
    <row r="34" spans="1:22" ht="16.5" x14ac:dyDescent="0.25">
      <c r="A34" s="33" t="str">
        <f>CONCATENATE("Раздел: ",IF(Source!G24&lt;&gt;"Новый раздел", Source!G24, ""))</f>
        <v>Раздел: Детский сад ул. Чоботовская д 7</v>
      </c>
      <c r="B34" s="33"/>
      <c r="C34" s="33"/>
      <c r="D34" s="33"/>
      <c r="E34" s="33"/>
      <c r="F34" s="33"/>
      <c r="G34" s="33"/>
      <c r="H34" s="33"/>
      <c r="I34" s="33"/>
      <c r="J34" s="33"/>
      <c r="K34" s="33"/>
    </row>
    <row r="36" spans="1:22" ht="16.5" x14ac:dyDescent="0.25">
      <c r="A36" s="33" t="str">
        <f>CONCATENATE("Подраздел: ",IF(Source!G28&lt;&gt;"Новый подраздел", Source!G28, ""))</f>
        <v>Подраздел: группа № 6</v>
      </c>
      <c r="B36" s="33"/>
      <c r="C36" s="33"/>
      <c r="D36" s="33"/>
      <c r="E36" s="33"/>
      <c r="F36" s="33"/>
      <c r="G36" s="33"/>
      <c r="H36" s="33"/>
      <c r="I36" s="33"/>
      <c r="J36" s="33"/>
      <c r="K36" s="33"/>
    </row>
    <row r="37" spans="1:22" ht="28.5" x14ac:dyDescent="0.2">
      <c r="A37" s="34" t="str">
        <f>Source!E32</f>
        <v>1</v>
      </c>
      <c r="B37" s="35" t="str">
        <f>Source!F32</f>
        <v>5.4-3104-5-1/1</v>
      </c>
      <c r="C37" s="35" t="str">
        <f>Source!G32</f>
        <v>Удаление пней пнедробилкой, диаметр пня до 0,5 м</v>
      </c>
      <c r="D37" s="36" t="str">
        <f>Source!H32</f>
        <v>пень</v>
      </c>
      <c r="E37" s="9">
        <f>Source!I32</f>
        <v>1</v>
      </c>
      <c r="F37" s="38"/>
      <c r="G37" s="37"/>
      <c r="H37" s="9"/>
      <c r="I37" s="9"/>
      <c r="J37" s="39"/>
      <c r="K37" s="39"/>
      <c r="Q37">
        <f>ROUND((Source!BZ32/100)*ROUND((Source!AF32*Source!AV32)*Source!I32, 2), 2)</f>
        <v>158.62</v>
      </c>
      <c r="R37">
        <f>Source!X32</f>
        <v>158.62</v>
      </c>
      <c r="S37">
        <f>ROUND((Source!CA32/100)*ROUND((Source!AF32*Source!AV32)*Source!I32, 2), 2)</f>
        <v>22.66</v>
      </c>
      <c r="T37">
        <f>Source!Y32</f>
        <v>22.66</v>
      </c>
      <c r="U37">
        <f>ROUND((175/100)*ROUND((Source!AE32*Source!AV32)*Source!I32, 2), 2)</f>
        <v>2.94</v>
      </c>
      <c r="V37">
        <f>ROUND((108/100)*ROUND(Source!CS32*Source!I32, 2), 2)</f>
        <v>1.81</v>
      </c>
    </row>
    <row r="38" spans="1:22" ht="14.25" x14ac:dyDescent="0.2">
      <c r="A38" s="34"/>
      <c r="B38" s="35"/>
      <c r="C38" s="35" t="s">
        <v>547</v>
      </c>
      <c r="D38" s="36"/>
      <c r="E38" s="9"/>
      <c r="F38" s="38">
        <f>Source!AO32</f>
        <v>226.6</v>
      </c>
      <c r="G38" s="37" t="str">
        <f>Source!DG32</f>
        <v/>
      </c>
      <c r="H38" s="9">
        <f>Source!AV32</f>
        <v>1</v>
      </c>
      <c r="I38" s="9">
        <f>IF(Source!BA32&lt;&gt; 0, Source!BA32, 1)</f>
        <v>1</v>
      </c>
      <c r="J38" s="39">
        <f>Source!S32</f>
        <v>226.6</v>
      </c>
      <c r="K38" s="39"/>
    </row>
    <row r="39" spans="1:22" ht="14.25" x14ac:dyDescent="0.2">
      <c r="A39" s="34"/>
      <c r="B39" s="35"/>
      <c r="C39" s="35" t="s">
        <v>548</v>
      </c>
      <c r="D39" s="36"/>
      <c r="E39" s="9"/>
      <c r="F39" s="38">
        <f>Source!AM32</f>
        <v>96.82</v>
      </c>
      <c r="G39" s="37" t="str">
        <f>Source!DE32</f>
        <v/>
      </c>
      <c r="H39" s="9">
        <f>Source!AV32</f>
        <v>1</v>
      </c>
      <c r="I39" s="9">
        <f>IF(Source!BB32&lt;&gt; 0, Source!BB32, 1)</f>
        <v>1</v>
      </c>
      <c r="J39" s="39">
        <f>Source!Q32</f>
        <v>96.82</v>
      </c>
      <c r="K39" s="39"/>
    </row>
    <row r="40" spans="1:22" ht="14.25" x14ac:dyDescent="0.2">
      <c r="A40" s="34"/>
      <c r="B40" s="35"/>
      <c r="C40" s="35" t="s">
        <v>549</v>
      </c>
      <c r="D40" s="36"/>
      <c r="E40" s="9"/>
      <c r="F40" s="38">
        <f>Source!AN32</f>
        <v>1.68</v>
      </c>
      <c r="G40" s="37" t="str">
        <f>Source!DF32</f>
        <v/>
      </c>
      <c r="H40" s="9">
        <f>Source!AV32</f>
        <v>1</v>
      </c>
      <c r="I40" s="9">
        <f>IF(Source!BS32&lt;&gt; 0, Source!BS32, 1)</f>
        <v>1</v>
      </c>
      <c r="J40" s="40">
        <f>Source!R32</f>
        <v>1.68</v>
      </c>
      <c r="K40" s="39"/>
    </row>
    <row r="41" spans="1:22" ht="14.25" x14ac:dyDescent="0.2">
      <c r="A41" s="34"/>
      <c r="B41" s="35"/>
      <c r="C41" s="35" t="s">
        <v>550</v>
      </c>
      <c r="D41" s="36" t="s">
        <v>551</v>
      </c>
      <c r="E41" s="9">
        <f>Source!AT32</f>
        <v>70</v>
      </c>
      <c r="F41" s="38"/>
      <c r="G41" s="37"/>
      <c r="H41" s="9"/>
      <c r="I41" s="9"/>
      <c r="J41" s="39">
        <f>SUM(R37:R40)</f>
        <v>158.62</v>
      </c>
      <c r="K41" s="39"/>
    </row>
    <row r="42" spans="1:22" ht="14.25" x14ac:dyDescent="0.2">
      <c r="A42" s="34"/>
      <c r="B42" s="35"/>
      <c r="C42" s="35" t="s">
        <v>552</v>
      </c>
      <c r="D42" s="36" t="s">
        <v>551</v>
      </c>
      <c r="E42" s="9">
        <f>Source!AU32</f>
        <v>10</v>
      </c>
      <c r="F42" s="38"/>
      <c r="G42" s="37"/>
      <c r="H42" s="9"/>
      <c r="I42" s="9"/>
      <c r="J42" s="39">
        <f>SUM(T37:T41)</f>
        <v>22.66</v>
      </c>
      <c r="K42" s="39"/>
    </row>
    <row r="43" spans="1:22" ht="14.25" x14ac:dyDescent="0.2">
      <c r="A43" s="34"/>
      <c r="B43" s="35"/>
      <c r="C43" s="35" t="s">
        <v>553</v>
      </c>
      <c r="D43" s="36" t="s">
        <v>551</v>
      </c>
      <c r="E43" s="9">
        <f>108</f>
        <v>108</v>
      </c>
      <c r="F43" s="38"/>
      <c r="G43" s="37"/>
      <c r="H43" s="9"/>
      <c r="I43" s="9"/>
      <c r="J43" s="39">
        <f>SUM(V37:V42)</f>
        <v>1.81</v>
      </c>
      <c r="K43" s="39"/>
    </row>
    <row r="44" spans="1:22" ht="14.25" x14ac:dyDescent="0.2">
      <c r="A44" s="34"/>
      <c r="B44" s="35"/>
      <c r="C44" s="35" t="s">
        <v>554</v>
      </c>
      <c r="D44" s="36" t="s">
        <v>555</v>
      </c>
      <c r="E44" s="9">
        <f>Source!AQ32</f>
        <v>0.92</v>
      </c>
      <c r="F44" s="38"/>
      <c r="G44" s="37" t="str">
        <f>Source!DI32</f>
        <v/>
      </c>
      <c r="H44" s="9">
        <f>Source!AV32</f>
        <v>1</v>
      </c>
      <c r="I44" s="9"/>
      <c r="J44" s="39"/>
      <c r="K44" s="39">
        <f>Source!U32</f>
        <v>0.92</v>
      </c>
    </row>
    <row r="45" spans="1:22" ht="15" x14ac:dyDescent="0.25">
      <c r="A45" s="45"/>
      <c r="B45" s="45"/>
      <c r="C45" s="45"/>
      <c r="D45" s="45"/>
      <c r="E45" s="45"/>
      <c r="F45" s="45"/>
      <c r="G45" s="45"/>
      <c r="H45" s="45"/>
      <c r="I45" s="46">
        <f>J38+J39+J41+J42+J43</f>
        <v>506.51</v>
      </c>
      <c r="J45" s="46"/>
      <c r="K45" s="47">
        <f>IF(Source!I32&lt;&gt;0, ROUND(I45/Source!I32, 2), 0)</f>
        <v>506.51</v>
      </c>
      <c r="P45" s="41">
        <f>I45</f>
        <v>506.51</v>
      </c>
    </row>
    <row r="46" spans="1:22" ht="42.75" x14ac:dyDescent="0.2">
      <c r="A46" s="34" t="str">
        <f>Source!E33</f>
        <v>2</v>
      </c>
      <c r="B46" s="35" t="str">
        <f>Source!F33</f>
        <v>5.4-3203-2-1/1</v>
      </c>
      <c r="C46" s="35" t="str">
        <f>Source!G33</f>
        <v>Устройство корыта под газоны и цветники с планировкой дна в грунтах 1 и 2 группы</v>
      </c>
      <c r="D46" s="36" t="str">
        <f>Source!H33</f>
        <v>м3</v>
      </c>
      <c r="E46" s="9">
        <f>Source!I33</f>
        <v>37.65</v>
      </c>
      <c r="F46" s="38"/>
      <c r="G46" s="37"/>
      <c r="H46" s="9"/>
      <c r="I46" s="9"/>
      <c r="J46" s="39"/>
      <c r="K46" s="39"/>
      <c r="Q46">
        <f>ROUND((Source!BZ33/100)*ROUND((Source!AF33*Source!AV33)*Source!I33, 2), 2)</f>
        <v>13571.51</v>
      </c>
      <c r="R46">
        <f>Source!X33</f>
        <v>13571.51</v>
      </c>
      <c r="S46">
        <f>ROUND((Source!CA33/100)*ROUND((Source!AF33*Source!AV33)*Source!I33, 2), 2)</f>
        <v>1938.79</v>
      </c>
      <c r="T46">
        <f>Source!Y33</f>
        <v>1938.79</v>
      </c>
      <c r="U46">
        <f>ROUND((175/100)*ROUND((Source!AE33*Source!AV33)*Source!I33, 2), 2)</f>
        <v>0</v>
      </c>
      <c r="V46">
        <f>ROUND((108/100)*ROUND(Source!CS33*Source!I33, 2), 2)</f>
        <v>0</v>
      </c>
    </row>
    <row r="47" spans="1:22" ht="14.25" x14ac:dyDescent="0.2">
      <c r="A47" s="34"/>
      <c r="B47" s="35"/>
      <c r="C47" s="35" t="s">
        <v>547</v>
      </c>
      <c r="D47" s="36"/>
      <c r="E47" s="9"/>
      <c r="F47" s="38">
        <f>Source!AO33</f>
        <v>514.95000000000005</v>
      </c>
      <c r="G47" s="37" t="str">
        <f>Source!DG33</f>
        <v/>
      </c>
      <c r="H47" s="9">
        <f>Source!AV33</f>
        <v>1</v>
      </c>
      <c r="I47" s="9">
        <f>IF(Source!BA33&lt;&gt; 0, Source!BA33, 1)</f>
        <v>1</v>
      </c>
      <c r="J47" s="39">
        <f>Source!S33</f>
        <v>19387.87</v>
      </c>
      <c r="K47" s="39"/>
    </row>
    <row r="48" spans="1:22" ht="14.25" x14ac:dyDescent="0.2">
      <c r="A48" s="34"/>
      <c r="B48" s="35"/>
      <c r="C48" s="35" t="s">
        <v>550</v>
      </c>
      <c r="D48" s="36" t="s">
        <v>551</v>
      </c>
      <c r="E48" s="9">
        <f>Source!AT33</f>
        <v>70</v>
      </c>
      <c r="F48" s="38"/>
      <c r="G48" s="37"/>
      <c r="H48" s="9"/>
      <c r="I48" s="9"/>
      <c r="J48" s="39">
        <f>SUM(R46:R47)</f>
        <v>13571.51</v>
      </c>
      <c r="K48" s="39"/>
    </row>
    <row r="49" spans="1:22" ht="14.25" x14ac:dyDescent="0.2">
      <c r="A49" s="34"/>
      <c r="B49" s="35"/>
      <c r="C49" s="35" t="s">
        <v>552</v>
      </c>
      <c r="D49" s="36" t="s">
        <v>551</v>
      </c>
      <c r="E49" s="9">
        <f>Source!AU33</f>
        <v>10</v>
      </c>
      <c r="F49" s="38"/>
      <c r="G49" s="37"/>
      <c r="H49" s="9"/>
      <c r="I49" s="9"/>
      <c r="J49" s="39">
        <f>SUM(T46:T48)</f>
        <v>1938.79</v>
      </c>
      <c r="K49" s="39"/>
    </row>
    <row r="50" spans="1:22" ht="14.25" x14ac:dyDescent="0.2">
      <c r="A50" s="34"/>
      <c r="B50" s="35"/>
      <c r="C50" s="35" t="s">
        <v>554</v>
      </c>
      <c r="D50" s="36" t="s">
        <v>555</v>
      </c>
      <c r="E50" s="9">
        <f>Source!AQ33</f>
        <v>2.66</v>
      </c>
      <c r="F50" s="38"/>
      <c r="G50" s="37" t="str">
        <f>Source!DI33</f>
        <v/>
      </c>
      <c r="H50" s="9">
        <f>Source!AV33</f>
        <v>1</v>
      </c>
      <c r="I50" s="9"/>
      <c r="J50" s="39"/>
      <c r="K50" s="39">
        <f>Source!U33</f>
        <v>100.149</v>
      </c>
    </row>
    <row r="51" spans="1:22" ht="15" x14ac:dyDescent="0.25">
      <c r="A51" s="45"/>
      <c r="B51" s="45"/>
      <c r="C51" s="45"/>
      <c r="D51" s="45"/>
      <c r="E51" s="45"/>
      <c r="F51" s="45"/>
      <c r="G51" s="45"/>
      <c r="H51" s="45"/>
      <c r="I51" s="46">
        <f>J47+J48+J49</f>
        <v>34898.17</v>
      </c>
      <c r="J51" s="46"/>
      <c r="K51" s="47">
        <f>IF(Source!I33&lt;&gt;0, ROUND(I51/Source!I33, 2), 0)</f>
        <v>926.91</v>
      </c>
      <c r="P51" s="41">
        <f>I51</f>
        <v>34898.17</v>
      </c>
    </row>
    <row r="52" spans="1:22" ht="42.75" x14ac:dyDescent="0.2">
      <c r="A52" s="34" t="str">
        <f>Source!E34</f>
        <v>3</v>
      </c>
      <c r="B52" s="35" t="str">
        <f>Source!F34</f>
        <v>2.1-3303-1-1/1</v>
      </c>
      <c r="C52" s="35" t="str">
        <f>Source!G34</f>
        <v>Устройство подстилающих и выравнивающих слоев оснований из песка</v>
      </c>
      <c r="D52" s="36" t="str">
        <f>Source!H34</f>
        <v>100 м3</v>
      </c>
      <c r="E52" s="9">
        <f>Source!I34</f>
        <v>0.13400000000000001</v>
      </c>
      <c r="F52" s="38"/>
      <c r="G52" s="37"/>
      <c r="H52" s="9"/>
      <c r="I52" s="9"/>
      <c r="J52" s="39"/>
      <c r="K52" s="39"/>
      <c r="Q52">
        <f>ROUND((Source!BZ34/100)*ROUND((Source!AF34*Source!AV34)*Source!I34, 2), 2)</f>
        <v>290.74</v>
      </c>
      <c r="R52">
        <f>Source!X34</f>
        <v>290.74</v>
      </c>
      <c r="S52">
        <f>ROUND((Source!CA34/100)*ROUND((Source!AF34*Source!AV34)*Source!I34, 2), 2)</f>
        <v>41.53</v>
      </c>
      <c r="T52">
        <f>Source!Y34</f>
        <v>41.53</v>
      </c>
      <c r="U52">
        <f>ROUND((175/100)*ROUND((Source!AE34*Source!AV34)*Source!I34, 2), 2)</f>
        <v>755.79</v>
      </c>
      <c r="V52">
        <f>ROUND((108/100)*ROUND(Source!CS34*Source!I34, 2), 2)</f>
        <v>466.43</v>
      </c>
    </row>
    <row r="53" spans="1:22" x14ac:dyDescent="0.2">
      <c r="C53" s="48" t="str">
        <f>"Объем: "&amp;Source!I34&amp;"=13,4/"&amp;"100"</f>
        <v>Объем: 0,134=13,4/100</v>
      </c>
    </row>
    <row r="54" spans="1:22" ht="14.25" x14ac:dyDescent="0.2">
      <c r="A54" s="34"/>
      <c r="B54" s="35"/>
      <c r="C54" s="35" t="s">
        <v>547</v>
      </c>
      <c r="D54" s="36"/>
      <c r="E54" s="9"/>
      <c r="F54" s="38">
        <f>Source!AO34</f>
        <v>3099.54</v>
      </c>
      <c r="G54" s="37" t="str">
        <f>Source!DG34</f>
        <v/>
      </c>
      <c r="H54" s="9">
        <f>Source!AV34</f>
        <v>1</v>
      </c>
      <c r="I54" s="9">
        <f>IF(Source!BA34&lt;&gt; 0, Source!BA34, 1)</f>
        <v>1</v>
      </c>
      <c r="J54" s="39">
        <f>Source!S34</f>
        <v>415.34</v>
      </c>
      <c r="K54" s="39"/>
    </row>
    <row r="55" spans="1:22" ht="14.25" x14ac:dyDescent="0.2">
      <c r="A55" s="34"/>
      <c r="B55" s="35"/>
      <c r="C55" s="35" t="s">
        <v>548</v>
      </c>
      <c r="D55" s="36"/>
      <c r="E55" s="9"/>
      <c r="F55" s="38">
        <f>Source!AM34</f>
        <v>7602.23</v>
      </c>
      <c r="G55" s="37" t="str">
        <f>Source!DE34</f>
        <v/>
      </c>
      <c r="H55" s="9">
        <f>Source!AV34</f>
        <v>1</v>
      </c>
      <c r="I55" s="9">
        <f>IF(Source!BB34&lt;&gt; 0, Source!BB34, 1)</f>
        <v>1</v>
      </c>
      <c r="J55" s="39">
        <f>Source!Q34</f>
        <v>1018.7</v>
      </c>
      <c r="K55" s="39"/>
    </row>
    <row r="56" spans="1:22" ht="14.25" x14ac:dyDescent="0.2">
      <c r="A56" s="34"/>
      <c r="B56" s="35"/>
      <c r="C56" s="35" t="s">
        <v>549</v>
      </c>
      <c r="D56" s="36"/>
      <c r="E56" s="9"/>
      <c r="F56" s="38">
        <f>Source!AN34</f>
        <v>3222.98</v>
      </c>
      <c r="G56" s="37" t="str">
        <f>Source!DF34</f>
        <v/>
      </c>
      <c r="H56" s="9">
        <f>Source!AV34</f>
        <v>1</v>
      </c>
      <c r="I56" s="9">
        <f>IF(Source!BS34&lt;&gt; 0, Source!BS34, 1)</f>
        <v>1</v>
      </c>
      <c r="J56" s="40">
        <f>Source!R34</f>
        <v>431.88</v>
      </c>
      <c r="K56" s="39"/>
    </row>
    <row r="57" spans="1:22" ht="14.25" x14ac:dyDescent="0.2">
      <c r="A57" s="34"/>
      <c r="B57" s="35"/>
      <c r="C57" s="35" t="s">
        <v>556</v>
      </c>
      <c r="D57" s="36"/>
      <c r="E57" s="9"/>
      <c r="F57" s="38">
        <f>Source!AL34</f>
        <v>65162.05</v>
      </c>
      <c r="G57" s="37" t="str">
        <f>Source!DD34</f>
        <v/>
      </c>
      <c r="H57" s="9">
        <f>Source!AW34</f>
        <v>1</v>
      </c>
      <c r="I57" s="9">
        <f>IF(Source!BC34&lt;&gt; 0, Source!BC34, 1)</f>
        <v>1</v>
      </c>
      <c r="J57" s="39">
        <f>Source!P34</f>
        <v>8731.7099999999991</v>
      </c>
      <c r="K57" s="39"/>
    </row>
    <row r="58" spans="1:22" ht="14.25" x14ac:dyDescent="0.2">
      <c r="A58" s="34"/>
      <c r="B58" s="35"/>
      <c r="C58" s="35" t="s">
        <v>550</v>
      </c>
      <c r="D58" s="36" t="s">
        <v>551</v>
      </c>
      <c r="E58" s="9">
        <f>Source!AT34</f>
        <v>70</v>
      </c>
      <c r="F58" s="38"/>
      <c r="G58" s="37"/>
      <c r="H58" s="9"/>
      <c r="I58" s="9"/>
      <c r="J58" s="39">
        <f>SUM(R52:R57)</f>
        <v>290.74</v>
      </c>
      <c r="K58" s="39"/>
    </row>
    <row r="59" spans="1:22" ht="14.25" x14ac:dyDescent="0.2">
      <c r="A59" s="34"/>
      <c r="B59" s="35"/>
      <c r="C59" s="35" t="s">
        <v>552</v>
      </c>
      <c r="D59" s="36" t="s">
        <v>551</v>
      </c>
      <c r="E59" s="9">
        <f>Source!AU34</f>
        <v>10</v>
      </c>
      <c r="F59" s="38"/>
      <c r="G59" s="37"/>
      <c r="H59" s="9"/>
      <c r="I59" s="9"/>
      <c r="J59" s="39">
        <f>SUM(T52:T58)</f>
        <v>41.53</v>
      </c>
      <c r="K59" s="39"/>
    </row>
    <row r="60" spans="1:22" ht="14.25" x14ac:dyDescent="0.2">
      <c r="A60" s="34"/>
      <c r="B60" s="35"/>
      <c r="C60" s="35" t="s">
        <v>553</v>
      </c>
      <c r="D60" s="36" t="s">
        <v>551</v>
      </c>
      <c r="E60" s="9">
        <f>108</f>
        <v>108</v>
      </c>
      <c r="F60" s="38"/>
      <c r="G60" s="37"/>
      <c r="H60" s="9"/>
      <c r="I60" s="9"/>
      <c r="J60" s="39">
        <f>SUM(V52:V59)</f>
        <v>466.43</v>
      </c>
      <c r="K60" s="39"/>
    </row>
    <row r="61" spans="1:22" ht="14.25" x14ac:dyDescent="0.2">
      <c r="A61" s="34"/>
      <c r="B61" s="35"/>
      <c r="C61" s="35" t="s">
        <v>554</v>
      </c>
      <c r="D61" s="36" t="s">
        <v>555</v>
      </c>
      <c r="E61" s="9">
        <f>Source!AQ34</f>
        <v>16.559999999999999</v>
      </c>
      <c r="F61" s="38"/>
      <c r="G61" s="37" t="str">
        <f>Source!DI34</f>
        <v/>
      </c>
      <c r="H61" s="9">
        <f>Source!AV34</f>
        <v>1</v>
      </c>
      <c r="I61" s="9"/>
      <c r="J61" s="39"/>
      <c r="K61" s="39">
        <f>Source!U34</f>
        <v>2.2190400000000001</v>
      </c>
    </row>
    <row r="62" spans="1:22" ht="15" x14ac:dyDescent="0.25">
      <c r="A62" s="45"/>
      <c r="B62" s="45"/>
      <c r="C62" s="45"/>
      <c r="D62" s="45"/>
      <c r="E62" s="45"/>
      <c r="F62" s="45"/>
      <c r="G62" s="45"/>
      <c r="H62" s="45"/>
      <c r="I62" s="46">
        <f>J54+J55+J57+J58+J59+J60</f>
        <v>10964.45</v>
      </c>
      <c r="J62" s="46"/>
      <c r="K62" s="47">
        <f>IF(Source!I34&lt;&gt;0, ROUND(I62/Source!I34, 2), 0)</f>
        <v>81824.25</v>
      </c>
      <c r="P62" s="41">
        <f>I62</f>
        <v>10964.45</v>
      </c>
    </row>
    <row r="63" spans="1:22" ht="28.5" x14ac:dyDescent="0.2">
      <c r="A63" s="34" t="str">
        <f>Source!E35</f>
        <v>4</v>
      </c>
      <c r="B63" s="35" t="str">
        <f>Source!F35</f>
        <v>2.1-3303-10-1/1</v>
      </c>
      <c r="C63" s="35" t="str">
        <f>Source!G35</f>
        <v>Устройство оснований под тротуары или дорожки из щебня толщиной 12 см</v>
      </c>
      <c r="D63" s="36" t="str">
        <f>Source!H35</f>
        <v>100 м2</v>
      </c>
      <c r="E63" s="9">
        <f>Source!I35</f>
        <v>1.34</v>
      </c>
      <c r="F63" s="38"/>
      <c r="G63" s="37"/>
      <c r="H63" s="9"/>
      <c r="I63" s="9"/>
      <c r="J63" s="39"/>
      <c r="K63" s="39"/>
      <c r="Q63">
        <f>ROUND((Source!BZ35/100)*ROUND((Source!AF35*Source!AV35)*Source!I35, 2), 2)</f>
        <v>5298.15</v>
      </c>
      <c r="R63">
        <f>Source!X35</f>
        <v>5298.15</v>
      </c>
      <c r="S63">
        <f>ROUND((Source!CA35/100)*ROUND((Source!AF35*Source!AV35)*Source!I35, 2), 2)</f>
        <v>756.88</v>
      </c>
      <c r="T63">
        <f>Source!Y35</f>
        <v>756.88</v>
      </c>
      <c r="U63">
        <f>ROUND((175/100)*ROUND((Source!AE35*Source!AV35)*Source!I35, 2), 2)</f>
        <v>2647.93</v>
      </c>
      <c r="V63">
        <f>ROUND((108/100)*ROUND(Source!CS35*Source!I35, 2), 2)</f>
        <v>1634.15</v>
      </c>
    </row>
    <row r="64" spans="1:22" x14ac:dyDescent="0.2">
      <c r="C64" s="48" t="str">
        <f>"Объем: "&amp;Source!I35&amp;"=134/"&amp;"100"</f>
        <v>Объем: 1,34=134/100</v>
      </c>
    </row>
    <row r="65" spans="1:22" ht="14.25" x14ac:dyDescent="0.2">
      <c r="A65" s="34"/>
      <c r="B65" s="35"/>
      <c r="C65" s="35" t="s">
        <v>547</v>
      </c>
      <c r="D65" s="36"/>
      <c r="E65" s="9"/>
      <c r="F65" s="38">
        <f>Source!AO35</f>
        <v>5648.35</v>
      </c>
      <c r="G65" s="37" t="str">
        <f>Source!DG35</f>
        <v/>
      </c>
      <c r="H65" s="9">
        <f>Source!AV35</f>
        <v>1</v>
      </c>
      <c r="I65" s="9">
        <f>IF(Source!BA35&lt;&gt; 0, Source!BA35, 1)</f>
        <v>1</v>
      </c>
      <c r="J65" s="39">
        <f>Source!S35</f>
        <v>7568.79</v>
      </c>
      <c r="K65" s="39"/>
    </row>
    <row r="66" spans="1:22" ht="14.25" x14ac:dyDescent="0.2">
      <c r="A66" s="34"/>
      <c r="B66" s="35"/>
      <c r="C66" s="35" t="s">
        <v>548</v>
      </c>
      <c r="D66" s="36"/>
      <c r="E66" s="9"/>
      <c r="F66" s="38">
        <f>Source!AM35</f>
        <v>3236.38</v>
      </c>
      <c r="G66" s="37" t="str">
        <f>Source!DE35</f>
        <v/>
      </c>
      <c r="H66" s="9">
        <f>Source!AV35</f>
        <v>1</v>
      </c>
      <c r="I66" s="9">
        <f>IF(Source!BB35&lt;&gt; 0, Source!BB35, 1)</f>
        <v>1</v>
      </c>
      <c r="J66" s="39">
        <f>Source!Q35</f>
        <v>4336.75</v>
      </c>
      <c r="K66" s="39"/>
    </row>
    <row r="67" spans="1:22" ht="14.25" x14ac:dyDescent="0.2">
      <c r="A67" s="34"/>
      <c r="B67" s="35"/>
      <c r="C67" s="35" t="s">
        <v>549</v>
      </c>
      <c r="D67" s="36"/>
      <c r="E67" s="9"/>
      <c r="F67" s="38">
        <f>Source!AN35</f>
        <v>1129.18</v>
      </c>
      <c r="G67" s="37" t="str">
        <f>Source!DF35</f>
        <v/>
      </c>
      <c r="H67" s="9">
        <f>Source!AV35</f>
        <v>1</v>
      </c>
      <c r="I67" s="9">
        <f>IF(Source!BS35&lt;&gt; 0, Source!BS35, 1)</f>
        <v>1</v>
      </c>
      <c r="J67" s="40">
        <f>Source!R35</f>
        <v>1513.1</v>
      </c>
      <c r="K67" s="39"/>
    </row>
    <row r="68" spans="1:22" ht="14.25" x14ac:dyDescent="0.2">
      <c r="A68" s="34"/>
      <c r="B68" s="35"/>
      <c r="C68" s="35" t="s">
        <v>556</v>
      </c>
      <c r="D68" s="36"/>
      <c r="E68" s="9"/>
      <c r="F68" s="38">
        <f>Source!AL35</f>
        <v>25065.599999999999</v>
      </c>
      <c r="G68" s="37" t="str">
        <f>Source!DD35</f>
        <v/>
      </c>
      <c r="H68" s="9">
        <f>Source!AW35</f>
        <v>1</v>
      </c>
      <c r="I68" s="9">
        <f>IF(Source!BC35&lt;&gt; 0, Source!BC35, 1)</f>
        <v>1</v>
      </c>
      <c r="J68" s="39">
        <f>Source!P35</f>
        <v>33587.9</v>
      </c>
      <c r="K68" s="39"/>
    </row>
    <row r="69" spans="1:22" ht="42.75" x14ac:dyDescent="0.2">
      <c r="A69" s="34" t="str">
        <f>Source!E36</f>
        <v>4,1</v>
      </c>
      <c r="B69" s="35" t="str">
        <f>Source!F36</f>
        <v>21.1-12-36</v>
      </c>
      <c r="C69" s="35" t="str">
        <f>Source!G36</f>
        <v>Щебень из естественного камня для строительных работ, марка 1200-800, фракция 20-40 мм</v>
      </c>
      <c r="D69" s="36" t="str">
        <f>Source!H36</f>
        <v>м3</v>
      </c>
      <c r="E69" s="9">
        <f>Source!I36</f>
        <v>23.315999999999999</v>
      </c>
      <c r="F69" s="38">
        <f>Source!AK36</f>
        <v>1763.75</v>
      </c>
      <c r="G69" s="49" t="s">
        <v>3</v>
      </c>
      <c r="H69" s="9">
        <f>Source!AW36</f>
        <v>1</v>
      </c>
      <c r="I69" s="9">
        <f>IF(Source!BC36&lt;&gt; 0, Source!BC36, 1)</f>
        <v>1</v>
      </c>
      <c r="J69" s="39">
        <f>Source!O36</f>
        <v>41123.599999999999</v>
      </c>
      <c r="K69" s="39"/>
      <c r="Q69">
        <f>ROUND((Source!BZ36/100)*ROUND((Source!AF36*Source!AV36)*Source!I36, 2), 2)</f>
        <v>0</v>
      </c>
      <c r="R69">
        <f>Source!X36</f>
        <v>0</v>
      </c>
      <c r="S69">
        <f>ROUND((Source!CA36/100)*ROUND((Source!AF36*Source!AV36)*Source!I36, 2), 2)</f>
        <v>0</v>
      </c>
      <c r="T69">
        <f>Source!Y36</f>
        <v>0</v>
      </c>
      <c r="U69">
        <f>ROUND((175/100)*ROUND((Source!AE36*Source!AV36)*Source!I36, 2), 2)</f>
        <v>0</v>
      </c>
      <c r="V69">
        <f>ROUND((108/100)*ROUND(Source!CS36*Source!I36, 2), 2)</f>
        <v>0</v>
      </c>
    </row>
    <row r="70" spans="1:22" ht="42.75" x14ac:dyDescent="0.2">
      <c r="A70" s="34" t="str">
        <f>Source!E37</f>
        <v>4,2</v>
      </c>
      <c r="B70" s="35" t="str">
        <f>Source!F37</f>
        <v>21.1-12-50</v>
      </c>
      <c r="C70" s="35" t="str">
        <f>Source!G37</f>
        <v>Щебень из естественного камня, декоративный, фракционированный известняковый</v>
      </c>
      <c r="D70" s="36" t="str">
        <f>Source!H37</f>
        <v>м3</v>
      </c>
      <c r="E70" s="9">
        <f>Source!I37</f>
        <v>-23.315999999999999</v>
      </c>
      <c r="F70" s="38">
        <f>Source!AK37</f>
        <v>1436.5</v>
      </c>
      <c r="G70" s="49" t="s">
        <v>3</v>
      </c>
      <c r="H70" s="9">
        <f>Source!AW37</f>
        <v>1</v>
      </c>
      <c r="I70" s="9">
        <f>IF(Source!BC37&lt;&gt; 0, Source!BC37, 1)</f>
        <v>1</v>
      </c>
      <c r="J70" s="39">
        <f>Source!O37</f>
        <v>-33493.43</v>
      </c>
      <c r="K70" s="39"/>
      <c r="Q70">
        <f>ROUND((Source!BZ37/100)*ROUND((Source!AF37*Source!AV37)*Source!I37, 2), 2)</f>
        <v>0</v>
      </c>
      <c r="R70">
        <f>Source!X37</f>
        <v>0</v>
      </c>
      <c r="S70">
        <f>ROUND((Source!CA37/100)*ROUND((Source!AF37*Source!AV37)*Source!I37, 2), 2)</f>
        <v>0</v>
      </c>
      <c r="T70">
        <f>Source!Y37</f>
        <v>0</v>
      </c>
      <c r="U70">
        <f>ROUND((175/100)*ROUND((Source!AE37*Source!AV37)*Source!I37, 2), 2)</f>
        <v>0</v>
      </c>
      <c r="V70">
        <f>ROUND((108/100)*ROUND(Source!CS37*Source!I37, 2), 2)</f>
        <v>0</v>
      </c>
    </row>
    <row r="71" spans="1:22" ht="14.25" x14ac:dyDescent="0.2">
      <c r="A71" s="34"/>
      <c r="B71" s="35"/>
      <c r="C71" s="35" t="s">
        <v>550</v>
      </c>
      <c r="D71" s="36" t="s">
        <v>551</v>
      </c>
      <c r="E71" s="9">
        <f>Source!AT35</f>
        <v>70</v>
      </c>
      <c r="F71" s="38"/>
      <c r="G71" s="37"/>
      <c r="H71" s="9"/>
      <c r="I71" s="9"/>
      <c r="J71" s="39">
        <f>SUM(R63:R70)</f>
        <v>5298.15</v>
      </c>
      <c r="K71" s="39"/>
    </row>
    <row r="72" spans="1:22" ht="14.25" x14ac:dyDescent="0.2">
      <c r="A72" s="34"/>
      <c r="B72" s="35"/>
      <c r="C72" s="35" t="s">
        <v>552</v>
      </c>
      <c r="D72" s="36" t="s">
        <v>551</v>
      </c>
      <c r="E72" s="9">
        <f>Source!AU35</f>
        <v>10</v>
      </c>
      <c r="F72" s="38"/>
      <c r="G72" s="37"/>
      <c r="H72" s="9"/>
      <c r="I72" s="9"/>
      <c r="J72" s="39">
        <f>SUM(T63:T71)</f>
        <v>756.88</v>
      </c>
      <c r="K72" s="39"/>
    </row>
    <row r="73" spans="1:22" ht="14.25" x14ac:dyDescent="0.2">
      <c r="A73" s="34"/>
      <c r="B73" s="35"/>
      <c r="C73" s="35" t="s">
        <v>553</v>
      </c>
      <c r="D73" s="36" t="s">
        <v>551</v>
      </c>
      <c r="E73" s="9">
        <f>108</f>
        <v>108</v>
      </c>
      <c r="F73" s="38"/>
      <c r="G73" s="37"/>
      <c r="H73" s="9"/>
      <c r="I73" s="9"/>
      <c r="J73" s="39">
        <f>SUM(V63:V72)</f>
        <v>1634.15</v>
      </c>
      <c r="K73" s="39"/>
    </row>
    <row r="74" spans="1:22" ht="14.25" x14ac:dyDescent="0.2">
      <c r="A74" s="34"/>
      <c r="B74" s="35"/>
      <c r="C74" s="35" t="s">
        <v>554</v>
      </c>
      <c r="D74" s="36" t="s">
        <v>555</v>
      </c>
      <c r="E74" s="9">
        <f>Source!AQ35</f>
        <v>27.94</v>
      </c>
      <c r="F74" s="38"/>
      <c r="G74" s="37" t="str">
        <f>Source!DI35</f>
        <v/>
      </c>
      <c r="H74" s="9">
        <f>Source!AV35</f>
        <v>1</v>
      </c>
      <c r="I74" s="9"/>
      <c r="J74" s="39"/>
      <c r="K74" s="39">
        <f>Source!U35</f>
        <v>37.439600000000006</v>
      </c>
    </row>
    <row r="75" spans="1:22" ht="15" x14ac:dyDescent="0.25">
      <c r="A75" s="45"/>
      <c r="B75" s="45"/>
      <c r="C75" s="45"/>
      <c r="D75" s="45"/>
      <c r="E75" s="45"/>
      <c r="F75" s="45"/>
      <c r="G75" s="45"/>
      <c r="H75" s="45"/>
      <c r="I75" s="46">
        <f>J65+J66+J68+J71+J72+J73+SUM(J69:J70)</f>
        <v>60812.79</v>
      </c>
      <c r="J75" s="46"/>
      <c r="K75" s="47">
        <f>IF(Source!I35&lt;&gt;0, ROUND(I75/Source!I35, 2), 0)</f>
        <v>45382.68</v>
      </c>
      <c r="P75" s="41">
        <f>I75</f>
        <v>60812.79</v>
      </c>
    </row>
    <row r="76" spans="1:22" ht="71.25" x14ac:dyDescent="0.2">
      <c r="A76" s="34" t="str">
        <f>Source!E38</f>
        <v>5</v>
      </c>
      <c r="B76" s="35" t="str">
        <f>Source!F38</f>
        <v>2.1-3103-19-4/1</v>
      </c>
      <c r="C76" s="35" t="str">
        <f>Source!G38</f>
        <v>Устройство асфальтобетонных покрытий дорожек и тротуаров двухслойных, верхний слой из песчаной асфальтобетонной смеси толщиной 3 см</v>
      </c>
      <c r="D76" s="36" t="str">
        <f>Source!H38</f>
        <v>100 м2</v>
      </c>
      <c r="E76" s="9">
        <f>Source!I38</f>
        <v>1.34</v>
      </c>
      <c r="F76" s="38"/>
      <c r="G76" s="37"/>
      <c r="H76" s="9"/>
      <c r="I76" s="9"/>
      <c r="J76" s="39"/>
      <c r="K76" s="39"/>
      <c r="Q76">
        <f>ROUND((Source!BZ38/100)*ROUND((Source!AF38*Source!AV38)*Source!I38, 2), 2)</f>
        <v>2208.98</v>
      </c>
      <c r="R76">
        <f>Source!X38</f>
        <v>2208.98</v>
      </c>
      <c r="S76">
        <f>ROUND((Source!CA38/100)*ROUND((Source!AF38*Source!AV38)*Source!I38, 2), 2)</f>
        <v>315.57</v>
      </c>
      <c r="T76">
        <f>Source!Y38</f>
        <v>315.57</v>
      </c>
      <c r="U76">
        <f>ROUND((175/100)*ROUND((Source!AE38*Source!AV38)*Source!I38, 2), 2)</f>
        <v>1106.18</v>
      </c>
      <c r="V76">
        <f>ROUND((108/100)*ROUND(Source!CS38*Source!I38, 2), 2)</f>
        <v>682.67</v>
      </c>
    </row>
    <row r="77" spans="1:22" x14ac:dyDescent="0.2">
      <c r="C77" s="48" t="str">
        <f>"Объем: "&amp;Source!I38&amp;"=134/"&amp;"100"</f>
        <v>Объем: 1,34=134/100</v>
      </c>
    </row>
    <row r="78" spans="1:22" ht="14.25" x14ac:dyDescent="0.2">
      <c r="A78" s="34"/>
      <c r="B78" s="35"/>
      <c r="C78" s="35" t="s">
        <v>547</v>
      </c>
      <c r="D78" s="36"/>
      <c r="E78" s="9"/>
      <c r="F78" s="38">
        <f>Source!AO38</f>
        <v>2354.9899999999998</v>
      </c>
      <c r="G78" s="37" t="str">
        <f>Source!DG38</f>
        <v/>
      </c>
      <c r="H78" s="9">
        <f>Source!AV38</f>
        <v>1</v>
      </c>
      <c r="I78" s="9">
        <f>IF(Source!BA38&lt;&gt; 0, Source!BA38, 1)</f>
        <v>1</v>
      </c>
      <c r="J78" s="39">
        <f>Source!S38</f>
        <v>3155.69</v>
      </c>
      <c r="K78" s="39"/>
    </row>
    <row r="79" spans="1:22" ht="14.25" x14ac:dyDescent="0.2">
      <c r="A79" s="34"/>
      <c r="B79" s="35"/>
      <c r="C79" s="35" t="s">
        <v>548</v>
      </c>
      <c r="D79" s="36"/>
      <c r="E79" s="9"/>
      <c r="F79" s="38">
        <f>Source!AM38</f>
        <v>1123.06</v>
      </c>
      <c r="G79" s="37" t="str">
        <f>Source!DE38</f>
        <v/>
      </c>
      <c r="H79" s="9">
        <f>Source!AV38</f>
        <v>1</v>
      </c>
      <c r="I79" s="9">
        <f>IF(Source!BB38&lt;&gt; 0, Source!BB38, 1)</f>
        <v>1</v>
      </c>
      <c r="J79" s="39">
        <f>Source!Q38</f>
        <v>1504.9</v>
      </c>
      <c r="K79" s="39"/>
    </row>
    <row r="80" spans="1:22" ht="14.25" x14ac:dyDescent="0.2">
      <c r="A80" s="34"/>
      <c r="B80" s="35"/>
      <c r="C80" s="35" t="s">
        <v>549</v>
      </c>
      <c r="D80" s="36"/>
      <c r="E80" s="9"/>
      <c r="F80" s="38">
        <f>Source!AN38</f>
        <v>471.72</v>
      </c>
      <c r="G80" s="37" t="str">
        <f>Source!DF38</f>
        <v/>
      </c>
      <c r="H80" s="9">
        <f>Source!AV38</f>
        <v>1</v>
      </c>
      <c r="I80" s="9">
        <f>IF(Source!BS38&lt;&gt; 0, Source!BS38, 1)</f>
        <v>1</v>
      </c>
      <c r="J80" s="40">
        <f>Source!R38</f>
        <v>632.1</v>
      </c>
      <c r="K80" s="39"/>
    </row>
    <row r="81" spans="1:22" ht="14.25" x14ac:dyDescent="0.2">
      <c r="A81" s="34"/>
      <c r="B81" s="35"/>
      <c r="C81" s="35" t="s">
        <v>556</v>
      </c>
      <c r="D81" s="36"/>
      <c r="E81" s="9"/>
      <c r="F81" s="38">
        <f>Source!AL38</f>
        <v>20488.849999999999</v>
      </c>
      <c r="G81" s="37" t="str">
        <f>Source!DD38</f>
        <v/>
      </c>
      <c r="H81" s="9">
        <f>Source!AW38</f>
        <v>1</v>
      </c>
      <c r="I81" s="9">
        <f>IF(Source!BC38&lt;&gt; 0, Source!BC38, 1)</f>
        <v>1</v>
      </c>
      <c r="J81" s="39">
        <f>Source!P38</f>
        <v>27455.06</v>
      </c>
      <c r="K81" s="39"/>
    </row>
    <row r="82" spans="1:22" ht="14.25" x14ac:dyDescent="0.2">
      <c r="A82" s="34"/>
      <c r="B82" s="35"/>
      <c r="C82" s="35" t="s">
        <v>550</v>
      </c>
      <c r="D82" s="36" t="s">
        <v>551</v>
      </c>
      <c r="E82" s="9">
        <f>Source!AT38</f>
        <v>70</v>
      </c>
      <c r="F82" s="38"/>
      <c r="G82" s="37"/>
      <c r="H82" s="9"/>
      <c r="I82" s="9"/>
      <c r="J82" s="39">
        <f>SUM(R76:R81)</f>
        <v>2208.98</v>
      </c>
      <c r="K82" s="39"/>
    </row>
    <row r="83" spans="1:22" ht="14.25" x14ac:dyDescent="0.2">
      <c r="A83" s="34"/>
      <c r="B83" s="35"/>
      <c r="C83" s="35" t="s">
        <v>552</v>
      </c>
      <c r="D83" s="36" t="s">
        <v>551</v>
      </c>
      <c r="E83" s="9">
        <f>Source!AU38</f>
        <v>10</v>
      </c>
      <c r="F83" s="38"/>
      <c r="G83" s="37"/>
      <c r="H83" s="9"/>
      <c r="I83" s="9"/>
      <c r="J83" s="39">
        <f>SUM(T76:T82)</f>
        <v>315.57</v>
      </c>
      <c r="K83" s="39"/>
    </row>
    <row r="84" spans="1:22" ht="14.25" x14ac:dyDescent="0.2">
      <c r="A84" s="34"/>
      <c r="B84" s="35"/>
      <c r="C84" s="35" t="s">
        <v>553</v>
      </c>
      <c r="D84" s="36" t="s">
        <v>551</v>
      </c>
      <c r="E84" s="9">
        <f>108</f>
        <v>108</v>
      </c>
      <c r="F84" s="38"/>
      <c r="G84" s="37"/>
      <c r="H84" s="9"/>
      <c r="I84" s="9"/>
      <c r="J84" s="39">
        <f>SUM(V76:V83)</f>
        <v>682.67</v>
      </c>
      <c r="K84" s="39"/>
    </row>
    <row r="85" spans="1:22" ht="14.25" x14ac:dyDescent="0.2">
      <c r="A85" s="34"/>
      <c r="B85" s="35"/>
      <c r="C85" s="35" t="s">
        <v>554</v>
      </c>
      <c r="D85" s="36" t="s">
        <v>555</v>
      </c>
      <c r="E85" s="9">
        <f>Source!AQ38</f>
        <v>10.3</v>
      </c>
      <c r="F85" s="38"/>
      <c r="G85" s="37" t="str">
        <f>Source!DI38</f>
        <v/>
      </c>
      <c r="H85" s="9">
        <f>Source!AV38</f>
        <v>1</v>
      </c>
      <c r="I85" s="9"/>
      <c r="J85" s="39"/>
      <c r="K85" s="39">
        <f>Source!U38</f>
        <v>13.802000000000001</v>
      </c>
    </row>
    <row r="86" spans="1:22" ht="15" x14ac:dyDescent="0.25">
      <c r="A86" s="45"/>
      <c r="B86" s="45"/>
      <c r="C86" s="45"/>
      <c r="D86" s="45"/>
      <c r="E86" s="45"/>
      <c r="F86" s="45"/>
      <c r="G86" s="45"/>
      <c r="H86" s="45"/>
      <c r="I86" s="46">
        <f>J78+J79+J81+J82+J83+J84</f>
        <v>35322.870000000003</v>
      </c>
      <c r="J86" s="46"/>
      <c r="K86" s="47">
        <f>IF(Source!I38&lt;&gt;0, ROUND(I86/Source!I38, 2), 0)</f>
        <v>26360.35</v>
      </c>
      <c r="P86" s="41">
        <f>I86</f>
        <v>35322.870000000003</v>
      </c>
    </row>
    <row r="87" spans="1:22" ht="57" x14ac:dyDescent="0.2">
      <c r="A87" s="34" t="str">
        <f>Source!E39</f>
        <v>6</v>
      </c>
      <c r="B87" s="35" t="str">
        <f>Source!F39</f>
        <v>5.3-3103-11-1/1</v>
      </c>
      <c r="C87" s="35" t="str">
        <f>Source!G39</f>
        <v>Устройство наливного полиуретанового покрытия спортивных площадок и беговых дорожек толщиной 10 мм</v>
      </c>
      <c r="D87" s="36" t="str">
        <f>Source!H39</f>
        <v>100 м2</v>
      </c>
      <c r="E87" s="9">
        <f>Source!I39</f>
        <v>1.34</v>
      </c>
      <c r="F87" s="38"/>
      <c r="G87" s="37"/>
      <c r="H87" s="9"/>
      <c r="I87" s="9"/>
      <c r="J87" s="39"/>
      <c r="K87" s="39"/>
      <c r="Q87">
        <f>ROUND((Source!BZ39/100)*ROUND((Source!AF39*Source!AV39)*Source!I39, 2), 2)</f>
        <v>3823.88</v>
      </c>
      <c r="R87">
        <f>Source!X39</f>
        <v>3823.88</v>
      </c>
      <c r="S87">
        <f>ROUND((Source!CA39/100)*ROUND((Source!AF39*Source!AV39)*Source!I39, 2), 2)</f>
        <v>546.27</v>
      </c>
      <c r="T87">
        <f>Source!Y39</f>
        <v>546.27</v>
      </c>
      <c r="U87">
        <f>ROUND((175/100)*ROUND((Source!AE39*Source!AV39)*Source!I39, 2), 2)</f>
        <v>4838.82</v>
      </c>
      <c r="V87">
        <f>ROUND((108/100)*ROUND(Source!CS39*Source!I39, 2), 2)</f>
        <v>2986.24</v>
      </c>
    </row>
    <row r="88" spans="1:22" x14ac:dyDescent="0.2">
      <c r="C88" s="48" t="str">
        <f>"Объем: "&amp;Source!I39&amp;"=134/"&amp;"100"</f>
        <v>Объем: 1,34=134/100</v>
      </c>
    </row>
    <row r="89" spans="1:22" ht="14.25" x14ac:dyDescent="0.2">
      <c r="A89" s="34"/>
      <c r="B89" s="35"/>
      <c r="C89" s="35" t="s">
        <v>547</v>
      </c>
      <c r="D89" s="36"/>
      <c r="E89" s="9"/>
      <c r="F89" s="38">
        <f>Source!AO39</f>
        <v>4076.63</v>
      </c>
      <c r="G89" s="37" t="str">
        <f>Source!DG39</f>
        <v/>
      </c>
      <c r="H89" s="9">
        <f>Source!AV39</f>
        <v>1</v>
      </c>
      <c r="I89" s="9">
        <f>IF(Source!BA39&lt;&gt; 0, Source!BA39, 1)</f>
        <v>1</v>
      </c>
      <c r="J89" s="39">
        <f>Source!S39</f>
        <v>5462.68</v>
      </c>
      <c r="K89" s="39"/>
    </row>
    <row r="90" spans="1:22" ht="14.25" x14ac:dyDescent="0.2">
      <c r="A90" s="34"/>
      <c r="B90" s="35"/>
      <c r="C90" s="35" t="s">
        <v>548</v>
      </c>
      <c r="D90" s="36"/>
      <c r="E90" s="9"/>
      <c r="F90" s="38">
        <f>Source!AM39</f>
        <v>2617.25</v>
      </c>
      <c r="G90" s="37" t="str">
        <f>Source!DE39</f>
        <v/>
      </c>
      <c r="H90" s="9">
        <f>Source!AV39</f>
        <v>1</v>
      </c>
      <c r="I90" s="9">
        <f>IF(Source!BB39&lt;&gt; 0, Source!BB39, 1)</f>
        <v>1</v>
      </c>
      <c r="J90" s="39">
        <f>Source!Q39</f>
        <v>3507.12</v>
      </c>
      <c r="K90" s="39"/>
    </row>
    <row r="91" spans="1:22" ht="14.25" x14ac:dyDescent="0.2">
      <c r="A91" s="34"/>
      <c r="B91" s="35"/>
      <c r="C91" s="35" t="s">
        <v>549</v>
      </c>
      <c r="D91" s="36"/>
      <c r="E91" s="9"/>
      <c r="F91" s="38">
        <f>Source!AN39</f>
        <v>2063.46</v>
      </c>
      <c r="G91" s="37" t="str">
        <f>Source!DF39</f>
        <v/>
      </c>
      <c r="H91" s="9">
        <f>Source!AV39</f>
        <v>1</v>
      </c>
      <c r="I91" s="9">
        <f>IF(Source!BS39&lt;&gt; 0, Source!BS39, 1)</f>
        <v>1</v>
      </c>
      <c r="J91" s="40">
        <f>Source!R39</f>
        <v>2765.04</v>
      </c>
      <c r="K91" s="39"/>
    </row>
    <row r="92" spans="1:22" ht="14.25" x14ac:dyDescent="0.2">
      <c r="A92" s="34"/>
      <c r="B92" s="35"/>
      <c r="C92" s="35" t="s">
        <v>556</v>
      </c>
      <c r="D92" s="36"/>
      <c r="E92" s="9"/>
      <c r="F92" s="38">
        <f>Source!AL39</f>
        <v>102359.62</v>
      </c>
      <c r="G92" s="37" t="str">
        <f>Source!DD39</f>
        <v/>
      </c>
      <c r="H92" s="9">
        <f>Source!AW39</f>
        <v>1</v>
      </c>
      <c r="I92" s="9">
        <f>IF(Source!BC39&lt;&gt; 0, Source!BC39, 1)</f>
        <v>1</v>
      </c>
      <c r="J92" s="39">
        <f>Source!P39</f>
        <v>137161.89000000001</v>
      </c>
      <c r="K92" s="39"/>
    </row>
    <row r="93" spans="1:22" ht="14.25" x14ac:dyDescent="0.2">
      <c r="A93" s="34"/>
      <c r="B93" s="35"/>
      <c r="C93" s="35" t="s">
        <v>550</v>
      </c>
      <c r="D93" s="36" t="s">
        <v>551</v>
      </c>
      <c r="E93" s="9">
        <f>Source!AT39</f>
        <v>70</v>
      </c>
      <c r="F93" s="38"/>
      <c r="G93" s="37"/>
      <c r="H93" s="9"/>
      <c r="I93" s="9"/>
      <c r="J93" s="39">
        <f>SUM(R87:R92)</f>
        <v>3823.88</v>
      </c>
      <c r="K93" s="39"/>
    </row>
    <row r="94" spans="1:22" ht="14.25" x14ac:dyDescent="0.2">
      <c r="A94" s="34"/>
      <c r="B94" s="35"/>
      <c r="C94" s="35" t="s">
        <v>552</v>
      </c>
      <c r="D94" s="36" t="s">
        <v>551</v>
      </c>
      <c r="E94" s="9">
        <f>Source!AU39</f>
        <v>10</v>
      </c>
      <c r="F94" s="38"/>
      <c r="G94" s="37"/>
      <c r="H94" s="9"/>
      <c r="I94" s="9"/>
      <c r="J94" s="39">
        <f>SUM(T87:T93)</f>
        <v>546.27</v>
      </c>
      <c r="K94" s="39"/>
    </row>
    <row r="95" spans="1:22" ht="14.25" x14ac:dyDescent="0.2">
      <c r="A95" s="34"/>
      <c r="B95" s="35"/>
      <c r="C95" s="35" t="s">
        <v>553</v>
      </c>
      <c r="D95" s="36" t="s">
        <v>551</v>
      </c>
      <c r="E95" s="9">
        <f>108</f>
        <v>108</v>
      </c>
      <c r="F95" s="38"/>
      <c r="G95" s="37"/>
      <c r="H95" s="9"/>
      <c r="I95" s="9"/>
      <c r="J95" s="39">
        <f>SUM(V87:V94)</f>
        <v>2986.24</v>
      </c>
      <c r="K95" s="39"/>
    </row>
    <row r="96" spans="1:22" ht="14.25" x14ac:dyDescent="0.2">
      <c r="A96" s="34"/>
      <c r="B96" s="35"/>
      <c r="C96" s="35" t="s">
        <v>554</v>
      </c>
      <c r="D96" s="36" t="s">
        <v>555</v>
      </c>
      <c r="E96" s="9">
        <f>Source!AQ39</f>
        <v>18.440000000000001</v>
      </c>
      <c r="F96" s="38"/>
      <c r="G96" s="37" t="str">
        <f>Source!DI39</f>
        <v/>
      </c>
      <c r="H96" s="9">
        <f>Source!AV39</f>
        <v>1</v>
      </c>
      <c r="I96" s="9"/>
      <c r="J96" s="39"/>
      <c r="K96" s="39">
        <f>Source!U39</f>
        <v>24.709600000000002</v>
      </c>
    </row>
    <row r="97" spans="1:22" ht="15" x14ac:dyDescent="0.25">
      <c r="A97" s="45"/>
      <c r="B97" s="45"/>
      <c r="C97" s="45"/>
      <c r="D97" s="45"/>
      <c r="E97" s="45"/>
      <c r="F97" s="45"/>
      <c r="G97" s="45"/>
      <c r="H97" s="45"/>
      <c r="I97" s="46">
        <f>J89+J90+J92+J93+J94+J95</f>
        <v>153488.07999999999</v>
      </c>
      <c r="J97" s="46"/>
      <c r="K97" s="47">
        <f>IF(Source!I39&lt;&gt;0, ROUND(I97/Source!I39, 2), 0)</f>
        <v>114543.34</v>
      </c>
      <c r="P97" s="41">
        <f>I97</f>
        <v>153488.07999999999</v>
      </c>
    </row>
    <row r="98" spans="1:22" ht="71.25" x14ac:dyDescent="0.2">
      <c r="A98" s="34" t="str">
        <f>Source!E40</f>
        <v>7</v>
      </c>
      <c r="B98" s="35" t="str">
        <f>Source!F40</f>
        <v>5.3-3103-11-2/1</v>
      </c>
      <c r="C98" s="35" t="str">
        <f>Source!G40</f>
        <v>Устройство наливного полиуретанового покрытия спортивных площадок и беговых дорожек, добавляется на 2 мм толщины покрытия</v>
      </c>
      <c r="D98" s="36" t="str">
        <f>Source!H40</f>
        <v>100 м2</v>
      </c>
      <c r="E98" s="9">
        <f>Source!I40</f>
        <v>1.34</v>
      </c>
      <c r="F98" s="38"/>
      <c r="G98" s="37"/>
      <c r="H98" s="9"/>
      <c r="I98" s="9"/>
      <c r="J98" s="39"/>
      <c r="K98" s="39"/>
      <c r="Q98">
        <f>ROUND((Source!BZ40/100)*ROUND((Source!AF40*Source!AV40)*Source!I40, 2), 2)</f>
        <v>565.28</v>
      </c>
      <c r="R98">
        <f>Source!X40</f>
        <v>565.28</v>
      </c>
      <c r="S98">
        <f>ROUND((Source!CA40/100)*ROUND((Source!AF40*Source!AV40)*Source!I40, 2), 2)</f>
        <v>80.75</v>
      </c>
      <c r="T98">
        <f>Source!Y40</f>
        <v>80.75</v>
      </c>
      <c r="U98">
        <f>ROUND((175/100)*ROUND((Source!AE40*Source!AV40)*Source!I40, 2), 2)</f>
        <v>913.66</v>
      </c>
      <c r="V98">
        <f>ROUND((108/100)*ROUND(Source!CS40*Source!I40, 2), 2)</f>
        <v>563.86</v>
      </c>
    </row>
    <row r="99" spans="1:22" x14ac:dyDescent="0.2">
      <c r="C99" s="48" t="str">
        <f>"Объем: "&amp;Source!I40&amp;"=134/"&amp;"100"</f>
        <v>Объем: 1,34=134/100</v>
      </c>
    </row>
    <row r="100" spans="1:22" ht="14.25" x14ac:dyDescent="0.2">
      <c r="A100" s="34"/>
      <c r="B100" s="35"/>
      <c r="C100" s="35" t="s">
        <v>547</v>
      </c>
      <c r="D100" s="36"/>
      <c r="E100" s="9"/>
      <c r="F100" s="38">
        <f>Source!AO40</f>
        <v>602.64</v>
      </c>
      <c r="G100" s="37" t="str">
        <f>Source!DG40</f>
        <v/>
      </c>
      <c r="H100" s="9">
        <f>Source!AV40</f>
        <v>1</v>
      </c>
      <c r="I100" s="9">
        <f>IF(Source!BA40&lt;&gt; 0, Source!BA40, 1)</f>
        <v>1</v>
      </c>
      <c r="J100" s="39">
        <f>Source!S40</f>
        <v>807.54</v>
      </c>
      <c r="K100" s="39"/>
    </row>
    <row r="101" spans="1:22" ht="14.25" x14ac:dyDescent="0.2">
      <c r="A101" s="34"/>
      <c r="B101" s="35"/>
      <c r="C101" s="35" t="s">
        <v>548</v>
      </c>
      <c r="D101" s="36"/>
      <c r="E101" s="9"/>
      <c r="F101" s="38">
        <f>Source!AM40</f>
        <v>492.86</v>
      </c>
      <c r="G101" s="37" t="str">
        <f>Source!DE40</f>
        <v/>
      </c>
      <c r="H101" s="9">
        <f>Source!AV40</f>
        <v>1</v>
      </c>
      <c r="I101" s="9">
        <f>IF(Source!BB40&lt;&gt; 0, Source!BB40, 1)</f>
        <v>1</v>
      </c>
      <c r="J101" s="39">
        <f>Source!Q40</f>
        <v>660.43</v>
      </c>
      <c r="K101" s="39"/>
    </row>
    <row r="102" spans="1:22" ht="14.25" x14ac:dyDescent="0.2">
      <c r="A102" s="34"/>
      <c r="B102" s="35"/>
      <c r="C102" s="35" t="s">
        <v>549</v>
      </c>
      <c r="D102" s="36"/>
      <c r="E102" s="9"/>
      <c r="F102" s="38">
        <f>Source!AN40</f>
        <v>389.62</v>
      </c>
      <c r="G102" s="37" t="str">
        <f>Source!DF40</f>
        <v/>
      </c>
      <c r="H102" s="9">
        <f>Source!AV40</f>
        <v>1</v>
      </c>
      <c r="I102" s="9">
        <f>IF(Source!BS40&lt;&gt; 0, Source!BS40, 1)</f>
        <v>1</v>
      </c>
      <c r="J102" s="40">
        <f>Source!R40</f>
        <v>522.09</v>
      </c>
      <c r="K102" s="39"/>
    </row>
    <row r="103" spans="1:22" ht="14.25" x14ac:dyDescent="0.2">
      <c r="A103" s="34"/>
      <c r="B103" s="35"/>
      <c r="C103" s="35" t="s">
        <v>556</v>
      </c>
      <c r="D103" s="36"/>
      <c r="E103" s="9"/>
      <c r="F103" s="38">
        <f>Source!AL40</f>
        <v>18967.62</v>
      </c>
      <c r="G103" s="37" t="str">
        <f>Source!DD40</f>
        <v/>
      </c>
      <c r="H103" s="9">
        <f>Source!AW40</f>
        <v>1</v>
      </c>
      <c r="I103" s="9">
        <f>IF(Source!BC40&lt;&gt; 0, Source!BC40, 1)</f>
        <v>1</v>
      </c>
      <c r="J103" s="39">
        <f>Source!P40</f>
        <v>25416.61</v>
      </c>
      <c r="K103" s="39"/>
    </row>
    <row r="104" spans="1:22" ht="14.25" x14ac:dyDescent="0.2">
      <c r="A104" s="34"/>
      <c r="B104" s="35"/>
      <c r="C104" s="35" t="s">
        <v>550</v>
      </c>
      <c r="D104" s="36" t="s">
        <v>551</v>
      </c>
      <c r="E104" s="9">
        <f>Source!AT40</f>
        <v>70</v>
      </c>
      <c r="F104" s="38"/>
      <c r="G104" s="37"/>
      <c r="H104" s="9"/>
      <c r="I104" s="9"/>
      <c r="J104" s="39">
        <f>SUM(R98:R103)</f>
        <v>565.28</v>
      </c>
      <c r="K104" s="39"/>
    </row>
    <row r="105" spans="1:22" ht="14.25" x14ac:dyDescent="0.2">
      <c r="A105" s="34"/>
      <c r="B105" s="35"/>
      <c r="C105" s="35" t="s">
        <v>552</v>
      </c>
      <c r="D105" s="36" t="s">
        <v>551</v>
      </c>
      <c r="E105" s="9">
        <f>Source!AU40</f>
        <v>10</v>
      </c>
      <c r="F105" s="38"/>
      <c r="G105" s="37"/>
      <c r="H105" s="9"/>
      <c r="I105" s="9"/>
      <c r="J105" s="39">
        <f>SUM(T98:T104)</f>
        <v>80.75</v>
      </c>
      <c r="K105" s="39"/>
    </row>
    <row r="106" spans="1:22" ht="14.25" x14ac:dyDescent="0.2">
      <c r="A106" s="34"/>
      <c r="B106" s="35"/>
      <c r="C106" s="35" t="s">
        <v>553</v>
      </c>
      <c r="D106" s="36" t="s">
        <v>551</v>
      </c>
      <c r="E106" s="9">
        <f>108</f>
        <v>108</v>
      </c>
      <c r="F106" s="38"/>
      <c r="G106" s="37"/>
      <c r="H106" s="9"/>
      <c r="I106" s="9"/>
      <c r="J106" s="39">
        <f>SUM(V98:V105)</f>
        <v>563.86</v>
      </c>
      <c r="K106" s="39"/>
    </row>
    <row r="107" spans="1:22" ht="14.25" x14ac:dyDescent="0.2">
      <c r="A107" s="34"/>
      <c r="B107" s="35"/>
      <c r="C107" s="35" t="s">
        <v>554</v>
      </c>
      <c r="D107" s="36" t="s">
        <v>555</v>
      </c>
      <c r="E107" s="9">
        <f>Source!AQ40</f>
        <v>2.65</v>
      </c>
      <c r="F107" s="38"/>
      <c r="G107" s="37" t="str">
        <f>Source!DI40</f>
        <v/>
      </c>
      <c r="H107" s="9">
        <f>Source!AV40</f>
        <v>1</v>
      </c>
      <c r="I107" s="9"/>
      <c r="J107" s="39"/>
      <c r="K107" s="39">
        <f>Source!U40</f>
        <v>3.5510000000000002</v>
      </c>
    </row>
    <row r="108" spans="1:22" ht="15" x14ac:dyDescent="0.25">
      <c r="A108" s="45"/>
      <c r="B108" s="45"/>
      <c r="C108" s="45"/>
      <c r="D108" s="45"/>
      <c r="E108" s="45"/>
      <c r="F108" s="45"/>
      <c r="G108" s="45"/>
      <c r="H108" s="45"/>
      <c r="I108" s="46">
        <f>J100+J101+J103+J104+J105+J106</f>
        <v>28094.47</v>
      </c>
      <c r="J108" s="46"/>
      <c r="K108" s="47">
        <f>IF(Source!I40&lt;&gt;0, ROUND(I108/Source!I40, 2), 0)</f>
        <v>20966.02</v>
      </c>
      <c r="P108" s="41">
        <f>I108</f>
        <v>28094.47</v>
      </c>
    </row>
    <row r="109" spans="1:22" ht="57" x14ac:dyDescent="0.2">
      <c r="A109" s="34" t="str">
        <f>Source!E43</f>
        <v>10</v>
      </c>
      <c r="B109" s="35" t="str">
        <f>Source!F43</f>
        <v>2.1-3203-1-5/1</v>
      </c>
      <c r="C109" s="35" t="str">
        <f>Source!G43</f>
        <v>Установка бортовых камней бетонных газонных и садовых марка 2ГБ 60.8.20, цвет серый, при цементобетонных покрытиях</v>
      </c>
      <c r="D109" s="36" t="str">
        <f>Source!H43</f>
        <v>100 м</v>
      </c>
      <c r="E109" s="9">
        <f>Source!I43</f>
        <v>0.52</v>
      </c>
      <c r="F109" s="38"/>
      <c r="G109" s="37"/>
      <c r="H109" s="9"/>
      <c r="I109" s="9"/>
      <c r="J109" s="39"/>
      <c r="K109" s="39"/>
      <c r="Q109">
        <f>ROUND((Source!BZ43/100)*ROUND((Source!AF43*Source!AV43)*Source!I43, 2), 2)</f>
        <v>5380.94</v>
      </c>
      <c r="R109">
        <f>Source!X43</f>
        <v>5380.94</v>
      </c>
      <c r="S109">
        <f>ROUND((Source!CA43/100)*ROUND((Source!AF43*Source!AV43)*Source!I43, 2), 2)</f>
        <v>768.71</v>
      </c>
      <c r="T109">
        <f>Source!Y43</f>
        <v>768.71</v>
      </c>
      <c r="U109">
        <f>ROUND((175/100)*ROUND((Source!AE43*Source!AV43)*Source!I43, 2), 2)</f>
        <v>87.85</v>
      </c>
      <c r="V109">
        <f>ROUND((108/100)*ROUND(Source!CS43*Source!I43, 2), 2)</f>
        <v>54.22</v>
      </c>
    </row>
    <row r="110" spans="1:22" x14ac:dyDescent="0.2">
      <c r="C110" s="48" t="str">
        <f>"Объем: "&amp;Source!I43&amp;"=52/"&amp;"100"</f>
        <v>Объем: 0,52=52/100</v>
      </c>
    </row>
    <row r="111" spans="1:22" ht="14.25" x14ac:dyDescent="0.2">
      <c r="A111" s="34"/>
      <c r="B111" s="35"/>
      <c r="C111" s="35" t="s">
        <v>547</v>
      </c>
      <c r="D111" s="36"/>
      <c r="E111" s="9"/>
      <c r="F111" s="38">
        <f>Source!AO43</f>
        <v>14782.81</v>
      </c>
      <c r="G111" s="37" t="str">
        <f>Source!DG43</f>
        <v/>
      </c>
      <c r="H111" s="9">
        <f>Source!AV43</f>
        <v>1</v>
      </c>
      <c r="I111" s="9">
        <f>IF(Source!BA43&lt;&gt; 0, Source!BA43, 1)</f>
        <v>1</v>
      </c>
      <c r="J111" s="39">
        <f>Source!S43</f>
        <v>7687.06</v>
      </c>
      <c r="K111" s="39"/>
    </row>
    <row r="112" spans="1:22" ht="14.25" x14ac:dyDescent="0.2">
      <c r="A112" s="34"/>
      <c r="B112" s="35"/>
      <c r="C112" s="35" t="s">
        <v>548</v>
      </c>
      <c r="D112" s="36"/>
      <c r="E112" s="9"/>
      <c r="F112" s="38">
        <f>Source!AM43</f>
        <v>177.81</v>
      </c>
      <c r="G112" s="37" t="str">
        <f>Source!DE43</f>
        <v/>
      </c>
      <c r="H112" s="9">
        <f>Source!AV43</f>
        <v>1</v>
      </c>
      <c r="I112" s="9">
        <f>IF(Source!BB43&lt;&gt; 0, Source!BB43, 1)</f>
        <v>1</v>
      </c>
      <c r="J112" s="39">
        <f>Source!Q43</f>
        <v>92.46</v>
      </c>
      <c r="K112" s="39"/>
    </row>
    <row r="113" spans="1:22" ht="14.25" x14ac:dyDescent="0.2">
      <c r="A113" s="34"/>
      <c r="B113" s="35"/>
      <c r="C113" s="35" t="s">
        <v>549</v>
      </c>
      <c r="D113" s="36"/>
      <c r="E113" s="9"/>
      <c r="F113" s="38">
        <f>Source!AN43</f>
        <v>96.53</v>
      </c>
      <c r="G113" s="37" t="str">
        <f>Source!DF43</f>
        <v/>
      </c>
      <c r="H113" s="9">
        <f>Source!AV43</f>
        <v>1</v>
      </c>
      <c r="I113" s="9">
        <f>IF(Source!BS43&lt;&gt; 0, Source!BS43, 1)</f>
        <v>1</v>
      </c>
      <c r="J113" s="40">
        <f>Source!R43</f>
        <v>50.2</v>
      </c>
      <c r="K113" s="39"/>
    </row>
    <row r="114" spans="1:22" ht="14.25" x14ac:dyDescent="0.2">
      <c r="A114" s="34"/>
      <c r="B114" s="35"/>
      <c r="C114" s="35" t="s">
        <v>556</v>
      </c>
      <c r="D114" s="36"/>
      <c r="E114" s="9"/>
      <c r="F114" s="38">
        <f>Source!AL43</f>
        <v>34547.699999999997</v>
      </c>
      <c r="G114" s="37" t="str">
        <f>Source!DD43</f>
        <v/>
      </c>
      <c r="H114" s="9">
        <f>Source!AW43</f>
        <v>1</v>
      </c>
      <c r="I114" s="9">
        <f>IF(Source!BC43&lt;&gt; 0, Source!BC43, 1)</f>
        <v>1</v>
      </c>
      <c r="J114" s="39">
        <f>Source!P43</f>
        <v>17964.8</v>
      </c>
      <c r="K114" s="39"/>
    </row>
    <row r="115" spans="1:22" ht="14.25" x14ac:dyDescent="0.2">
      <c r="A115" s="34"/>
      <c r="B115" s="35"/>
      <c r="C115" s="35" t="s">
        <v>550</v>
      </c>
      <c r="D115" s="36" t="s">
        <v>551</v>
      </c>
      <c r="E115" s="9">
        <f>Source!AT43</f>
        <v>70</v>
      </c>
      <c r="F115" s="38"/>
      <c r="G115" s="37"/>
      <c r="H115" s="9"/>
      <c r="I115" s="9"/>
      <c r="J115" s="39">
        <f>SUM(R109:R114)</f>
        <v>5380.94</v>
      </c>
      <c r="K115" s="39"/>
    </row>
    <row r="116" spans="1:22" ht="14.25" x14ac:dyDescent="0.2">
      <c r="A116" s="34"/>
      <c r="B116" s="35"/>
      <c r="C116" s="35" t="s">
        <v>552</v>
      </c>
      <c r="D116" s="36" t="s">
        <v>551</v>
      </c>
      <c r="E116" s="9">
        <f>Source!AU43</f>
        <v>10</v>
      </c>
      <c r="F116" s="38"/>
      <c r="G116" s="37"/>
      <c r="H116" s="9"/>
      <c r="I116" s="9"/>
      <c r="J116" s="39">
        <f>SUM(T109:T115)</f>
        <v>768.71</v>
      </c>
      <c r="K116" s="39"/>
    </row>
    <row r="117" spans="1:22" ht="14.25" x14ac:dyDescent="0.2">
      <c r="A117" s="34"/>
      <c r="B117" s="35"/>
      <c r="C117" s="35" t="s">
        <v>553</v>
      </c>
      <c r="D117" s="36" t="s">
        <v>551</v>
      </c>
      <c r="E117" s="9">
        <f>108</f>
        <v>108</v>
      </c>
      <c r="F117" s="38"/>
      <c r="G117" s="37"/>
      <c r="H117" s="9"/>
      <c r="I117" s="9"/>
      <c r="J117" s="39">
        <f>SUM(V109:V116)</f>
        <v>54.22</v>
      </c>
      <c r="K117" s="39"/>
    </row>
    <row r="118" spans="1:22" ht="14.25" x14ac:dyDescent="0.2">
      <c r="A118" s="34"/>
      <c r="B118" s="35"/>
      <c r="C118" s="35" t="s">
        <v>554</v>
      </c>
      <c r="D118" s="36" t="s">
        <v>555</v>
      </c>
      <c r="E118" s="9">
        <f>Source!AQ43</f>
        <v>72.95</v>
      </c>
      <c r="F118" s="38"/>
      <c r="G118" s="37" t="str">
        <f>Source!DI43</f>
        <v/>
      </c>
      <c r="H118" s="9">
        <f>Source!AV43</f>
        <v>1</v>
      </c>
      <c r="I118" s="9"/>
      <c r="J118" s="39"/>
      <c r="K118" s="39">
        <f>Source!U43</f>
        <v>37.934000000000005</v>
      </c>
    </row>
    <row r="119" spans="1:22" ht="15" x14ac:dyDescent="0.25">
      <c r="A119" s="45"/>
      <c r="B119" s="45"/>
      <c r="C119" s="45"/>
      <c r="D119" s="45"/>
      <c r="E119" s="45"/>
      <c r="F119" s="45"/>
      <c r="G119" s="45"/>
      <c r="H119" s="45"/>
      <c r="I119" s="46">
        <f>J111+J112+J114+J115+J116+J117</f>
        <v>31948.19</v>
      </c>
      <c r="J119" s="46"/>
      <c r="K119" s="47">
        <f>IF(Source!I43&lt;&gt;0, ROUND(I119/Source!I43, 2), 0)</f>
        <v>61438.83</v>
      </c>
      <c r="P119" s="41">
        <f>I119</f>
        <v>31948.19</v>
      </c>
    </row>
    <row r="120" spans="1:22" ht="71.25" x14ac:dyDescent="0.2">
      <c r="A120" s="34" t="str">
        <f>Source!E44</f>
        <v>11</v>
      </c>
      <c r="B120" s="35" t="str">
        <f>Source!F44</f>
        <v>5.3-3203-7-5/1</v>
      </c>
      <c r="C120" s="35" t="str">
        <f>Source!G44</f>
        <v>Устройство калиток с установкой столбов металлических (без стоимости металлических изделий полотен калиток и стоек опорных)  (МАФ)</v>
      </c>
      <c r="D120" s="36" t="str">
        <f>Source!H44</f>
        <v>100 шт.</v>
      </c>
      <c r="E120" s="9">
        <f>Source!I44</f>
        <v>0.04</v>
      </c>
      <c r="F120" s="38"/>
      <c r="G120" s="37"/>
      <c r="H120" s="9"/>
      <c r="I120" s="9"/>
      <c r="J120" s="39"/>
      <c r="K120" s="39"/>
      <c r="Q120">
        <f>ROUND((Source!BZ44/100)*ROUND((Source!AF44*Source!AV44)*Source!I44, 2), 2)</f>
        <v>6411.51</v>
      </c>
      <c r="R120">
        <f>Source!X44</f>
        <v>6411.51</v>
      </c>
      <c r="S120">
        <f>ROUND((Source!CA44/100)*ROUND((Source!AF44*Source!AV44)*Source!I44, 2), 2)</f>
        <v>915.93</v>
      </c>
      <c r="T120">
        <f>Source!Y44</f>
        <v>915.93</v>
      </c>
      <c r="U120">
        <f>ROUND((175/100)*ROUND((Source!AE44*Source!AV44)*Source!I44, 2), 2)</f>
        <v>4.76</v>
      </c>
      <c r="V120">
        <f>ROUND((108/100)*ROUND(Source!CS44*Source!I44, 2), 2)</f>
        <v>2.94</v>
      </c>
    </row>
    <row r="121" spans="1:22" x14ac:dyDescent="0.2">
      <c r="C121" s="48" t="str">
        <f>"Объем: "&amp;Source!I44&amp;"=4/"&amp;"100"</f>
        <v>Объем: 0,04=4/100</v>
      </c>
    </row>
    <row r="122" spans="1:22" ht="14.25" x14ac:dyDescent="0.2">
      <c r="A122" s="34"/>
      <c r="B122" s="35"/>
      <c r="C122" s="35" t="s">
        <v>547</v>
      </c>
      <c r="D122" s="36"/>
      <c r="E122" s="9"/>
      <c r="F122" s="38">
        <f>Source!AO44</f>
        <v>228982.53</v>
      </c>
      <c r="G122" s="37" t="str">
        <f>Source!DG44</f>
        <v/>
      </c>
      <c r="H122" s="9">
        <f>Source!AV44</f>
        <v>1</v>
      </c>
      <c r="I122" s="9">
        <f>IF(Source!BA44&lt;&gt; 0, Source!BA44, 1)</f>
        <v>1</v>
      </c>
      <c r="J122" s="39">
        <f>Source!S44</f>
        <v>9159.2999999999993</v>
      </c>
      <c r="K122" s="39"/>
    </row>
    <row r="123" spans="1:22" ht="14.25" x14ac:dyDescent="0.2">
      <c r="A123" s="34"/>
      <c r="B123" s="35"/>
      <c r="C123" s="35" t="s">
        <v>548</v>
      </c>
      <c r="D123" s="36"/>
      <c r="E123" s="9"/>
      <c r="F123" s="38">
        <f>Source!AM44</f>
        <v>544.27</v>
      </c>
      <c r="G123" s="37" t="str">
        <f>Source!DE44</f>
        <v/>
      </c>
      <c r="H123" s="9">
        <f>Source!AV44</f>
        <v>1</v>
      </c>
      <c r="I123" s="9">
        <f>IF(Source!BB44&lt;&gt; 0, Source!BB44, 1)</f>
        <v>1</v>
      </c>
      <c r="J123" s="39">
        <f>Source!Q44</f>
        <v>21.77</v>
      </c>
      <c r="K123" s="39"/>
    </row>
    <row r="124" spans="1:22" ht="14.25" x14ac:dyDescent="0.2">
      <c r="A124" s="34"/>
      <c r="B124" s="35"/>
      <c r="C124" s="35" t="s">
        <v>549</v>
      </c>
      <c r="D124" s="36"/>
      <c r="E124" s="9"/>
      <c r="F124" s="38">
        <f>Source!AN44</f>
        <v>67.94</v>
      </c>
      <c r="G124" s="37" t="str">
        <f>Source!DF44</f>
        <v/>
      </c>
      <c r="H124" s="9">
        <f>Source!AV44</f>
        <v>1</v>
      </c>
      <c r="I124" s="9">
        <f>IF(Source!BS44&lt;&gt; 0, Source!BS44, 1)</f>
        <v>1</v>
      </c>
      <c r="J124" s="40">
        <f>Source!R44</f>
        <v>2.72</v>
      </c>
      <c r="K124" s="39"/>
    </row>
    <row r="125" spans="1:22" ht="14.25" x14ac:dyDescent="0.2">
      <c r="A125" s="34"/>
      <c r="B125" s="35"/>
      <c r="C125" s="35" t="s">
        <v>556</v>
      </c>
      <c r="D125" s="36"/>
      <c r="E125" s="9"/>
      <c r="F125" s="38">
        <f>Source!AL44</f>
        <v>17852.89</v>
      </c>
      <c r="G125" s="37" t="str">
        <f>Source!DD44</f>
        <v/>
      </c>
      <c r="H125" s="9">
        <f>Source!AW44</f>
        <v>1</v>
      </c>
      <c r="I125" s="9">
        <f>IF(Source!BC44&lt;&gt; 0, Source!BC44, 1)</f>
        <v>1</v>
      </c>
      <c r="J125" s="39">
        <f>Source!P44</f>
        <v>714.12</v>
      </c>
      <c r="K125" s="39"/>
    </row>
    <row r="126" spans="1:22" ht="28.5" x14ac:dyDescent="0.2">
      <c r="A126" s="34" t="str">
        <f>Source!E45</f>
        <v>11,1</v>
      </c>
      <c r="B126" s="35" t="str">
        <f>Source!F45</f>
        <v>21.1-5-5</v>
      </c>
      <c r="C126" s="35" t="str">
        <f>Source!G45</f>
        <v>Кирпич керамический обыкновенный, размер 250х120х65 мм, марка 100</v>
      </c>
      <c r="D126" s="36" t="str">
        <f>Source!H45</f>
        <v>1000 шт.</v>
      </c>
      <c r="E126" s="9">
        <f>Source!I45</f>
        <v>-1.48E-3</v>
      </c>
      <c r="F126" s="38">
        <f>Source!AK45</f>
        <v>10419.43</v>
      </c>
      <c r="G126" s="49" t="s">
        <v>3</v>
      </c>
      <c r="H126" s="9">
        <f>Source!AW45</f>
        <v>1</v>
      </c>
      <c r="I126" s="9">
        <f>IF(Source!BC45&lt;&gt; 0, Source!BC45, 1)</f>
        <v>1</v>
      </c>
      <c r="J126" s="39">
        <f>Source!O45</f>
        <v>-15.42</v>
      </c>
      <c r="K126" s="39"/>
      <c r="Q126">
        <f>ROUND((Source!BZ45/100)*ROUND((Source!AF45*Source!AV45)*Source!I45, 2), 2)</f>
        <v>0</v>
      </c>
      <c r="R126">
        <f>Source!X45</f>
        <v>0</v>
      </c>
      <c r="S126">
        <f>ROUND((Source!CA45/100)*ROUND((Source!AF45*Source!AV45)*Source!I45, 2), 2)</f>
        <v>0</v>
      </c>
      <c r="T126">
        <f>Source!Y45</f>
        <v>0</v>
      </c>
      <c r="U126">
        <f>ROUND((175/100)*ROUND((Source!AE45*Source!AV45)*Source!I45, 2), 2)</f>
        <v>0</v>
      </c>
      <c r="V126">
        <f>ROUND((108/100)*ROUND(Source!CS45*Source!I45, 2), 2)</f>
        <v>0</v>
      </c>
    </row>
    <row r="127" spans="1:22" ht="14.25" x14ac:dyDescent="0.2">
      <c r="A127" s="34" t="str">
        <f>Source!E46</f>
        <v>11,2</v>
      </c>
      <c r="B127" s="35" t="str">
        <f>Source!F46</f>
        <v>22.1-6-52</v>
      </c>
      <c r="C127" s="35" t="str">
        <f>Source!G46</f>
        <v>Вибраторы глубинные</v>
      </c>
      <c r="D127" s="36" t="str">
        <f>Source!H46</f>
        <v>маш.-ч</v>
      </c>
      <c r="E127" s="9">
        <f>Source!I46</f>
        <v>-0.21759999999999999</v>
      </c>
      <c r="F127" s="38">
        <f>Source!AK46</f>
        <v>10.82</v>
      </c>
      <c r="G127" s="49" t="s">
        <v>3</v>
      </c>
      <c r="H127" s="9">
        <f>Source!AV46</f>
        <v>1</v>
      </c>
      <c r="I127" s="9">
        <f>IF(Source!BB46&lt;&gt; 0, Source!BB46, 1)</f>
        <v>1</v>
      </c>
      <c r="J127" s="39">
        <f>Source!O46</f>
        <v>-2.35</v>
      </c>
      <c r="K127" s="39"/>
      <c r="Q127">
        <f>ROUND((Source!BZ46/100)*ROUND((Source!AF46*Source!AV46)*Source!I46, 2), 2)</f>
        <v>0</v>
      </c>
      <c r="R127">
        <f>Source!X46</f>
        <v>0</v>
      </c>
      <c r="S127">
        <f>ROUND((Source!CA46/100)*ROUND((Source!AF46*Source!AV46)*Source!I46, 2), 2)</f>
        <v>0</v>
      </c>
      <c r="T127">
        <f>Source!Y46</f>
        <v>0</v>
      </c>
      <c r="U127">
        <f>ROUND((175/100)*ROUND((Source!AE46*Source!AV46)*Source!I46, 2), 2)</f>
        <v>-1.1399999999999999</v>
      </c>
      <c r="V127">
        <f>ROUND((108/100)*ROUND(Source!CS46*Source!I46, 2), 2)</f>
        <v>-0.7</v>
      </c>
    </row>
    <row r="128" spans="1:22" ht="28.5" x14ac:dyDescent="0.2">
      <c r="A128" s="34" t="str">
        <f>Source!E47</f>
        <v>11,3</v>
      </c>
      <c r="B128" s="35" t="str">
        <f>Source!F47</f>
        <v>22.1-13-14</v>
      </c>
      <c r="C128" s="35" t="str">
        <f>Source!G47</f>
        <v>Установки для сварки ручной дуговой (постоянного тока)</v>
      </c>
      <c r="D128" s="36" t="str">
        <f>Source!H47</f>
        <v>маш.-ч</v>
      </c>
      <c r="E128" s="9">
        <f>Source!I47</f>
        <v>-0.57999999999999996</v>
      </c>
      <c r="F128" s="38">
        <f>Source!AK47</f>
        <v>27.21</v>
      </c>
      <c r="G128" s="49" t="s">
        <v>3</v>
      </c>
      <c r="H128" s="9">
        <f>Source!AV47</f>
        <v>1</v>
      </c>
      <c r="I128" s="9">
        <f>IF(Source!BB47&lt;&gt; 0, Source!BB47, 1)</f>
        <v>1</v>
      </c>
      <c r="J128" s="39">
        <f>Source!O47</f>
        <v>-15.78</v>
      </c>
      <c r="K128" s="39"/>
      <c r="Q128">
        <f>ROUND((Source!BZ47/100)*ROUND((Source!AF47*Source!AV47)*Source!I47, 2), 2)</f>
        <v>0</v>
      </c>
      <c r="R128">
        <f>Source!X47</f>
        <v>0</v>
      </c>
      <c r="S128">
        <f>ROUND((Source!CA47/100)*ROUND((Source!AF47*Source!AV47)*Source!I47, 2), 2)</f>
        <v>0</v>
      </c>
      <c r="T128">
        <f>Source!Y47</f>
        <v>0</v>
      </c>
      <c r="U128">
        <f>ROUND((175/100)*ROUND((Source!AE47*Source!AV47)*Source!I47, 2), 2)</f>
        <v>-0.14000000000000001</v>
      </c>
      <c r="V128">
        <f>ROUND((108/100)*ROUND(Source!CS47*Source!I47, 2), 2)</f>
        <v>-0.09</v>
      </c>
    </row>
    <row r="129" spans="1:22" ht="42.75" x14ac:dyDescent="0.2">
      <c r="A129" s="34" t="str">
        <f>Source!E48</f>
        <v>11,4</v>
      </c>
      <c r="B129" s="35" t="str">
        <f>Source!F48</f>
        <v>22.1-1-1</v>
      </c>
      <c r="C129" s="35" t="str">
        <f>Source!G48</f>
        <v>Экскаваторы на гусеничном ходу гидравлические, объем ковша до 0,25 м3</v>
      </c>
      <c r="D129" s="36" t="str">
        <f>Source!H48</f>
        <v>маш.-ч</v>
      </c>
      <c r="E129" s="9">
        <f>Source!I48</f>
        <v>-3.5999999999999999E-3</v>
      </c>
      <c r="F129" s="38">
        <f>Source!AK48</f>
        <v>1009.65</v>
      </c>
      <c r="G129" s="49" t="s">
        <v>3</v>
      </c>
      <c r="H129" s="9">
        <f>Source!AV48</f>
        <v>1</v>
      </c>
      <c r="I129" s="9">
        <f>IF(Source!BB48&lt;&gt; 0, Source!BB48, 1)</f>
        <v>1</v>
      </c>
      <c r="J129" s="39">
        <f>Source!O48</f>
        <v>-3.63</v>
      </c>
      <c r="K129" s="39"/>
      <c r="Q129">
        <f>ROUND((Source!BZ48/100)*ROUND((Source!AF48*Source!AV48)*Source!I48, 2), 2)</f>
        <v>0</v>
      </c>
      <c r="R129">
        <f>Source!X48</f>
        <v>0</v>
      </c>
      <c r="S129">
        <f>ROUND((Source!CA48/100)*ROUND((Source!AF48*Source!AV48)*Source!I48, 2), 2)</f>
        <v>0</v>
      </c>
      <c r="T129">
        <f>Source!Y48</f>
        <v>0</v>
      </c>
      <c r="U129">
        <f>ROUND((175/100)*ROUND((Source!AE48*Source!AV48)*Source!I48, 2), 2)</f>
        <v>-3.5</v>
      </c>
      <c r="V129">
        <f>ROUND((108/100)*ROUND(Source!CS48*Source!I48, 2), 2)</f>
        <v>-2.16</v>
      </c>
    </row>
    <row r="130" spans="1:22" ht="42.75" x14ac:dyDescent="0.2">
      <c r="A130" s="34" t="str">
        <f>Source!E49</f>
        <v>11,5</v>
      </c>
      <c r="B130" s="35" t="str">
        <f>Source!F49</f>
        <v>21.3-1-2</v>
      </c>
      <c r="C130" s="35" t="str">
        <f>Source!G49</f>
        <v>Смеси бетонные, БСГ, песчаного бетона на обогащенном песке, класс прочности: В12,5 (М150)</v>
      </c>
      <c r="D130" s="36" t="str">
        <f>Source!H49</f>
        <v>м3</v>
      </c>
      <c r="E130" s="9">
        <f>Source!I49</f>
        <v>-0.2</v>
      </c>
      <c r="F130" s="38">
        <f>Source!AK49</f>
        <v>3040.38</v>
      </c>
      <c r="G130" s="49" t="s">
        <v>3</v>
      </c>
      <c r="H130" s="9">
        <f>Source!AW49</f>
        <v>1</v>
      </c>
      <c r="I130" s="9">
        <f>IF(Source!BC49&lt;&gt; 0, Source!BC49, 1)</f>
        <v>1</v>
      </c>
      <c r="J130" s="39">
        <f>Source!O49</f>
        <v>-608.08000000000004</v>
      </c>
      <c r="K130" s="39"/>
      <c r="Q130">
        <f>ROUND((Source!BZ49/100)*ROUND((Source!AF49*Source!AV49)*Source!I49, 2), 2)</f>
        <v>0</v>
      </c>
      <c r="R130">
        <f>Source!X49</f>
        <v>0</v>
      </c>
      <c r="S130">
        <f>ROUND((Source!CA49/100)*ROUND((Source!AF49*Source!AV49)*Source!I49, 2), 2)</f>
        <v>0</v>
      </c>
      <c r="T130">
        <f>Source!Y49</f>
        <v>0</v>
      </c>
      <c r="U130">
        <f>ROUND((175/100)*ROUND((Source!AE49*Source!AV49)*Source!I49, 2), 2)</f>
        <v>0</v>
      </c>
      <c r="V130">
        <f>ROUND((108/100)*ROUND(Source!CS49*Source!I49, 2), 2)</f>
        <v>0</v>
      </c>
    </row>
    <row r="131" spans="1:22" ht="28.5" x14ac:dyDescent="0.2">
      <c r="A131" s="34" t="str">
        <f>Source!E50</f>
        <v>11,6</v>
      </c>
      <c r="B131" s="35" t="str">
        <f>Source!F50</f>
        <v>21.1-23-9</v>
      </c>
      <c r="C131" s="35" t="str">
        <f>Source!G50</f>
        <v>Электроды, тип Э-42, 46, 50, диаметр 4 - 6 мм</v>
      </c>
      <c r="D131" s="36" t="str">
        <f>Source!H50</f>
        <v>т</v>
      </c>
      <c r="E131" s="9">
        <f>Source!I50</f>
        <v>-8.0000000000000004E-4</v>
      </c>
      <c r="F131" s="38">
        <f>Source!AK50</f>
        <v>110781.14</v>
      </c>
      <c r="G131" s="49" t="s">
        <v>3</v>
      </c>
      <c r="H131" s="9">
        <f>Source!AW50</f>
        <v>1</v>
      </c>
      <c r="I131" s="9">
        <f>IF(Source!BC50&lt;&gt; 0, Source!BC50, 1)</f>
        <v>1</v>
      </c>
      <c r="J131" s="39">
        <f>Source!O50</f>
        <v>-88.62</v>
      </c>
      <c r="K131" s="39"/>
      <c r="Q131">
        <f>ROUND((Source!BZ50/100)*ROUND((Source!AF50*Source!AV50)*Source!I50, 2), 2)</f>
        <v>0</v>
      </c>
      <c r="R131">
        <f>Source!X50</f>
        <v>0</v>
      </c>
      <c r="S131">
        <f>ROUND((Source!CA50/100)*ROUND((Source!AF50*Source!AV50)*Source!I50, 2), 2)</f>
        <v>0</v>
      </c>
      <c r="T131">
        <f>Source!Y50</f>
        <v>0</v>
      </c>
      <c r="U131">
        <f>ROUND((175/100)*ROUND((Source!AE50*Source!AV50)*Source!I50, 2), 2)</f>
        <v>0</v>
      </c>
      <c r="V131">
        <f>ROUND((108/100)*ROUND(Source!CS50*Source!I50, 2), 2)</f>
        <v>0</v>
      </c>
    </row>
    <row r="132" spans="1:22" ht="111" x14ac:dyDescent="0.2">
      <c r="A132" s="34" t="str">
        <f>Source!E51</f>
        <v>11,7</v>
      </c>
      <c r="B132" s="35" t="str">
        <f>Source!F51</f>
        <v>по цене поставщика</v>
      </c>
      <c r="C132" s="35" t="s">
        <v>557</v>
      </c>
      <c r="D132" s="36" t="str">
        <f>Source!H51</f>
        <v>шт.</v>
      </c>
      <c r="E132" s="9">
        <f>Source!I51</f>
        <v>1</v>
      </c>
      <c r="F132" s="38">
        <f>Source!AK51</f>
        <v>17250</v>
      </c>
      <c r="G132" s="49" t="s">
        <v>3</v>
      </c>
      <c r="H132" s="9">
        <f>Source!AW51</f>
        <v>1</v>
      </c>
      <c r="I132" s="9">
        <f>IF(Source!BC51&lt;&gt; 0, Source!BC51, 1)</f>
        <v>1</v>
      </c>
      <c r="J132" s="39">
        <f>Source!O51</f>
        <v>17250</v>
      </c>
      <c r="K132" s="39"/>
      <c r="Q132">
        <f>ROUND((Source!BZ51/100)*ROUND((Source!AF51*Source!AV51)*Source!I51, 2), 2)</f>
        <v>0</v>
      </c>
      <c r="R132">
        <f>Source!X51</f>
        <v>0</v>
      </c>
      <c r="S132">
        <f>ROUND((Source!CA51/100)*ROUND((Source!AF51*Source!AV51)*Source!I51, 2), 2)</f>
        <v>0</v>
      </c>
      <c r="T132">
        <f>Source!Y51</f>
        <v>0</v>
      </c>
      <c r="U132">
        <f>ROUND((175/100)*ROUND((Source!AE51*Source!AV51)*Source!I51, 2), 2)</f>
        <v>0</v>
      </c>
      <c r="V132">
        <f>ROUND((108/100)*ROUND(Source!CS51*Source!I51, 2), 2)</f>
        <v>0</v>
      </c>
    </row>
    <row r="133" spans="1:22" ht="96.75" x14ac:dyDescent="0.2">
      <c r="A133" s="34" t="str">
        <f>Source!E52</f>
        <v>11,8</v>
      </c>
      <c r="B133" s="35" t="str">
        <f>Source!F52</f>
        <v>по цене поставщика</v>
      </c>
      <c r="C133" s="35" t="s">
        <v>558</v>
      </c>
      <c r="D133" s="36" t="str">
        <f>Source!H52</f>
        <v>шт.</v>
      </c>
      <c r="E133" s="9">
        <f>Source!I52</f>
        <v>1</v>
      </c>
      <c r="F133" s="38">
        <f>Source!AK52</f>
        <v>44166.67</v>
      </c>
      <c r="G133" s="49" t="s">
        <v>3</v>
      </c>
      <c r="H133" s="9">
        <f>Source!AW52</f>
        <v>1</v>
      </c>
      <c r="I133" s="9">
        <f>IF(Source!BC52&lt;&gt; 0, Source!BC52, 1)</f>
        <v>1</v>
      </c>
      <c r="J133" s="39">
        <f>Source!O52</f>
        <v>44166.67</v>
      </c>
      <c r="K133" s="39"/>
      <c r="Q133">
        <f>ROUND((Source!BZ52/100)*ROUND((Source!AF52*Source!AV52)*Source!I52, 2), 2)</f>
        <v>0</v>
      </c>
      <c r="R133">
        <f>Source!X52</f>
        <v>0</v>
      </c>
      <c r="S133">
        <f>ROUND((Source!CA52/100)*ROUND((Source!AF52*Source!AV52)*Source!I52, 2), 2)</f>
        <v>0</v>
      </c>
      <c r="T133">
        <f>Source!Y52</f>
        <v>0</v>
      </c>
      <c r="U133">
        <f>ROUND((175/100)*ROUND((Source!AE52*Source!AV52)*Source!I52, 2), 2)</f>
        <v>0</v>
      </c>
      <c r="V133">
        <f>ROUND((108/100)*ROUND(Source!CS52*Source!I52, 2), 2)</f>
        <v>0</v>
      </c>
    </row>
    <row r="134" spans="1:22" ht="111" x14ac:dyDescent="0.2">
      <c r="A134" s="34" t="str">
        <f>Source!E53</f>
        <v>11,9</v>
      </c>
      <c r="B134" s="35" t="str">
        <f>Source!F53</f>
        <v>по цене поставщика</v>
      </c>
      <c r="C134" s="35" t="s">
        <v>559</v>
      </c>
      <c r="D134" s="36" t="str">
        <f>Source!H53</f>
        <v>шт.</v>
      </c>
      <c r="E134" s="9">
        <f>Source!I53</f>
        <v>1</v>
      </c>
      <c r="F134" s="38">
        <f>Source!AK53</f>
        <v>62333.33</v>
      </c>
      <c r="G134" s="49" t="s">
        <v>3</v>
      </c>
      <c r="H134" s="9">
        <f>Source!AW53</f>
        <v>1</v>
      </c>
      <c r="I134" s="9">
        <f>IF(Source!BC53&lt;&gt; 0, Source!BC53, 1)</f>
        <v>1</v>
      </c>
      <c r="J134" s="39">
        <f>Source!O53</f>
        <v>62333.33</v>
      </c>
      <c r="K134" s="39"/>
      <c r="Q134">
        <f>ROUND((Source!BZ53/100)*ROUND((Source!AF53*Source!AV53)*Source!I53, 2), 2)</f>
        <v>0</v>
      </c>
      <c r="R134">
        <f>Source!X53</f>
        <v>0</v>
      </c>
      <c r="S134">
        <f>ROUND((Source!CA53/100)*ROUND((Source!AF53*Source!AV53)*Source!I53, 2), 2)</f>
        <v>0</v>
      </c>
      <c r="T134">
        <f>Source!Y53</f>
        <v>0</v>
      </c>
      <c r="U134">
        <f>ROUND((175/100)*ROUND((Source!AE53*Source!AV53)*Source!I53, 2), 2)</f>
        <v>0</v>
      </c>
      <c r="V134">
        <f>ROUND((108/100)*ROUND(Source!CS53*Source!I53, 2), 2)</f>
        <v>0</v>
      </c>
    </row>
    <row r="135" spans="1:22" ht="68.25" x14ac:dyDescent="0.2">
      <c r="A135" s="34" t="str">
        <f>Source!E54</f>
        <v>11,10</v>
      </c>
      <c r="B135" s="35" t="str">
        <f>Source!F54</f>
        <v>по цене поставщика</v>
      </c>
      <c r="C135" s="35" t="s">
        <v>560</v>
      </c>
      <c r="D135" s="36" t="str">
        <f>Source!H54</f>
        <v>шт.</v>
      </c>
      <c r="E135" s="9">
        <f>Source!I54</f>
        <v>1</v>
      </c>
      <c r="F135" s="38">
        <f>Source!AK54</f>
        <v>12391.67</v>
      </c>
      <c r="G135" s="49" t="s">
        <v>3</v>
      </c>
      <c r="H135" s="9">
        <f>Source!AW54</f>
        <v>1</v>
      </c>
      <c r="I135" s="9">
        <f>IF(Source!BC54&lt;&gt; 0, Source!BC54, 1)</f>
        <v>1</v>
      </c>
      <c r="J135" s="39">
        <f>Source!O54</f>
        <v>12391.67</v>
      </c>
      <c r="K135" s="39"/>
      <c r="Q135">
        <f>ROUND((Source!BZ54/100)*ROUND((Source!AF54*Source!AV54)*Source!I54, 2), 2)</f>
        <v>0</v>
      </c>
      <c r="R135">
        <f>Source!X54</f>
        <v>0</v>
      </c>
      <c r="S135">
        <f>ROUND((Source!CA54/100)*ROUND((Source!AF54*Source!AV54)*Source!I54, 2), 2)</f>
        <v>0</v>
      </c>
      <c r="T135">
        <f>Source!Y54</f>
        <v>0</v>
      </c>
      <c r="U135">
        <f>ROUND((175/100)*ROUND((Source!AE54*Source!AV54)*Source!I54, 2), 2)</f>
        <v>0</v>
      </c>
      <c r="V135">
        <f>ROUND((108/100)*ROUND(Source!CS54*Source!I54, 2), 2)</f>
        <v>0</v>
      </c>
    </row>
    <row r="136" spans="1:22" ht="14.25" x14ac:dyDescent="0.2">
      <c r="A136" s="34"/>
      <c r="B136" s="35"/>
      <c r="C136" s="35" t="s">
        <v>550</v>
      </c>
      <c r="D136" s="36" t="s">
        <v>551</v>
      </c>
      <c r="E136" s="9">
        <f>Source!AT44</f>
        <v>70</v>
      </c>
      <c r="F136" s="38"/>
      <c r="G136" s="37"/>
      <c r="H136" s="9"/>
      <c r="I136" s="9"/>
      <c r="J136" s="39">
        <f>SUM(R120:R135)</f>
        <v>6411.51</v>
      </c>
      <c r="K136" s="39"/>
    </row>
    <row r="137" spans="1:22" ht="14.25" x14ac:dyDescent="0.2">
      <c r="A137" s="34"/>
      <c r="B137" s="35"/>
      <c r="C137" s="35" t="s">
        <v>552</v>
      </c>
      <c r="D137" s="36" t="s">
        <v>551</v>
      </c>
      <c r="E137" s="9">
        <f>Source!AU44</f>
        <v>10</v>
      </c>
      <c r="F137" s="38"/>
      <c r="G137" s="37"/>
      <c r="H137" s="9"/>
      <c r="I137" s="9"/>
      <c r="J137" s="39">
        <f>SUM(T120:T136)</f>
        <v>915.93</v>
      </c>
      <c r="K137" s="39"/>
    </row>
    <row r="138" spans="1:22" ht="14.25" x14ac:dyDescent="0.2">
      <c r="A138" s="34"/>
      <c r="B138" s="35"/>
      <c r="C138" s="35" t="s">
        <v>553</v>
      </c>
      <c r="D138" s="36" t="s">
        <v>551</v>
      </c>
      <c r="E138" s="9">
        <f>108</f>
        <v>108</v>
      </c>
      <c r="F138" s="38"/>
      <c r="G138" s="37"/>
      <c r="H138" s="9"/>
      <c r="I138" s="9"/>
      <c r="J138" s="39">
        <f>SUM(V120:V137)</f>
        <v>-9.9999999999997868E-3</v>
      </c>
      <c r="K138" s="39"/>
    </row>
    <row r="139" spans="1:22" ht="14.25" x14ac:dyDescent="0.2">
      <c r="A139" s="34"/>
      <c r="B139" s="35"/>
      <c r="C139" s="35" t="s">
        <v>554</v>
      </c>
      <c r="D139" s="36" t="s">
        <v>555</v>
      </c>
      <c r="E139" s="9">
        <f>Source!AQ44</f>
        <v>902.75</v>
      </c>
      <c r="F139" s="38"/>
      <c r="G139" s="37" t="str">
        <f>Source!DI44</f>
        <v/>
      </c>
      <c r="H139" s="9">
        <f>Source!AV44</f>
        <v>1</v>
      </c>
      <c r="I139" s="9"/>
      <c r="J139" s="39"/>
      <c r="K139" s="39">
        <f>Source!U44</f>
        <v>36.11</v>
      </c>
    </row>
    <row r="140" spans="1:22" ht="15" x14ac:dyDescent="0.25">
      <c r="A140" s="45"/>
      <c r="B140" s="45"/>
      <c r="C140" s="45"/>
      <c r="D140" s="45"/>
      <c r="E140" s="45"/>
      <c r="F140" s="45"/>
      <c r="G140" s="45"/>
      <c r="H140" s="45"/>
      <c r="I140" s="46">
        <f>J122+J123+J125+J136+J137+J138+SUM(J126:J135)</f>
        <v>152630.41</v>
      </c>
      <c r="J140" s="46"/>
      <c r="K140" s="47">
        <f>IF(Source!I44&lt;&gt;0, ROUND(I140/Source!I44, 2), 0)</f>
        <v>3815760.25</v>
      </c>
      <c r="P140" s="41">
        <f>I140</f>
        <v>152630.41</v>
      </c>
    </row>
    <row r="142" spans="1:22" ht="15" x14ac:dyDescent="0.25">
      <c r="A142" s="52" t="str">
        <f>CONCATENATE("Итого по подразделу: ",IF(Source!G56&lt;&gt;"Новый подраздел", Source!G56, ""))</f>
        <v>Итого по подразделу: группа № 6</v>
      </c>
      <c r="B142" s="52"/>
      <c r="C142" s="52"/>
      <c r="D142" s="52"/>
      <c r="E142" s="52"/>
      <c r="F142" s="52"/>
      <c r="G142" s="52"/>
      <c r="H142" s="52"/>
      <c r="I142" s="43">
        <f>SUM(P36:P141)</f>
        <v>508665.93999999994</v>
      </c>
      <c r="J142" s="51"/>
      <c r="K142" s="50"/>
    </row>
    <row r="144" spans="1:22" ht="14.25" x14ac:dyDescent="0.2">
      <c r="C144" s="26" t="str">
        <f>Source!H85</f>
        <v>Итого</v>
      </c>
      <c r="D144" s="26"/>
      <c r="E144" s="26"/>
      <c r="F144" s="26"/>
      <c r="G144" s="26"/>
      <c r="H144" s="26"/>
      <c r="I144" s="42">
        <f>IF(Source!F85=0, "", Source!F85)</f>
        <v>508665.94</v>
      </c>
      <c r="J144" s="42"/>
    </row>
    <row r="145" spans="1:22" ht="14.25" x14ac:dyDescent="0.2">
      <c r="C145" s="26" t="str">
        <f>Source!H86</f>
        <v>НДС 20%</v>
      </c>
      <c r="D145" s="26"/>
      <c r="E145" s="26"/>
      <c r="F145" s="26"/>
      <c r="G145" s="26"/>
      <c r="H145" s="26"/>
      <c r="I145" s="42">
        <f>IF(Source!F86=0, "", Source!F86)</f>
        <v>101733.19</v>
      </c>
      <c r="J145" s="42"/>
    </row>
    <row r="146" spans="1:22" ht="14.25" x14ac:dyDescent="0.2">
      <c r="C146" s="26" t="str">
        <f>Source!H87</f>
        <v>Всего</v>
      </c>
      <c r="D146" s="26"/>
      <c r="E146" s="26"/>
      <c r="F146" s="26"/>
      <c r="G146" s="26"/>
      <c r="H146" s="26"/>
      <c r="I146" s="42">
        <f>IF(Source!F87=0, "", Source!F87)</f>
        <v>610399.13</v>
      </c>
      <c r="J146" s="42"/>
    </row>
    <row r="148" spans="1:22" ht="16.5" x14ac:dyDescent="0.25">
      <c r="A148" s="33" t="str">
        <f>CONCATENATE("Подраздел: ",IF(Source!G89&lt;&gt;"Новый подраздел", Source!G89, ""))</f>
        <v>Подраздел: Игровая площадка группы №12</v>
      </c>
      <c r="B148" s="33"/>
      <c r="C148" s="33"/>
      <c r="D148" s="33"/>
      <c r="E148" s="33"/>
      <c r="F148" s="33"/>
      <c r="G148" s="33"/>
      <c r="H148" s="33"/>
      <c r="I148" s="33"/>
      <c r="J148" s="33"/>
      <c r="K148" s="33"/>
    </row>
    <row r="149" spans="1:22" ht="42.75" x14ac:dyDescent="0.2">
      <c r="A149" s="34" t="str">
        <f>Source!E93</f>
        <v>12</v>
      </c>
      <c r="B149" s="35" t="str">
        <f>Source!F93</f>
        <v>5.4-3203-2-1/1</v>
      </c>
      <c r="C149" s="35" t="str">
        <f>Source!G93</f>
        <v>Устройство корыта под газоны и цветники с планировкой дна в грунтах 1 и 2 группы</v>
      </c>
      <c r="D149" s="36" t="str">
        <f>Source!H93</f>
        <v>м3</v>
      </c>
      <c r="E149" s="9">
        <f>Source!I93</f>
        <v>23.52</v>
      </c>
      <c r="F149" s="38"/>
      <c r="G149" s="37"/>
      <c r="H149" s="9"/>
      <c r="I149" s="9"/>
      <c r="J149" s="39"/>
      <c r="K149" s="39"/>
      <c r="Q149">
        <f>ROUND((Source!BZ93/100)*ROUND((Source!AF93*Source!AV93)*Source!I93, 2), 2)</f>
        <v>8478.1299999999992</v>
      </c>
      <c r="R149">
        <f>Source!X93</f>
        <v>8478.1299999999992</v>
      </c>
      <c r="S149">
        <f>ROUND((Source!CA93/100)*ROUND((Source!AF93*Source!AV93)*Source!I93, 2), 2)</f>
        <v>1211.1600000000001</v>
      </c>
      <c r="T149">
        <f>Source!Y93</f>
        <v>1211.1600000000001</v>
      </c>
      <c r="U149">
        <f>ROUND((175/100)*ROUND((Source!AE93*Source!AV93)*Source!I93, 2), 2)</f>
        <v>0</v>
      </c>
      <c r="V149">
        <f>ROUND((108/100)*ROUND(Source!CS93*Source!I93, 2), 2)</f>
        <v>0</v>
      </c>
    </row>
    <row r="150" spans="1:22" ht="14.25" x14ac:dyDescent="0.2">
      <c r="A150" s="34"/>
      <c r="B150" s="35"/>
      <c r="C150" s="35" t="s">
        <v>547</v>
      </c>
      <c r="D150" s="36"/>
      <c r="E150" s="9"/>
      <c r="F150" s="38">
        <f>Source!AO93</f>
        <v>514.95000000000005</v>
      </c>
      <c r="G150" s="37" t="str">
        <f>Source!DG93</f>
        <v/>
      </c>
      <c r="H150" s="9">
        <f>Source!AV93</f>
        <v>1</v>
      </c>
      <c r="I150" s="9">
        <f>IF(Source!BA93&lt;&gt; 0, Source!BA93, 1)</f>
        <v>1</v>
      </c>
      <c r="J150" s="39">
        <f>Source!S93</f>
        <v>12111.62</v>
      </c>
      <c r="K150" s="39"/>
    </row>
    <row r="151" spans="1:22" ht="14.25" x14ac:dyDescent="0.2">
      <c r="A151" s="34"/>
      <c r="B151" s="35"/>
      <c r="C151" s="35" t="s">
        <v>550</v>
      </c>
      <c r="D151" s="36" t="s">
        <v>551</v>
      </c>
      <c r="E151" s="9">
        <f>Source!AT93</f>
        <v>70</v>
      </c>
      <c r="F151" s="38"/>
      <c r="G151" s="37"/>
      <c r="H151" s="9"/>
      <c r="I151" s="9"/>
      <c r="J151" s="39">
        <f>SUM(R149:R150)</f>
        <v>8478.1299999999992</v>
      </c>
      <c r="K151" s="39"/>
    </row>
    <row r="152" spans="1:22" ht="14.25" x14ac:dyDescent="0.2">
      <c r="A152" s="34"/>
      <c r="B152" s="35"/>
      <c r="C152" s="35" t="s">
        <v>552</v>
      </c>
      <c r="D152" s="36" t="s">
        <v>551</v>
      </c>
      <c r="E152" s="9">
        <f>Source!AU93</f>
        <v>10</v>
      </c>
      <c r="F152" s="38"/>
      <c r="G152" s="37"/>
      <c r="H152" s="9"/>
      <c r="I152" s="9"/>
      <c r="J152" s="39">
        <f>SUM(T149:T151)</f>
        <v>1211.1600000000001</v>
      </c>
      <c r="K152" s="39"/>
    </row>
    <row r="153" spans="1:22" ht="14.25" x14ac:dyDescent="0.2">
      <c r="A153" s="34"/>
      <c r="B153" s="35"/>
      <c r="C153" s="35" t="s">
        <v>554</v>
      </c>
      <c r="D153" s="36" t="s">
        <v>555</v>
      </c>
      <c r="E153" s="9">
        <f>Source!AQ93</f>
        <v>2.66</v>
      </c>
      <c r="F153" s="38"/>
      <c r="G153" s="37" t="str">
        <f>Source!DI93</f>
        <v/>
      </c>
      <c r="H153" s="9">
        <f>Source!AV93</f>
        <v>1</v>
      </c>
      <c r="I153" s="9"/>
      <c r="J153" s="39"/>
      <c r="K153" s="39">
        <f>Source!U93</f>
        <v>62.563200000000002</v>
      </c>
    </row>
    <row r="154" spans="1:22" ht="15" x14ac:dyDescent="0.25">
      <c r="A154" s="45"/>
      <c r="B154" s="45"/>
      <c r="C154" s="45"/>
      <c r="D154" s="45"/>
      <c r="E154" s="45"/>
      <c r="F154" s="45"/>
      <c r="G154" s="45"/>
      <c r="H154" s="45"/>
      <c r="I154" s="46">
        <f>J150+J151+J152</f>
        <v>21800.91</v>
      </c>
      <c r="J154" s="46"/>
      <c r="K154" s="47">
        <f>IF(Source!I93&lt;&gt;0, ROUND(I154/Source!I93, 2), 0)</f>
        <v>926.91</v>
      </c>
      <c r="P154" s="41">
        <f>I154</f>
        <v>21800.91</v>
      </c>
    </row>
    <row r="155" spans="1:22" ht="42.75" x14ac:dyDescent="0.2">
      <c r="A155" s="34" t="str">
        <f>Source!E94</f>
        <v>13</v>
      </c>
      <c r="B155" s="35" t="str">
        <f>Source!F94</f>
        <v>2.1-3303-1-1/1</v>
      </c>
      <c r="C155" s="35" t="str">
        <f>Source!G94</f>
        <v>Устройство подстилающих и выравнивающих слоев оснований из песка (10см)</v>
      </c>
      <c r="D155" s="36" t="str">
        <f>Source!H94</f>
        <v>100 м3</v>
      </c>
      <c r="E155" s="9">
        <f>Source!I94</f>
        <v>8.4000000000000005E-2</v>
      </c>
      <c r="F155" s="38"/>
      <c r="G155" s="37"/>
      <c r="H155" s="9"/>
      <c r="I155" s="9"/>
      <c r="J155" s="39"/>
      <c r="K155" s="39"/>
      <c r="Q155">
        <f>ROUND((Source!BZ94/100)*ROUND((Source!AF94*Source!AV94)*Source!I94, 2), 2)</f>
        <v>182.25</v>
      </c>
      <c r="R155">
        <f>Source!X94</f>
        <v>182.25</v>
      </c>
      <c r="S155">
        <f>ROUND((Source!CA94/100)*ROUND((Source!AF94*Source!AV94)*Source!I94, 2), 2)</f>
        <v>26.04</v>
      </c>
      <c r="T155">
        <f>Source!Y94</f>
        <v>26.04</v>
      </c>
      <c r="U155">
        <f>ROUND((175/100)*ROUND((Source!AE94*Source!AV94)*Source!I94, 2), 2)</f>
        <v>473.78</v>
      </c>
      <c r="V155">
        <f>ROUND((108/100)*ROUND(Source!CS94*Source!I94, 2), 2)</f>
        <v>292.39</v>
      </c>
    </row>
    <row r="156" spans="1:22" x14ac:dyDescent="0.2">
      <c r="C156" s="48" t="str">
        <f>"Объем: "&amp;Source!I94&amp;"=8,4/"&amp;"100"</f>
        <v>Объем: 0,084=8,4/100</v>
      </c>
    </row>
    <row r="157" spans="1:22" ht="14.25" x14ac:dyDescent="0.2">
      <c r="A157" s="34"/>
      <c r="B157" s="35"/>
      <c r="C157" s="35" t="s">
        <v>547</v>
      </c>
      <c r="D157" s="36"/>
      <c r="E157" s="9"/>
      <c r="F157" s="38">
        <f>Source!AO94</f>
        <v>3099.54</v>
      </c>
      <c r="G157" s="37" t="str">
        <f>Source!DG94</f>
        <v/>
      </c>
      <c r="H157" s="9">
        <f>Source!AV94</f>
        <v>1</v>
      </c>
      <c r="I157" s="9">
        <f>IF(Source!BA94&lt;&gt; 0, Source!BA94, 1)</f>
        <v>1</v>
      </c>
      <c r="J157" s="39">
        <f>Source!S94</f>
        <v>260.36</v>
      </c>
      <c r="K157" s="39"/>
    </row>
    <row r="158" spans="1:22" ht="14.25" x14ac:dyDescent="0.2">
      <c r="A158" s="34"/>
      <c r="B158" s="35"/>
      <c r="C158" s="35" t="s">
        <v>548</v>
      </c>
      <c r="D158" s="36"/>
      <c r="E158" s="9"/>
      <c r="F158" s="38">
        <f>Source!AM94</f>
        <v>7602.23</v>
      </c>
      <c r="G158" s="37" t="str">
        <f>Source!DE94</f>
        <v/>
      </c>
      <c r="H158" s="9">
        <f>Source!AV94</f>
        <v>1</v>
      </c>
      <c r="I158" s="9">
        <f>IF(Source!BB94&lt;&gt; 0, Source!BB94, 1)</f>
        <v>1</v>
      </c>
      <c r="J158" s="39">
        <f>Source!Q94</f>
        <v>638.59</v>
      </c>
      <c r="K158" s="39"/>
    </row>
    <row r="159" spans="1:22" ht="14.25" x14ac:dyDescent="0.2">
      <c r="A159" s="34"/>
      <c r="B159" s="35"/>
      <c r="C159" s="35" t="s">
        <v>549</v>
      </c>
      <c r="D159" s="36"/>
      <c r="E159" s="9"/>
      <c r="F159" s="38">
        <f>Source!AN94</f>
        <v>3222.98</v>
      </c>
      <c r="G159" s="37" t="str">
        <f>Source!DF94</f>
        <v/>
      </c>
      <c r="H159" s="9">
        <f>Source!AV94</f>
        <v>1</v>
      </c>
      <c r="I159" s="9">
        <f>IF(Source!BS94&lt;&gt; 0, Source!BS94, 1)</f>
        <v>1</v>
      </c>
      <c r="J159" s="40">
        <f>Source!R94</f>
        <v>270.73</v>
      </c>
      <c r="K159" s="39"/>
    </row>
    <row r="160" spans="1:22" ht="14.25" x14ac:dyDescent="0.2">
      <c r="A160" s="34"/>
      <c r="B160" s="35"/>
      <c r="C160" s="35" t="s">
        <v>556</v>
      </c>
      <c r="D160" s="36"/>
      <c r="E160" s="9"/>
      <c r="F160" s="38">
        <f>Source!AL94</f>
        <v>65162.05</v>
      </c>
      <c r="G160" s="37" t="str">
        <f>Source!DD94</f>
        <v/>
      </c>
      <c r="H160" s="9">
        <f>Source!AW94</f>
        <v>1</v>
      </c>
      <c r="I160" s="9">
        <f>IF(Source!BC94&lt;&gt; 0, Source!BC94, 1)</f>
        <v>1</v>
      </c>
      <c r="J160" s="39">
        <f>Source!P94</f>
        <v>5473.61</v>
      </c>
      <c r="K160" s="39"/>
    </row>
    <row r="161" spans="1:22" ht="14.25" x14ac:dyDescent="0.2">
      <c r="A161" s="34"/>
      <c r="B161" s="35"/>
      <c r="C161" s="35" t="s">
        <v>550</v>
      </c>
      <c r="D161" s="36" t="s">
        <v>551</v>
      </c>
      <c r="E161" s="9">
        <f>Source!AT94</f>
        <v>70</v>
      </c>
      <c r="F161" s="38"/>
      <c r="G161" s="37"/>
      <c r="H161" s="9"/>
      <c r="I161" s="9"/>
      <c r="J161" s="39">
        <f>SUM(R155:R160)</f>
        <v>182.25</v>
      </c>
      <c r="K161" s="39"/>
    </row>
    <row r="162" spans="1:22" ht="14.25" x14ac:dyDescent="0.2">
      <c r="A162" s="34"/>
      <c r="B162" s="35"/>
      <c r="C162" s="35" t="s">
        <v>552</v>
      </c>
      <c r="D162" s="36" t="s">
        <v>551</v>
      </c>
      <c r="E162" s="9">
        <f>Source!AU94</f>
        <v>10</v>
      </c>
      <c r="F162" s="38"/>
      <c r="G162" s="37"/>
      <c r="H162" s="9"/>
      <c r="I162" s="9"/>
      <c r="J162" s="39">
        <f>SUM(T155:T161)</f>
        <v>26.04</v>
      </c>
      <c r="K162" s="39"/>
    </row>
    <row r="163" spans="1:22" ht="14.25" x14ac:dyDescent="0.2">
      <c r="A163" s="34"/>
      <c r="B163" s="35"/>
      <c r="C163" s="35" t="s">
        <v>553</v>
      </c>
      <c r="D163" s="36" t="s">
        <v>551</v>
      </c>
      <c r="E163" s="9">
        <f>108</f>
        <v>108</v>
      </c>
      <c r="F163" s="38"/>
      <c r="G163" s="37"/>
      <c r="H163" s="9"/>
      <c r="I163" s="9"/>
      <c r="J163" s="39">
        <f>SUM(V155:V162)</f>
        <v>292.39</v>
      </c>
      <c r="K163" s="39"/>
    </row>
    <row r="164" spans="1:22" ht="14.25" x14ac:dyDescent="0.2">
      <c r="A164" s="34"/>
      <c r="B164" s="35"/>
      <c r="C164" s="35" t="s">
        <v>554</v>
      </c>
      <c r="D164" s="36" t="s">
        <v>555</v>
      </c>
      <c r="E164" s="9">
        <f>Source!AQ94</f>
        <v>16.559999999999999</v>
      </c>
      <c r="F164" s="38"/>
      <c r="G164" s="37" t="str">
        <f>Source!DI94</f>
        <v/>
      </c>
      <c r="H164" s="9">
        <f>Source!AV94</f>
        <v>1</v>
      </c>
      <c r="I164" s="9"/>
      <c r="J164" s="39"/>
      <c r="K164" s="39">
        <f>Source!U94</f>
        <v>1.3910400000000001</v>
      </c>
    </row>
    <row r="165" spans="1:22" ht="15" x14ac:dyDescent="0.25">
      <c r="A165" s="45"/>
      <c r="B165" s="45"/>
      <c r="C165" s="45"/>
      <c r="D165" s="45"/>
      <c r="E165" s="45"/>
      <c r="F165" s="45"/>
      <c r="G165" s="45"/>
      <c r="H165" s="45"/>
      <c r="I165" s="46">
        <f>J157+J158+J160+J161+J162+J163</f>
        <v>6873.24</v>
      </c>
      <c r="J165" s="46"/>
      <c r="K165" s="47">
        <f>IF(Source!I94&lt;&gt;0, ROUND(I165/Source!I94, 2), 0)</f>
        <v>81824.289999999994</v>
      </c>
      <c r="P165" s="41">
        <f>I165</f>
        <v>6873.24</v>
      </c>
    </row>
    <row r="166" spans="1:22" ht="28.5" x14ac:dyDescent="0.2">
      <c r="A166" s="34" t="str">
        <f>Source!E95</f>
        <v>14</v>
      </c>
      <c r="B166" s="35" t="str">
        <f>Source!F95</f>
        <v>2.1-3303-10-1/1</v>
      </c>
      <c r="C166" s="35" t="str">
        <f>Source!G95</f>
        <v>Устройство оснований под тротуары или дорожки из щебня толщиной 12 см</v>
      </c>
      <c r="D166" s="36" t="str">
        <f>Source!H95</f>
        <v>100 м2</v>
      </c>
      <c r="E166" s="9">
        <f>Source!I95</f>
        <v>0.84</v>
      </c>
      <c r="F166" s="38"/>
      <c r="G166" s="37"/>
      <c r="H166" s="9"/>
      <c r="I166" s="9"/>
      <c r="J166" s="39"/>
      <c r="K166" s="39"/>
      <c r="Q166">
        <f>ROUND((Source!BZ95/100)*ROUND((Source!AF95*Source!AV95)*Source!I95, 2), 2)</f>
        <v>3321.23</v>
      </c>
      <c r="R166">
        <f>Source!X95</f>
        <v>3321.23</v>
      </c>
      <c r="S166">
        <f>ROUND((Source!CA95/100)*ROUND((Source!AF95*Source!AV95)*Source!I95, 2), 2)</f>
        <v>474.46</v>
      </c>
      <c r="T166">
        <f>Source!Y95</f>
        <v>474.46</v>
      </c>
      <c r="U166">
        <f>ROUND((175/100)*ROUND((Source!AE95*Source!AV95)*Source!I95, 2), 2)</f>
        <v>1659.89</v>
      </c>
      <c r="V166">
        <f>ROUND((108/100)*ROUND(Source!CS95*Source!I95, 2), 2)</f>
        <v>1024.3900000000001</v>
      </c>
    </row>
    <row r="167" spans="1:22" x14ac:dyDescent="0.2">
      <c r="C167" s="48" t="str">
        <f>"Объем: "&amp;Source!I95&amp;"=84/"&amp;"100"</f>
        <v>Объем: 0,84=84/100</v>
      </c>
    </row>
    <row r="168" spans="1:22" ht="14.25" x14ac:dyDescent="0.2">
      <c r="A168" s="34"/>
      <c r="B168" s="35"/>
      <c r="C168" s="35" t="s">
        <v>547</v>
      </c>
      <c r="D168" s="36"/>
      <c r="E168" s="9"/>
      <c r="F168" s="38">
        <f>Source!AO95</f>
        <v>5648.35</v>
      </c>
      <c r="G168" s="37" t="str">
        <f>Source!DG95</f>
        <v/>
      </c>
      <c r="H168" s="9">
        <f>Source!AV95</f>
        <v>1</v>
      </c>
      <c r="I168" s="9">
        <f>IF(Source!BA95&lt;&gt; 0, Source!BA95, 1)</f>
        <v>1</v>
      </c>
      <c r="J168" s="39">
        <f>Source!S95</f>
        <v>4744.6099999999997</v>
      </c>
      <c r="K168" s="39"/>
    </row>
    <row r="169" spans="1:22" ht="14.25" x14ac:dyDescent="0.2">
      <c r="A169" s="34"/>
      <c r="B169" s="35"/>
      <c r="C169" s="35" t="s">
        <v>548</v>
      </c>
      <c r="D169" s="36"/>
      <c r="E169" s="9"/>
      <c r="F169" s="38">
        <f>Source!AM95</f>
        <v>3236.38</v>
      </c>
      <c r="G169" s="37" t="str">
        <f>Source!DE95</f>
        <v/>
      </c>
      <c r="H169" s="9">
        <f>Source!AV95</f>
        <v>1</v>
      </c>
      <c r="I169" s="9">
        <f>IF(Source!BB95&lt;&gt; 0, Source!BB95, 1)</f>
        <v>1</v>
      </c>
      <c r="J169" s="39">
        <f>Source!Q95</f>
        <v>2718.56</v>
      </c>
      <c r="K169" s="39"/>
    </row>
    <row r="170" spans="1:22" ht="14.25" x14ac:dyDescent="0.2">
      <c r="A170" s="34"/>
      <c r="B170" s="35"/>
      <c r="C170" s="35" t="s">
        <v>549</v>
      </c>
      <c r="D170" s="36"/>
      <c r="E170" s="9"/>
      <c r="F170" s="38">
        <f>Source!AN95</f>
        <v>1129.18</v>
      </c>
      <c r="G170" s="37" t="str">
        <f>Source!DF95</f>
        <v/>
      </c>
      <c r="H170" s="9">
        <f>Source!AV95</f>
        <v>1</v>
      </c>
      <c r="I170" s="9">
        <f>IF(Source!BS95&lt;&gt; 0, Source!BS95, 1)</f>
        <v>1</v>
      </c>
      <c r="J170" s="40">
        <f>Source!R95</f>
        <v>948.51</v>
      </c>
      <c r="K170" s="39"/>
    </row>
    <row r="171" spans="1:22" ht="14.25" x14ac:dyDescent="0.2">
      <c r="A171" s="34"/>
      <c r="B171" s="35"/>
      <c r="C171" s="35" t="s">
        <v>556</v>
      </c>
      <c r="D171" s="36"/>
      <c r="E171" s="9"/>
      <c r="F171" s="38">
        <f>Source!AL95</f>
        <v>25065.599999999999</v>
      </c>
      <c r="G171" s="37" t="str">
        <f>Source!DD95</f>
        <v/>
      </c>
      <c r="H171" s="9">
        <f>Source!AW95</f>
        <v>1</v>
      </c>
      <c r="I171" s="9">
        <f>IF(Source!BC95&lt;&gt; 0, Source!BC95, 1)</f>
        <v>1</v>
      </c>
      <c r="J171" s="39">
        <f>Source!P95</f>
        <v>21055.1</v>
      </c>
      <c r="K171" s="39"/>
    </row>
    <row r="172" spans="1:22" ht="42.75" x14ac:dyDescent="0.2">
      <c r="A172" s="34" t="str">
        <f>Source!E96</f>
        <v>14,1</v>
      </c>
      <c r="B172" s="35" t="str">
        <f>Source!F96</f>
        <v>21.1-12-36</v>
      </c>
      <c r="C172" s="35" t="str">
        <f>Source!G96</f>
        <v>Щебень из естественного камня для строительных работ, марка 1200-800, фракция 20-40 мм</v>
      </c>
      <c r="D172" s="36" t="str">
        <f>Source!H96</f>
        <v>м3</v>
      </c>
      <c r="E172" s="9">
        <f>Source!I96</f>
        <v>14.615999999999998</v>
      </c>
      <c r="F172" s="38">
        <f>Source!AK96</f>
        <v>1763.75</v>
      </c>
      <c r="G172" s="49" t="s">
        <v>3</v>
      </c>
      <c r="H172" s="9">
        <f>Source!AW96</f>
        <v>1</v>
      </c>
      <c r="I172" s="9">
        <f>IF(Source!BC96&lt;&gt; 0, Source!BC96, 1)</f>
        <v>1</v>
      </c>
      <c r="J172" s="39">
        <f>Source!O96</f>
        <v>25778.97</v>
      </c>
      <c r="K172" s="39"/>
      <c r="Q172">
        <f>ROUND((Source!BZ96/100)*ROUND((Source!AF96*Source!AV96)*Source!I96, 2), 2)</f>
        <v>0</v>
      </c>
      <c r="R172">
        <f>Source!X96</f>
        <v>0</v>
      </c>
      <c r="S172">
        <f>ROUND((Source!CA96/100)*ROUND((Source!AF96*Source!AV96)*Source!I96, 2), 2)</f>
        <v>0</v>
      </c>
      <c r="T172">
        <f>Source!Y96</f>
        <v>0</v>
      </c>
      <c r="U172">
        <f>ROUND((175/100)*ROUND((Source!AE96*Source!AV96)*Source!I96, 2), 2)</f>
        <v>0</v>
      </c>
      <c r="V172">
        <f>ROUND((108/100)*ROUND(Source!CS96*Source!I96, 2), 2)</f>
        <v>0</v>
      </c>
    </row>
    <row r="173" spans="1:22" ht="42.75" x14ac:dyDescent="0.2">
      <c r="A173" s="34" t="str">
        <f>Source!E97</f>
        <v>14,2</v>
      </c>
      <c r="B173" s="35" t="str">
        <f>Source!F97</f>
        <v>21.1-12-50</v>
      </c>
      <c r="C173" s="35" t="str">
        <f>Source!G97</f>
        <v>Щебень из естественного камня, декоративный, фракционированный известняковый</v>
      </c>
      <c r="D173" s="36" t="str">
        <f>Source!H97</f>
        <v>м3</v>
      </c>
      <c r="E173" s="9">
        <f>Source!I97</f>
        <v>-14.615999999999998</v>
      </c>
      <c r="F173" s="38">
        <f>Source!AK97</f>
        <v>1436.5</v>
      </c>
      <c r="G173" s="49" t="s">
        <v>3</v>
      </c>
      <c r="H173" s="9">
        <f>Source!AW97</f>
        <v>1</v>
      </c>
      <c r="I173" s="9">
        <f>IF(Source!BC97&lt;&gt; 0, Source!BC97, 1)</f>
        <v>1</v>
      </c>
      <c r="J173" s="39">
        <f>Source!O97</f>
        <v>-20995.88</v>
      </c>
      <c r="K173" s="39"/>
      <c r="Q173">
        <f>ROUND((Source!BZ97/100)*ROUND((Source!AF97*Source!AV97)*Source!I97, 2), 2)</f>
        <v>0</v>
      </c>
      <c r="R173">
        <f>Source!X97</f>
        <v>0</v>
      </c>
      <c r="S173">
        <f>ROUND((Source!CA97/100)*ROUND((Source!AF97*Source!AV97)*Source!I97, 2), 2)</f>
        <v>0</v>
      </c>
      <c r="T173">
        <f>Source!Y97</f>
        <v>0</v>
      </c>
      <c r="U173">
        <f>ROUND((175/100)*ROUND((Source!AE97*Source!AV97)*Source!I97, 2), 2)</f>
        <v>0</v>
      </c>
      <c r="V173">
        <f>ROUND((108/100)*ROUND(Source!CS97*Source!I97, 2), 2)</f>
        <v>0</v>
      </c>
    </row>
    <row r="174" spans="1:22" ht="14.25" x14ac:dyDescent="0.2">
      <c r="A174" s="34"/>
      <c r="B174" s="35"/>
      <c r="C174" s="35" t="s">
        <v>550</v>
      </c>
      <c r="D174" s="36" t="s">
        <v>551</v>
      </c>
      <c r="E174" s="9">
        <f>Source!AT95</f>
        <v>70</v>
      </c>
      <c r="F174" s="38"/>
      <c r="G174" s="37"/>
      <c r="H174" s="9"/>
      <c r="I174" s="9"/>
      <c r="J174" s="39">
        <f>SUM(R166:R173)</f>
        <v>3321.23</v>
      </c>
      <c r="K174" s="39"/>
    </row>
    <row r="175" spans="1:22" ht="14.25" x14ac:dyDescent="0.2">
      <c r="A175" s="34"/>
      <c r="B175" s="35"/>
      <c r="C175" s="35" t="s">
        <v>552</v>
      </c>
      <c r="D175" s="36" t="s">
        <v>551</v>
      </c>
      <c r="E175" s="9">
        <f>Source!AU95</f>
        <v>10</v>
      </c>
      <c r="F175" s="38"/>
      <c r="G175" s="37"/>
      <c r="H175" s="9"/>
      <c r="I175" s="9"/>
      <c r="J175" s="39">
        <f>SUM(T166:T174)</f>
        <v>474.46</v>
      </c>
      <c r="K175" s="39"/>
    </row>
    <row r="176" spans="1:22" ht="14.25" x14ac:dyDescent="0.2">
      <c r="A176" s="34"/>
      <c r="B176" s="35"/>
      <c r="C176" s="35" t="s">
        <v>553</v>
      </c>
      <c r="D176" s="36" t="s">
        <v>551</v>
      </c>
      <c r="E176" s="9">
        <f>108</f>
        <v>108</v>
      </c>
      <c r="F176" s="38"/>
      <c r="G176" s="37"/>
      <c r="H176" s="9"/>
      <c r="I176" s="9"/>
      <c r="J176" s="39">
        <f>SUM(V166:V175)</f>
        <v>1024.3900000000001</v>
      </c>
      <c r="K176" s="39"/>
    </row>
    <row r="177" spans="1:22" ht="14.25" x14ac:dyDescent="0.2">
      <c r="A177" s="34"/>
      <c r="B177" s="35"/>
      <c r="C177" s="35" t="s">
        <v>554</v>
      </c>
      <c r="D177" s="36" t="s">
        <v>555</v>
      </c>
      <c r="E177" s="9">
        <f>Source!AQ95</f>
        <v>27.94</v>
      </c>
      <c r="F177" s="38"/>
      <c r="G177" s="37" t="str">
        <f>Source!DI95</f>
        <v/>
      </c>
      <c r="H177" s="9">
        <f>Source!AV95</f>
        <v>1</v>
      </c>
      <c r="I177" s="9"/>
      <c r="J177" s="39"/>
      <c r="K177" s="39">
        <f>Source!U95</f>
        <v>23.4696</v>
      </c>
    </row>
    <row r="178" spans="1:22" ht="15" x14ac:dyDescent="0.25">
      <c r="A178" s="45"/>
      <c r="B178" s="45"/>
      <c r="C178" s="45"/>
      <c r="D178" s="45"/>
      <c r="E178" s="45"/>
      <c r="F178" s="45"/>
      <c r="G178" s="45"/>
      <c r="H178" s="45"/>
      <c r="I178" s="46">
        <f>J168+J169+J171+J174+J175+J176+SUM(J172:J173)</f>
        <v>38121.440000000002</v>
      </c>
      <c r="J178" s="46"/>
      <c r="K178" s="47">
        <f>IF(Source!I95&lt;&gt;0, ROUND(I178/Source!I95, 2), 0)</f>
        <v>45382.67</v>
      </c>
      <c r="P178" s="41">
        <f>I178</f>
        <v>38121.440000000002</v>
      </c>
    </row>
    <row r="179" spans="1:22" ht="71.25" x14ac:dyDescent="0.2">
      <c r="A179" s="34" t="str">
        <f>Source!E98</f>
        <v>15</v>
      </c>
      <c r="B179" s="35" t="str">
        <f>Source!F98</f>
        <v>2.1-3103-19-4/1</v>
      </c>
      <c r="C179" s="35" t="str">
        <f>Source!G98</f>
        <v>Устройство асфальтобетонных покрытий дорожек и тротуаров двухслойных, верхний слой из песчаной асфальтобетонной смеси толщиной 3 см</v>
      </c>
      <c r="D179" s="36" t="str">
        <f>Source!H98</f>
        <v>100 м2</v>
      </c>
      <c r="E179" s="9">
        <f>Source!I98</f>
        <v>0.84</v>
      </c>
      <c r="F179" s="38"/>
      <c r="G179" s="37"/>
      <c r="H179" s="9"/>
      <c r="I179" s="9"/>
      <c r="J179" s="39"/>
      <c r="K179" s="39"/>
      <c r="Q179">
        <f>ROUND((Source!BZ98/100)*ROUND((Source!AF98*Source!AV98)*Source!I98, 2), 2)</f>
        <v>1384.73</v>
      </c>
      <c r="R179">
        <f>Source!X98</f>
        <v>1384.73</v>
      </c>
      <c r="S179">
        <f>ROUND((Source!CA98/100)*ROUND((Source!AF98*Source!AV98)*Source!I98, 2), 2)</f>
        <v>197.82</v>
      </c>
      <c r="T179">
        <f>Source!Y98</f>
        <v>197.82</v>
      </c>
      <c r="U179">
        <f>ROUND((175/100)*ROUND((Source!AE98*Source!AV98)*Source!I98, 2), 2)</f>
        <v>693.42</v>
      </c>
      <c r="V179">
        <f>ROUND((108/100)*ROUND(Source!CS98*Source!I98, 2), 2)</f>
        <v>427.94</v>
      </c>
    </row>
    <row r="180" spans="1:22" x14ac:dyDescent="0.2">
      <c r="C180" s="48" t="str">
        <f>"Объем: "&amp;Source!I98&amp;"=84/"&amp;"100"</f>
        <v>Объем: 0,84=84/100</v>
      </c>
    </row>
    <row r="181" spans="1:22" ht="14.25" x14ac:dyDescent="0.2">
      <c r="A181" s="34"/>
      <c r="B181" s="35"/>
      <c r="C181" s="35" t="s">
        <v>547</v>
      </c>
      <c r="D181" s="36"/>
      <c r="E181" s="9"/>
      <c r="F181" s="38">
        <f>Source!AO98</f>
        <v>2354.9899999999998</v>
      </c>
      <c r="G181" s="37" t="str">
        <f>Source!DG98</f>
        <v/>
      </c>
      <c r="H181" s="9">
        <f>Source!AV98</f>
        <v>1</v>
      </c>
      <c r="I181" s="9">
        <f>IF(Source!BA98&lt;&gt; 0, Source!BA98, 1)</f>
        <v>1</v>
      </c>
      <c r="J181" s="39">
        <f>Source!S98</f>
        <v>1978.19</v>
      </c>
      <c r="K181" s="39"/>
    </row>
    <row r="182" spans="1:22" ht="14.25" x14ac:dyDescent="0.2">
      <c r="A182" s="34"/>
      <c r="B182" s="35"/>
      <c r="C182" s="35" t="s">
        <v>548</v>
      </c>
      <c r="D182" s="36"/>
      <c r="E182" s="9"/>
      <c r="F182" s="38">
        <f>Source!AM98</f>
        <v>1123.06</v>
      </c>
      <c r="G182" s="37" t="str">
        <f>Source!DE98</f>
        <v/>
      </c>
      <c r="H182" s="9">
        <f>Source!AV98</f>
        <v>1</v>
      </c>
      <c r="I182" s="9">
        <f>IF(Source!BB98&lt;&gt; 0, Source!BB98, 1)</f>
        <v>1</v>
      </c>
      <c r="J182" s="39">
        <f>Source!Q98</f>
        <v>943.37</v>
      </c>
      <c r="K182" s="39"/>
    </row>
    <row r="183" spans="1:22" ht="14.25" x14ac:dyDescent="0.2">
      <c r="A183" s="34"/>
      <c r="B183" s="35"/>
      <c r="C183" s="35" t="s">
        <v>549</v>
      </c>
      <c r="D183" s="36"/>
      <c r="E183" s="9"/>
      <c r="F183" s="38">
        <f>Source!AN98</f>
        <v>471.72</v>
      </c>
      <c r="G183" s="37" t="str">
        <f>Source!DF98</f>
        <v/>
      </c>
      <c r="H183" s="9">
        <f>Source!AV98</f>
        <v>1</v>
      </c>
      <c r="I183" s="9">
        <f>IF(Source!BS98&lt;&gt; 0, Source!BS98, 1)</f>
        <v>1</v>
      </c>
      <c r="J183" s="40">
        <f>Source!R98</f>
        <v>396.24</v>
      </c>
      <c r="K183" s="39"/>
    </row>
    <row r="184" spans="1:22" ht="14.25" x14ac:dyDescent="0.2">
      <c r="A184" s="34"/>
      <c r="B184" s="35"/>
      <c r="C184" s="35" t="s">
        <v>556</v>
      </c>
      <c r="D184" s="36"/>
      <c r="E184" s="9"/>
      <c r="F184" s="38">
        <f>Source!AL98</f>
        <v>20488.849999999999</v>
      </c>
      <c r="G184" s="37" t="str">
        <f>Source!DD98</f>
        <v/>
      </c>
      <c r="H184" s="9">
        <f>Source!AW98</f>
        <v>1</v>
      </c>
      <c r="I184" s="9">
        <f>IF(Source!BC98&lt;&gt; 0, Source!BC98, 1)</f>
        <v>1</v>
      </c>
      <c r="J184" s="39">
        <f>Source!P98</f>
        <v>17210.63</v>
      </c>
      <c r="K184" s="39"/>
    </row>
    <row r="185" spans="1:22" ht="14.25" x14ac:dyDescent="0.2">
      <c r="A185" s="34"/>
      <c r="B185" s="35"/>
      <c r="C185" s="35" t="s">
        <v>550</v>
      </c>
      <c r="D185" s="36" t="s">
        <v>551</v>
      </c>
      <c r="E185" s="9">
        <f>Source!AT98</f>
        <v>70</v>
      </c>
      <c r="F185" s="38"/>
      <c r="G185" s="37"/>
      <c r="H185" s="9"/>
      <c r="I185" s="9"/>
      <c r="J185" s="39">
        <f>SUM(R179:R184)</f>
        <v>1384.73</v>
      </c>
      <c r="K185" s="39"/>
    </row>
    <row r="186" spans="1:22" ht="14.25" x14ac:dyDescent="0.2">
      <c r="A186" s="34"/>
      <c r="B186" s="35"/>
      <c r="C186" s="35" t="s">
        <v>552</v>
      </c>
      <c r="D186" s="36" t="s">
        <v>551</v>
      </c>
      <c r="E186" s="9">
        <f>Source!AU98</f>
        <v>10</v>
      </c>
      <c r="F186" s="38"/>
      <c r="G186" s="37"/>
      <c r="H186" s="9"/>
      <c r="I186" s="9"/>
      <c r="J186" s="39">
        <f>SUM(T179:T185)</f>
        <v>197.82</v>
      </c>
      <c r="K186" s="39"/>
    </row>
    <row r="187" spans="1:22" ht="14.25" x14ac:dyDescent="0.2">
      <c r="A187" s="34"/>
      <c r="B187" s="35"/>
      <c r="C187" s="35" t="s">
        <v>553</v>
      </c>
      <c r="D187" s="36" t="s">
        <v>551</v>
      </c>
      <c r="E187" s="9">
        <f>108</f>
        <v>108</v>
      </c>
      <c r="F187" s="38"/>
      <c r="G187" s="37"/>
      <c r="H187" s="9"/>
      <c r="I187" s="9"/>
      <c r="J187" s="39">
        <f>SUM(V179:V186)</f>
        <v>427.94</v>
      </c>
      <c r="K187" s="39"/>
    </row>
    <row r="188" spans="1:22" ht="14.25" x14ac:dyDescent="0.2">
      <c r="A188" s="34"/>
      <c r="B188" s="35"/>
      <c r="C188" s="35" t="s">
        <v>554</v>
      </c>
      <c r="D188" s="36" t="s">
        <v>555</v>
      </c>
      <c r="E188" s="9">
        <f>Source!AQ98</f>
        <v>10.3</v>
      </c>
      <c r="F188" s="38"/>
      <c r="G188" s="37" t="str">
        <f>Source!DI98</f>
        <v/>
      </c>
      <c r="H188" s="9">
        <f>Source!AV98</f>
        <v>1</v>
      </c>
      <c r="I188" s="9"/>
      <c r="J188" s="39"/>
      <c r="K188" s="39">
        <f>Source!U98</f>
        <v>8.652000000000001</v>
      </c>
    </row>
    <row r="189" spans="1:22" ht="15" x14ac:dyDescent="0.25">
      <c r="A189" s="45"/>
      <c r="B189" s="45"/>
      <c r="C189" s="45"/>
      <c r="D189" s="45"/>
      <c r="E189" s="45"/>
      <c r="F189" s="45"/>
      <c r="G189" s="45"/>
      <c r="H189" s="45"/>
      <c r="I189" s="46">
        <f>J181+J182+J184+J185+J186+J187</f>
        <v>22142.68</v>
      </c>
      <c r="J189" s="46"/>
      <c r="K189" s="47">
        <f>IF(Source!I98&lt;&gt;0, ROUND(I189/Source!I98, 2), 0)</f>
        <v>26360.33</v>
      </c>
      <c r="P189" s="41">
        <f>I189</f>
        <v>22142.68</v>
      </c>
    </row>
    <row r="190" spans="1:22" ht="57" x14ac:dyDescent="0.2">
      <c r="A190" s="34" t="str">
        <f>Source!E99</f>
        <v>16</v>
      </c>
      <c r="B190" s="35" t="str">
        <f>Source!F99</f>
        <v>5.3-3103-11-1/1</v>
      </c>
      <c r="C190" s="35" t="str">
        <f>Source!G99</f>
        <v>Устройство наливного полиуретанового покрытия спортивных площадок и беговых дорожек толщиной 10 мм</v>
      </c>
      <c r="D190" s="36" t="str">
        <f>Source!H99</f>
        <v>100 м2</v>
      </c>
      <c r="E190" s="9">
        <f>Source!I99</f>
        <v>0.84</v>
      </c>
      <c r="F190" s="38"/>
      <c r="G190" s="37"/>
      <c r="H190" s="9"/>
      <c r="I190" s="9"/>
      <c r="J190" s="39"/>
      <c r="K190" s="39"/>
      <c r="Q190">
        <f>ROUND((Source!BZ99/100)*ROUND((Source!AF99*Source!AV99)*Source!I99, 2), 2)</f>
        <v>2397.06</v>
      </c>
      <c r="R190">
        <f>Source!X99</f>
        <v>2397.06</v>
      </c>
      <c r="S190">
        <f>ROUND((Source!CA99/100)*ROUND((Source!AF99*Source!AV99)*Source!I99, 2), 2)</f>
        <v>342.44</v>
      </c>
      <c r="T190">
        <f>Source!Y99</f>
        <v>342.44</v>
      </c>
      <c r="U190">
        <f>ROUND((175/100)*ROUND((Source!AE99*Source!AV99)*Source!I99, 2), 2)</f>
        <v>3033.29</v>
      </c>
      <c r="V190">
        <f>ROUND((108/100)*ROUND(Source!CS99*Source!I99, 2), 2)</f>
        <v>1871.97</v>
      </c>
    </row>
    <row r="191" spans="1:22" x14ac:dyDescent="0.2">
      <c r="C191" s="48" t="str">
        <f>"Объем: "&amp;Source!I99&amp;"=84/"&amp;"100"</f>
        <v>Объем: 0,84=84/100</v>
      </c>
    </row>
    <row r="192" spans="1:22" ht="14.25" x14ac:dyDescent="0.2">
      <c r="A192" s="34"/>
      <c r="B192" s="35"/>
      <c r="C192" s="35" t="s">
        <v>547</v>
      </c>
      <c r="D192" s="36"/>
      <c r="E192" s="9"/>
      <c r="F192" s="38">
        <f>Source!AO99</f>
        <v>4076.63</v>
      </c>
      <c r="G192" s="37" t="str">
        <f>Source!DG99</f>
        <v/>
      </c>
      <c r="H192" s="9">
        <f>Source!AV99</f>
        <v>1</v>
      </c>
      <c r="I192" s="9">
        <f>IF(Source!BA99&lt;&gt; 0, Source!BA99, 1)</f>
        <v>1</v>
      </c>
      <c r="J192" s="39">
        <f>Source!S99</f>
        <v>3424.37</v>
      </c>
      <c r="K192" s="39"/>
    </row>
    <row r="193" spans="1:22" ht="14.25" x14ac:dyDescent="0.2">
      <c r="A193" s="34"/>
      <c r="B193" s="35"/>
      <c r="C193" s="35" t="s">
        <v>548</v>
      </c>
      <c r="D193" s="36"/>
      <c r="E193" s="9"/>
      <c r="F193" s="38">
        <f>Source!AM99</f>
        <v>2617.25</v>
      </c>
      <c r="G193" s="37" t="str">
        <f>Source!DE99</f>
        <v/>
      </c>
      <c r="H193" s="9">
        <f>Source!AV99</f>
        <v>1</v>
      </c>
      <c r="I193" s="9">
        <f>IF(Source!BB99&lt;&gt; 0, Source!BB99, 1)</f>
        <v>1</v>
      </c>
      <c r="J193" s="39">
        <f>Source!Q99</f>
        <v>2198.4899999999998</v>
      </c>
      <c r="K193" s="39"/>
    </row>
    <row r="194" spans="1:22" ht="14.25" x14ac:dyDescent="0.2">
      <c r="A194" s="34"/>
      <c r="B194" s="35"/>
      <c r="C194" s="35" t="s">
        <v>549</v>
      </c>
      <c r="D194" s="36"/>
      <c r="E194" s="9"/>
      <c r="F194" s="38">
        <f>Source!AN99</f>
        <v>2063.46</v>
      </c>
      <c r="G194" s="37" t="str">
        <f>Source!DF99</f>
        <v/>
      </c>
      <c r="H194" s="9">
        <f>Source!AV99</f>
        <v>1</v>
      </c>
      <c r="I194" s="9">
        <f>IF(Source!BS99&lt;&gt; 0, Source!BS99, 1)</f>
        <v>1</v>
      </c>
      <c r="J194" s="40">
        <f>Source!R99</f>
        <v>1733.31</v>
      </c>
      <c r="K194" s="39"/>
    </row>
    <row r="195" spans="1:22" ht="14.25" x14ac:dyDescent="0.2">
      <c r="A195" s="34"/>
      <c r="B195" s="35"/>
      <c r="C195" s="35" t="s">
        <v>556</v>
      </c>
      <c r="D195" s="36"/>
      <c r="E195" s="9"/>
      <c r="F195" s="38">
        <f>Source!AL99</f>
        <v>102359.62</v>
      </c>
      <c r="G195" s="37" t="str">
        <f>Source!DD99</f>
        <v/>
      </c>
      <c r="H195" s="9">
        <f>Source!AW99</f>
        <v>1</v>
      </c>
      <c r="I195" s="9">
        <f>IF(Source!BC99&lt;&gt; 0, Source!BC99, 1)</f>
        <v>1</v>
      </c>
      <c r="J195" s="39">
        <f>Source!P99</f>
        <v>85982.080000000002</v>
      </c>
      <c r="K195" s="39"/>
    </row>
    <row r="196" spans="1:22" ht="14.25" x14ac:dyDescent="0.2">
      <c r="A196" s="34"/>
      <c r="B196" s="35"/>
      <c r="C196" s="35" t="s">
        <v>550</v>
      </c>
      <c r="D196" s="36" t="s">
        <v>551</v>
      </c>
      <c r="E196" s="9">
        <f>Source!AT99</f>
        <v>70</v>
      </c>
      <c r="F196" s="38"/>
      <c r="G196" s="37"/>
      <c r="H196" s="9"/>
      <c r="I196" s="9"/>
      <c r="J196" s="39">
        <f>SUM(R190:R195)</f>
        <v>2397.06</v>
      </c>
      <c r="K196" s="39"/>
    </row>
    <row r="197" spans="1:22" ht="14.25" x14ac:dyDescent="0.2">
      <c r="A197" s="34"/>
      <c r="B197" s="35"/>
      <c r="C197" s="35" t="s">
        <v>552</v>
      </c>
      <c r="D197" s="36" t="s">
        <v>551</v>
      </c>
      <c r="E197" s="9">
        <f>Source!AU99</f>
        <v>10</v>
      </c>
      <c r="F197" s="38"/>
      <c r="G197" s="37"/>
      <c r="H197" s="9"/>
      <c r="I197" s="9"/>
      <c r="J197" s="39">
        <f>SUM(T190:T196)</f>
        <v>342.44</v>
      </c>
      <c r="K197" s="39"/>
    </row>
    <row r="198" spans="1:22" ht="14.25" x14ac:dyDescent="0.2">
      <c r="A198" s="34"/>
      <c r="B198" s="35"/>
      <c r="C198" s="35" t="s">
        <v>553</v>
      </c>
      <c r="D198" s="36" t="s">
        <v>551</v>
      </c>
      <c r="E198" s="9">
        <f>108</f>
        <v>108</v>
      </c>
      <c r="F198" s="38"/>
      <c r="G198" s="37"/>
      <c r="H198" s="9"/>
      <c r="I198" s="9"/>
      <c r="J198" s="39">
        <f>SUM(V190:V197)</f>
        <v>1871.97</v>
      </c>
      <c r="K198" s="39"/>
    </row>
    <row r="199" spans="1:22" ht="14.25" x14ac:dyDescent="0.2">
      <c r="A199" s="34"/>
      <c r="B199" s="35"/>
      <c r="C199" s="35" t="s">
        <v>554</v>
      </c>
      <c r="D199" s="36" t="s">
        <v>555</v>
      </c>
      <c r="E199" s="9">
        <f>Source!AQ99</f>
        <v>18.440000000000001</v>
      </c>
      <c r="F199" s="38"/>
      <c r="G199" s="37" t="str">
        <f>Source!DI99</f>
        <v/>
      </c>
      <c r="H199" s="9">
        <f>Source!AV99</f>
        <v>1</v>
      </c>
      <c r="I199" s="9"/>
      <c r="J199" s="39"/>
      <c r="K199" s="39">
        <f>Source!U99</f>
        <v>15.489600000000001</v>
      </c>
    </row>
    <row r="200" spans="1:22" ht="15" x14ac:dyDescent="0.25">
      <c r="A200" s="45"/>
      <c r="B200" s="45"/>
      <c r="C200" s="45"/>
      <c r="D200" s="45"/>
      <c r="E200" s="45"/>
      <c r="F200" s="45"/>
      <c r="G200" s="45"/>
      <c r="H200" s="45"/>
      <c r="I200" s="46">
        <f>J192+J193+J195+J196+J197+J198</f>
        <v>96216.41</v>
      </c>
      <c r="J200" s="46"/>
      <c r="K200" s="47">
        <f>IF(Source!I99&lt;&gt;0, ROUND(I200/Source!I99, 2), 0)</f>
        <v>114543.35</v>
      </c>
      <c r="P200" s="41">
        <f>I200</f>
        <v>96216.41</v>
      </c>
    </row>
    <row r="201" spans="1:22" ht="71.25" x14ac:dyDescent="0.2">
      <c r="A201" s="34" t="str">
        <f>Source!E100</f>
        <v>17</v>
      </c>
      <c r="B201" s="35" t="str">
        <f>Source!F100</f>
        <v>5.3-3103-11-2/1</v>
      </c>
      <c r="C201" s="35" t="str">
        <f>Source!G100</f>
        <v>Устройство наливного полиуретанового покрытия спортивных площадок и беговых дорожек, добавляется на 2 мм толщины покрытия</v>
      </c>
      <c r="D201" s="36" t="str">
        <f>Source!H100</f>
        <v>100 м2</v>
      </c>
      <c r="E201" s="9">
        <f>Source!I100</f>
        <v>0.84</v>
      </c>
      <c r="F201" s="38"/>
      <c r="G201" s="37"/>
      <c r="H201" s="9"/>
      <c r="I201" s="9"/>
      <c r="J201" s="39"/>
      <c r="K201" s="39"/>
      <c r="Q201">
        <f>ROUND((Source!BZ100/100)*ROUND((Source!AF100*Source!AV100)*Source!I100, 2), 2)</f>
        <v>354.35</v>
      </c>
      <c r="R201">
        <f>Source!X100</f>
        <v>354.35</v>
      </c>
      <c r="S201">
        <f>ROUND((Source!CA100/100)*ROUND((Source!AF100*Source!AV100)*Source!I100, 2), 2)</f>
        <v>50.62</v>
      </c>
      <c r="T201">
        <f>Source!Y100</f>
        <v>50.62</v>
      </c>
      <c r="U201">
        <f>ROUND((175/100)*ROUND((Source!AE100*Source!AV100)*Source!I100, 2), 2)</f>
        <v>572.74</v>
      </c>
      <c r="V201">
        <f>ROUND((108/100)*ROUND(Source!CS100*Source!I100, 2), 2)</f>
        <v>353.46</v>
      </c>
    </row>
    <row r="202" spans="1:22" x14ac:dyDescent="0.2">
      <c r="C202" s="48" t="str">
        <f>"Объем: "&amp;Source!I100&amp;"=84/"&amp;"100"</f>
        <v>Объем: 0,84=84/100</v>
      </c>
    </row>
    <row r="203" spans="1:22" ht="14.25" x14ac:dyDescent="0.2">
      <c r="A203" s="34"/>
      <c r="B203" s="35"/>
      <c r="C203" s="35" t="s">
        <v>547</v>
      </c>
      <c r="D203" s="36"/>
      <c r="E203" s="9"/>
      <c r="F203" s="38">
        <f>Source!AO100</f>
        <v>602.64</v>
      </c>
      <c r="G203" s="37" t="str">
        <f>Source!DG100</f>
        <v/>
      </c>
      <c r="H203" s="9">
        <f>Source!AV100</f>
        <v>1</v>
      </c>
      <c r="I203" s="9">
        <f>IF(Source!BA100&lt;&gt; 0, Source!BA100, 1)</f>
        <v>1</v>
      </c>
      <c r="J203" s="39">
        <f>Source!S100</f>
        <v>506.22</v>
      </c>
      <c r="K203" s="39"/>
    </row>
    <row r="204" spans="1:22" ht="14.25" x14ac:dyDescent="0.2">
      <c r="A204" s="34"/>
      <c r="B204" s="35"/>
      <c r="C204" s="35" t="s">
        <v>548</v>
      </c>
      <c r="D204" s="36"/>
      <c r="E204" s="9"/>
      <c r="F204" s="38">
        <f>Source!AM100</f>
        <v>492.86</v>
      </c>
      <c r="G204" s="37" t="str">
        <f>Source!DE100</f>
        <v/>
      </c>
      <c r="H204" s="9">
        <f>Source!AV100</f>
        <v>1</v>
      </c>
      <c r="I204" s="9">
        <f>IF(Source!BB100&lt;&gt; 0, Source!BB100, 1)</f>
        <v>1</v>
      </c>
      <c r="J204" s="39">
        <f>Source!Q100</f>
        <v>414</v>
      </c>
      <c r="K204" s="39"/>
    </row>
    <row r="205" spans="1:22" ht="14.25" x14ac:dyDescent="0.2">
      <c r="A205" s="34"/>
      <c r="B205" s="35"/>
      <c r="C205" s="35" t="s">
        <v>549</v>
      </c>
      <c r="D205" s="36"/>
      <c r="E205" s="9"/>
      <c r="F205" s="38">
        <f>Source!AN100</f>
        <v>389.62</v>
      </c>
      <c r="G205" s="37" t="str">
        <f>Source!DF100</f>
        <v/>
      </c>
      <c r="H205" s="9">
        <f>Source!AV100</f>
        <v>1</v>
      </c>
      <c r="I205" s="9">
        <f>IF(Source!BS100&lt;&gt; 0, Source!BS100, 1)</f>
        <v>1</v>
      </c>
      <c r="J205" s="40">
        <f>Source!R100</f>
        <v>327.27999999999997</v>
      </c>
      <c r="K205" s="39"/>
    </row>
    <row r="206" spans="1:22" ht="14.25" x14ac:dyDescent="0.2">
      <c r="A206" s="34"/>
      <c r="B206" s="35"/>
      <c r="C206" s="35" t="s">
        <v>556</v>
      </c>
      <c r="D206" s="36"/>
      <c r="E206" s="9"/>
      <c r="F206" s="38">
        <f>Source!AL100</f>
        <v>18967.62</v>
      </c>
      <c r="G206" s="37" t="str">
        <f>Source!DD100</f>
        <v/>
      </c>
      <c r="H206" s="9">
        <f>Source!AW100</f>
        <v>1</v>
      </c>
      <c r="I206" s="9">
        <f>IF(Source!BC100&lt;&gt; 0, Source!BC100, 1)</f>
        <v>1</v>
      </c>
      <c r="J206" s="39">
        <f>Source!P100</f>
        <v>15932.8</v>
      </c>
      <c r="K206" s="39"/>
    </row>
    <row r="207" spans="1:22" ht="14.25" x14ac:dyDescent="0.2">
      <c r="A207" s="34"/>
      <c r="B207" s="35"/>
      <c r="C207" s="35" t="s">
        <v>550</v>
      </c>
      <c r="D207" s="36" t="s">
        <v>551</v>
      </c>
      <c r="E207" s="9">
        <f>Source!AT100</f>
        <v>70</v>
      </c>
      <c r="F207" s="38"/>
      <c r="G207" s="37"/>
      <c r="H207" s="9"/>
      <c r="I207" s="9"/>
      <c r="J207" s="39">
        <f>SUM(R201:R206)</f>
        <v>354.35</v>
      </c>
      <c r="K207" s="39"/>
    </row>
    <row r="208" spans="1:22" ht="14.25" x14ac:dyDescent="0.2">
      <c r="A208" s="34"/>
      <c r="B208" s="35"/>
      <c r="C208" s="35" t="s">
        <v>552</v>
      </c>
      <c r="D208" s="36" t="s">
        <v>551</v>
      </c>
      <c r="E208" s="9">
        <f>Source!AU100</f>
        <v>10</v>
      </c>
      <c r="F208" s="38"/>
      <c r="G208" s="37"/>
      <c r="H208" s="9"/>
      <c r="I208" s="9"/>
      <c r="J208" s="39">
        <f>SUM(T201:T207)</f>
        <v>50.62</v>
      </c>
      <c r="K208" s="39"/>
    </row>
    <row r="209" spans="1:22" ht="14.25" x14ac:dyDescent="0.2">
      <c r="A209" s="34"/>
      <c r="B209" s="35"/>
      <c r="C209" s="35" t="s">
        <v>553</v>
      </c>
      <c r="D209" s="36" t="s">
        <v>551</v>
      </c>
      <c r="E209" s="9">
        <f>108</f>
        <v>108</v>
      </c>
      <c r="F209" s="38"/>
      <c r="G209" s="37"/>
      <c r="H209" s="9"/>
      <c r="I209" s="9"/>
      <c r="J209" s="39">
        <f>SUM(V201:V208)</f>
        <v>353.46</v>
      </c>
      <c r="K209" s="39"/>
    </row>
    <row r="210" spans="1:22" ht="14.25" x14ac:dyDescent="0.2">
      <c r="A210" s="34"/>
      <c r="B210" s="35"/>
      <c r="C210" s="35" t="s">
        <v>554</v>
      </c>
      <c r="D210" s="36" t="s">
        <v>555</v>
      </c>
      <c r="E210" s="9">
        <f>Source!AQ100</f>
        <v>2.65</v>
      </c>
      <c r="F210" s="38"/>
      <c r="G210" s="37" t="str">
        <f>Source!DI100</f>
        <v/>
      </c>
      <c r="H210" s="9">
        <f>Source!AV100</f>
        <v>1</v>
      </c>
      <c r="I210" s="9"/>
      <c r="J210" s="39"/>
      <c r="K210" s="39">
        <f>Source!U100</f>
        <v>2.226</v>
      </c>
    </row>
    <row r="211" spans="1:22" ht="15" x14ac:dyDescent="0.25">
      <c r="A211" s="45"/>
      <c r="B211" s="45"/>
      <c r="C211" s="45"/>
      <c r="D211" s="45"/>
      <c r="E211" s="45"/>
      <c r="F211" s="45"/>
      <c r="G211" s="45"/>
      <c r="H211" s="45"/>
      <c r="I211" s="46">
        <f>J203+J204+J206+J207+J208+J209</f>
        <v>17611.449999999997</v>
      </c>
      <c r="J211" s="46"/>
      <c r="K211" s="47">
        <f>IF(Source!I100&lt;&gt;0, ROUND(I211/Source!I100, 2), 0)</f>
        <v>20966.009999999998</v>
      </c>
      <c r="P211" s="41">
        <f>I211</f>
        <v>17611.449999999997</v>
      </c>
    </row>
    <row r="212" spans="1:22" ht="57" x14ac:dyDescent="0.2">
      <c r="A212" s="34" t="str">
        <f>Source!E103</f>
        <v>20</v>
      </c>
      <c r="B212" s="35" t="str">
        <f>Source!F103</f>
        <v>2.1-3203-1-5/1</v>
      </c>
      <c r="C212" s="35" t="str">
        <f>Source!G103</f>
        <v>Установка бортовых камней бетонных газонных и садовых марка 2ГБ 60.8.20, цвет серый, при цементобетонных покрытиях</v>
      </c>
      <c r="D212" s="36" t="str">
        <f>Source!H103</f>
        <v>100 м</v>
      </c>
      <c r="E212" s="9">
        <f>Source!I103</f>
        <v>0.36799999999999999</v>
      </c>
      <c r="F212" s="38"/>
      <c r="G212" s="37"/>
      <c r="H212" s="9"/>
      <c r="I212" s="9"/>
      <c r="J212" s="39"/>
      <c r="K212" s="39"/>
      <c r="Q212">
        <f>ROUND((Source!BZ103/100)*ROUND((Source!AF103*Source!AV103)*Source!I103, 2), 2)</f>
        <v>3808.05</v>
      </c>
      <c r="R212">
        <f>Source!X103</f>
        <v>3808.05</v>
      </c>
      <c r="S212">
        <f>ROUND((Source!CA103/100)*ROUND((Source!AF103*Source!AV103)*Source!I103, 2), 2)</f>
        <v>544.01</v>
      </c>
      <c r="T212">
        <f>Source!Y103</f>
        <v>544.01</v>
      </c>
      <c r="U212">
        <f>ROUND((175/100)*ROUND((Source!AE103*Source!AV103)*Source!I103, 2), 2)</f>
        <v>62.16</v>
      </c>
      <c r="V212">
        <f>ROUND((108/100)*ROUND(Source!CS103*Source!I103, 2), 2)</f>
        <v>38.36</v>
      </c>
    </row>
    <row r="213" spans="1:22" x14ac:dyDescent="0.2">
      <c r="C213" s="48" t="str">
        <f>"Объем: "&amp;Source!I103&amp;"=36,8/"&amp;"100"</f>
        <v>Объем: 0,368=36,8/100</v>
      </c>
    </row>
    <row r="214" spans="1:22" ht="14.25" x14ac:dyDescent="0.2">
      <c r="A214" s="34"/>
      <c r="B214" s="35"/>
      <c r="C214" s="35" t="s">
        <v>547</v>
      </c>
      <c r="D214" s="36"/>
      <c r="E214" s="9"/>
      <c r="F214" s="38">
        <f>Source!AO103</f>
        <v>14782.81</v>
      </c>
      <c r="G214" s="37" t="str">
        <f>Source!DG103</f>
        <v/>
      </c>
      <c r="H214" s="9">
        <f>Source!AV103</f>
        <v>1</v>
      </c>
      <c r="I214" s="9">
        <f>IF(Source!BA103&lt;&gt; 0, Source!BA103, 1)</f>
        <v>1</v>
      </c>
      <c r="J214" s="39">
        <f>Source!S103</f>
        <v>5440.07</v>
      </c>
      <c r="K214" s="39"/>
    </row>
    <row r="215" spans="1:22" ht="14.25" x14ac:dyDescent="0.2">
      <c r="A215" s="34"/>
      <c r="B215" s="35"/>
      <c r="C215" s="35" t="s">
        <v>548</v>
      </c>
      <c r="D215" s="36"/>
      <c r="E215" s="9"/>
      <c r="F215" s="38">
        <f>Source!AM103</f>
        <v>177.81</v>
      </c>
      <c r="G215" s="37" t="str">
        <f>Source!DE103</f>
        <v/>
      </c>
      <c r="H215" s="9">
        <f>Source!AV103</f>
        <v>1</v>
      </c>
      <c r="I215" s="9">
        <f>IF(Source!BB103&lt;&gt; 0, Source!BB103, 1)</f>
        <v>1</v>
      </c>
      <c r="J215" s="39">
        <f>Source!Q103</f>
        <v>65.430000000000007</v>
      </c>
      <c r="K215" s="39"/>
    </row>
    <row r="216" spans="1:22" ht="14.25" x14ac:dyDescent="0.2">
      <c r="A216" s="34"/>
      <c r="B216" s="35"/>
      <c r="C216" s="35" t="s">
        <v>549</v>
      </c>
      <c r="D216" s="36"/>
      <c r="E216" s="9"/>
      <c r="F216" s="38">
        <f>Source!AN103</f>
        <v>96.53</v>
      </c>
      <c r="G216" s="37" t="str">
        <f>Source!DF103</f>
        <v/>
      </c>
      <c r="H216" s="9">
        <f>Source!AV103</f>
        <v>1</v>
      </c>
      <c r="I216" s="9">
        <f>IF(Source!BS103&lt;&gt; 0, Source!BS103, 1)</f>
        <v>1</v>
      </c>
      <c r="J216" s="40">
        <f>Source!R103</f>
        <v>35.520000000000003</v>
      </c>
      <c r="K216" s="39"/>
    </row>
    <row r="217" spans="1:22" ht="14.25" x14ac:dyDescent="0.2">
      <c r="A217" s="34"/>
      <c r="B217" s="35"/>
      <c r="C217" s="35" t="s">
        <v>556</v>
      </c>
      <c r="D217" s="36"/>
      <c r="E217" s="9"/>
      <c r="F217" s="38">
        <f>Source!AL103</f>
        <v>34547.699999999997</v>
      </c>
      <c r="G217" s="37" t="str">
        <f>Source!DD103</f>
        <v/>
      </c>
      <c r="H217" s="9">
        <f>Source!AW103</f>
        <v>1</v>
      </c>
      <c r="I217" s="9">
        <f>IF(Source!BC103&lt;&gt; 0, Source!BC103, 1)</f>
        <v>1</v>
      </c>
      <c r="J217" s="39">
        <f>Source!P103</f>
        <v>12713.55</v>
      </c>
      <c r="K217" s="39"/>
    </row>
    <row r="218" spans="1:22" ht="14.25" x14ac:dyDescent="0.2">
      <c r="A218" s="34"/>
      <c r="B218" s="35"/>
      <c r="C218" s="35" t="s">
        <v>550</v>
      </c>
      <c r="D218" s="36" t="s">
        <v>551</v>
      </c>
      <c r="E218" s="9">
        <f>Source!AT103</f>
        <v>70</v>
      </c>
      <c r="F218" s="38"/>
      <c r="G218" s="37"/>
      <c r="H218" s="9"/>
      <c r="I218" s="9"/>
      <c r="J218" s="39">
        <f>SUM(R212:R217)</f>
        <v>3808.05</v>
      </c>
      <c r="K218" s="39"/>
    </row>
    <row r="219" spans="1:22" ht="14.25" x14ac:dyDescent="0.2">
      <c r="A219" s="34"/>
      <c r="B219" s="35"/>
      <c r="C219" s="35" t="s">
        <v>552</v>
      </c>
      <c r="D219" s="36" t="s">
        <v>551</v>
      </c>
      <c r="E219" s="9">
        <f>Source!AU103</f>
        <v>10</v>
      </c>
      <c r="F219" s="38"/>
      <c r="G219" s="37"/>
      <c r="H219" s="9"/>
      <c r="I219" s="9"/>
      <c r="J219" s="39">
        <f>SUM(T212:T218)</f>
        <v>544.01</v>
      </c>
      <c r="K219" s="39"/>
    </row>
    <row r="220" spans="1:22" ht="14.25" x14ac:dyDescent="0.2">
      <c r="A220" s="34"/>
      <c r="B220" s="35"/>
      <c r="C220" s="35" t="s">
        <v>553</v>
      </c>
      <c r="D220" s="36" t="s">
        <v>551</v>
      </c>
      <c r="E220" s="9">
        <f>108</f>
        <v>108</v>
      </c>
      <c r="F220" s="38"/>
      <c r="G220" s="37"/>
      <c r="H220" s="9"/>
      <c r="I220" s="9"/>
      <c r="J220" s="39">
        <f>SUM(V212:V219)</f>
        <v>38.36</v>
      </c>
      <c r="K220" s="39"/>
    </row>
    <row r="221" spans="1:22" ht="14.25" x14ac:dyDescent="0.2">
      <c r="A221" s="34"/>
      <c r="B221" s="35"/>
      <c r="C221" s="35" t="s">
        <v>554</v>
      </c>
      <c r="D221" s="36" t="s">
        <v>555</v>
      </c>
      <c r="E221" s="9">
        <f>Source!AQ103</f>
        <v>72.95</v>
      </c>
      <c r="F221" s="38"/>
      <c r="G221" s="37" t="str">
        <f>Source!DI103</f>
        <v/>
      </c>
      <c r="H221" s="9">
        <f>Source!AV103</f>
        <v>1</v>
      </c>
      <c r="I221" s="9"/>
      <c r="J221" s="39"/>
      <c r="K221" s="39">
        <f>Source!U103</f>
        <v>26.845600000000001</v>
      </c>
    </row>
    <row r="222" spans="1:22" ht="15" x14ac:dyDescent="0.25">
      <c r="A222" s="45"/>
      <c r="B222" s="45"/>
      <c r="C222" s="45"/>
      <c r="D222" s="45"/>
      <c r="E222" s="45"/>
      <c r="F222" s="45"/>
      <c r="G222" s="45"/>
      <c r="H222" s="45"/>
      <c r="I222" s="46">
        <f>J214+J215+J217+J218+J219+J220</f>
        <v>22609.469999999998</v>
      </c>
      <c r="J222" s="46"/>
      <c r="K222" s="47">
        <f>IF(Source!I103&lt;&gt;0, ROUND(I222/Source!I103, 2), 0)</f>
        <v>61438.78</v>
      </c>
      <c r="P222" s="41">
        <f>I222</f>
        <v>22609.469999999998</v>
      </c>
    </row>
    <row r="223" spans="1:22" ht="57" x14ac:dyDescent="0.2">
      <c r="A223" s="34" t="str">
        <f>Source!E104</f>
        <v>21</v>
      </c>
      <c r="B223" s="35" t="str">
        <f>Source!F104</f>
        <v>5.3-3203-7-5/1</v>
      </c>
      <c r="C223" s="35" t="str">
        <f>Source!G104</f>
        <v>Устройство калиток с установкой столбов металлических (без стоимости металлических изделий полотен калиток и стоек опорных)</v>
      </c>
      <c r="D223" s="36" t="str">
        <f>Source!H104</f>
        <v>100 шт.</v>
      </c>
      <c r="E223" s="9">
        <f>Source!I104</f>
        <v>0.05</v>
      </c>
      <c r="F223" s="38"/>
      <c r="G223" s="37"/>
      <c r="H223" s="9"/>
      <c r="I223" s="9"/>
      <c r="J223" s="39"/>
      <c r="K223" s="39"/>
      <c r="Q223">
        <f>ROUND((Source!BZ104/100)*ROUND((Source!AF104*Source!AV104)*Source!I104, 2), 2)</f>
        <v>8014.39</v>
      </c>
      <c r="R223">
        <f>Source!X104</f>
        <v>8014.39</v>
      </c>
      <c r="S223">
        <f>ROUND((Source!CA104/100)*ROUND((Source!AF104*Source!AV104)*Source!I104, 2), 2)</f>
        <v>1144.9100000000001</v>
      </c>
      <c r="T223">
        <f>Source!Y104</f>
        <v>1144.9100000000001</v>
      </c>
      <c r="U223">
        <f>ROUND((175/100)*ROUND((Source!AE104*Source!AV104)*Source!I104, 2), 2)</f>
        <v>5.95</v>
      </c>
      <c r="V223">
        <f>ROUND((108/100)*ROUND(Source!CS104*Source!I104, 2), 2)</f>
        <v>3.67</v>
      </c>
    </row>
    <row r="224" spans="1:22" x14ac:dyDescent="0.2">
      <c r="C224" s="48" t="str">
        <f>"Объем: "&amp;Source!I104&amp;"=5/"&amp;"100"</f>
        <v>Объем: 0,05=5/100</v>
      </c>
    </row>
    <row r="225" spans="1:22" ht="14.25" x14ac:dyDescent="0.2">
      <c r="A225" s="34"/>
      <c r="B225" s="35"/>
      <c r="C225" s="35" t="s">
        <v>547</v>
      </c>
      <c r="D225" s="36"/>
      <c r="E225" s="9"/>
      <c r="F225" s="38">
        <f>Source!AO104</f>
        <v>228982.53</v>
      </c>
      <c r="G225" s="37" t="str">
        <f>Source!DG104</f>
        <v/>
      </c>
      <c r="H225" s="9">
        <f>Source!AV104</f>
        <v>1</v>
      </c>
      <c r="I225" s="9">
        <f>IF(Source!BA104&lt;&gt; 0, Source!BA104, 1)</f>
        <v>1</v>
      </c>
      <c r="J225" s="39">
        <f>Source!S104</f>
        <v>11449.13</v>
      </c>
      <c r="K225" s="39"/>
    </row>
    <row r="226" spans="1:22" ht="14.25" x14ac:dyDescent="0.2">
      <c r="A226" s="34"/>
      <c r="B226" s="35"/>
      <c r="C226" s="35" t="s">
        <v>548</v>
      </c>
      <c r="D226" s="36"/>
      <c r="E226" s="9"/>
      <c r="F226" s="38">
        <f>Source!AM104</f>
        <v>544.27</v>
      </c>
      <c r="G226" s="37" t="str">
        <f>Source!DE104</f>
        <v/>
      </c>
      <c r="H226" s="9">
        <f>Source!AV104</f>
        <v>1</v>
      </c>
      <c r="I226" s="9">
        <f>IF(Source!BB104&lt;&gt; 0, Source!BB104, 1)</f>
        <v>1</v>
      </c>
      <c r="J226" s="39">
        <f>Source!Q104</f>
        <v>27.21</v>
      </c>
      <c r="K226" s="39"/>
    </row>
    <row r="227" spans="1:22" ht="14.25" x14ac:dyDescent="0.2">
      <c r="A227" s="34"/>
      <c r="B227" s="35"/>
      <c r="C227" s="35" t="s">
        <v>549</v>
      </c>
      <c r="D227" s="36"/>
      <c r="E227" s="9"/>
      <c r="F227" s="38">
        <f>Source!AN104</f>
        <v>67.94</v>
      </c>
      <c r="G227" s="37" t="str">
        <f>Source!DF104</f>
        <v/>
      </c>
      <c r="H227" s="9">
        <f>Source!AV104</f>
        <v>1</v>
      </c>
      <c r="I227" s="9">
        <f>IF(Source!BS104&lt;&gt; 0, Source!BS104, 1)</f>
        <v>1</v>
      </c>
      <c r="J227" s="40">
        <f>Source!R104</f>
        <v>3.4</v>
      </c>
      <c r="K227" s="39"/>
    </row>
    <row r="228" spans="1:22" ht="14.25" x14ac:dyDescent="0.2">
      <c r="A228" s="34"/>
      <c r="B228" s="35"/>
      <c r="C228" s="35" t="s">
        <v>556</v>
      </c>
      <c r="D228" s="36"/>
      <c r="E228" s="9"/>
      <c r="F228" s="38">
        <f>Source!AL104</f>
        <v>17852.89</v>
      </c>
      <c r="G228" s="37" t="str">
        <f>Source!DD104</f>
        <v/>
      </c>
      <c r="H228" s="9">
        <f>Source!AW104</f>
        <v>1</v>
      </c>
      <c r="I228" s="9">
        <f>IF(Source!BC104&lt;&gt; 0, Source!BC104, 1)</f>
        <v>1</v>
      </c>
      <c r="J228" s="39">
        <f>Source!P104</f>
        <v>892.64</v>
      </c>
      <c r="K228" s="39"/>
    </row>
    <row r="229" spans="1:22" ht="28.5" x14ac:dyDescent="0.2">
      <c r="A229" s="34" t="str">
        <f>Source!E105</f>
        <v>21,1</v>
      </c>
      <c r="B229" s="35" t="str">
        <f>Source!F105</f>
        <v>21.1-5-5</v>
      </c>
      <c r="C229" s="35" t="str">
        <f>Source!G105</f>
        <v>Кирпич керамический обыкновенный, размер 250х120х65 мм, марка 100</v>
      </c>
      <c r="D229" s="36" t="str">
        <f>Source!H105</f>
        <v>1000 шт.</v>
      </c>
      <c r="E229" s="9">
        <f>Source!I105</f>
        <v>-1.8500000000000001E-3</v>
      </c>
      <c r="F229" s="38">
        <f>Source!AK105</f>
        <v>10419.43</v>
      </c>
      <c r="G229" s="49" t="s">
        <v>3</v>
      </c>
      <c r="H229" s="9">
        <f>Source!AW105</f>
        <v>1</v>
      </c>
      <c r="I229" s="9">
        <f>IF(Source!BC105&lt;&gt; 0, Source!BC105, 1)</f>
        <v>1</v>
      </c>
      <c r="J229" s="39">
        <f>Source!O105</f>
        <v>-19.28</v>
      </c>
      <c r="K229" s="39"/>
      <c r="Q229">
        <f>ROUND((Source!BZ105/100)*ROUND((Source!AF105*Source!AV105)*Source!I105, 2), 2)</f>
        <v>0</v>
      </c>
      <c r="R229">
        <f>Source!X105</f>
        <v>0</v>
      </c>
      <c r="S229">
        <f>ROUND((Source!CA105/100)*ROUND((Source!AF105*Source!AV105)*Source!I105, 2), 2)</f>
        <v>0</v>
      </c>
      <c r="T229">
        <f>Source!Y105</f>
        <v>0</v>
      </c>
      <c r="U229">
        <f>ROUND((175/100)*ROUND((Source!AE105*Source!AV105)*Source!I105, 2), 2)</f>
        <v>0</v>
      </c>
      <c r="V229">
        <f>ROUND((108/100)*ROUND(Source!CS105*Source!I105, 2), 2)</f>
        <v>0</v>
      </c>
    </row>
    <row r="230" spans="1:22" ht="14.25" x14ac:dyDescent="0.2">
      <c r="A230" s="34" t="str">
        <f>Source!E106</f>
        <v>21,2</v>
      </c>
      <c r="B230" s="35" t="str">
        <f>Source!F106</f>
        <v>22.1-6-52</v>
      </c>
      <c r="C230" s="35" t="str">
        <f>Source!G106</f>
        <v>Вибраторы глубинные</v>
      </c>
      <c r="D230" s="36" t="str">
        <f>Source!H106</f>
        <v>маш.-ч</v>
      </c>
      <c r="E230" s="9">
        <f>Source!I106</f>
        <v>-0.27200000000000002</v>
      </c>
      <c r="F230" s="38">
        <f>Source!AK106</f>
        <v>10.82</v>
      </c>
      <c r="G230" s="49" t="s">
        <v>3</v>
      </c>
      <c r="H230" s="9">
        <f>Source!AV106</f>
        <v>1</v>
      </c>
      <c r="I230" s="9">
        <f>IF(Source!BB106&lt;&gt; 0, Source!BB106, 1)</f>
        <v>1</v>
      </c>
      <c r="J230" s="39">
        <f>Source!O106</f>
        <v>-2.94</v>
      </c>
      <c r="K230" s="39"/>
      <c r="Q230">
        <f>ROUND((Source!BZ106/100)*ROUND((Source!AF106*Source!AV106)*Source!I106, 2), 2)</f>
        <v>0</v>
      </c>
      <c r="R230">
        <f>Source!X106</f>
        <v>0</v>
      </c>
      <c r="S230">
        <f>ROUND((Source!CA106/100)*ROUND((Source!AF106*Source!AV106)*Source!I106, 2), 2)</f>
        <v>0</v>
      </c>
      <c r="T230">
        <f>Source!Y106</f>
        <v>0</v>
      </c>
      <c r="U230">
        <f>ROUND((175/100)*ROUND((Source!AE106*Source!AV106)*Source!I106, 2), 2)</f>
        <v>-1.42</v>
      </c>
      <c r="V230">
        <f>ROUND((108/100)*ROUND(Source!CS106*Source!I106, 2), 2)</f>
        <v>-0.87</v>
      </c>
    </row>
    <row r="231" spans="1:22" ht="28.5" x14ac:dyDescent="0.2">
      <c r="A231" s="34" t="str">
        <f>Source!E107</f>
        <v>21,3</v>
      </c>
      <c r="B231" s="35" t="str">
        <f>Source!F107</f>
        <v>22.1-13-14</v>
      </c>
      <c r="C231" s="35" t="str">
        <f>Source!G107</f>
        <v>Установки для сварки ручной дуговой (постоянного тока)</v>
      </c>
      <c r="D231" s="36" t="str">
        <f>Source!H107</f>
        <v>маш.-ч</v>
      </c>
      <c r="E231" s="9">
        <f>Source!I107</f>
        <v>-0.72499999999999998</v>
      </c>
      <c r="F231" s="38">
        <f>Source!AK107</f>
        <v>27.21</v>
      </c>
      <c r="G231" s="49" t="s">
        <v>3</v>
      </c>
      <c r="H231" s="9">
        <f>Source!AV107</f>
        <v>1</v>
      </c>
      <c r="I231" s="9">
        <f>IF(Source!BB107&lt;&gt; 0, Source!BB107, 1)</f>
        <v>1</v>
      </c>
      <c r="J231" s="39">
        <f>Source!O107</f>
        <v>-19.73</v>
      </c>
      <c r="K231" s="39"/>
      <c r="Q231">
        <f>ROUND((Source!BZ107/100)*ROUND((Source!AF107*Source!AV107)*Source!I107, 2), 2)</f>
        <v>0</v>
      </c>
      <c r="R231">
        <f>Source!X107</f>
        <v>0</v>
      </c>
      <c r="S231">
        <f>ROUND((Source!CA107/100)*ROUND((Source!AF107*Source!AV107)*Source!I107, 2), 2)</f>
        <v>0</v>
      </c>
      <c r="T231">
        <f>Source!Y107</f>
        <v>0</v>
      </c>
      <c r="U231">
        <f>ROUND((175/100)*ROUND((Source!AE107*Source!AV107)*Source!I107, 2), 2)</f>
        <v>-0.16</v>
      </c>
      <c r="V231">
        <f>ROUND((108/100)*ROUND(Source!CS107*Source!I107, 2), 2)</f>
        <v>-0.1</v>
      </c>
    </row>
    <row r="232" spans="1:22" ht="42.75" x14ac:dyDescent="0.2">
      <c r="A232" s="34" t="str">
        <f>Source!E108</f>
        <v>21,4</v>
      </c>
      <c r="B232" s="35" t="str">
        <f>Source!F108</f>
        <v>22.1-1-1</v>
      </c>
      <c r="C232" s="35" t="str">
        <f>Source!G108</f>
        <v>Экскаваторы на гусеничном ходу гидравлические, объем ковша до 0,25 м3</v>
      </c>
      <c r="D232" s="36" t="str">
        <f>Source!H108</f>
        <v>маш.-ч</v>
      </c>
      <c r="E232" s="9">
        <f>Source!I108</f>
        <v>-4.4999999999999997E-3</v>
      </c>
      <c r="F232" s="38">
        <f>Source!AK108</f>
        <v>1009.65</v>
      </c>
      <c r="G232" s="49" t="s">
        <v>3</v>
      </c>
      <c r="H232" s="9">
        <f>Source!AV108</f>
        <v>1</v>
      </c>
      <c r="I232" s="9">
        <f>IF(Source!BB108&lt;&gt; 0, Source!BB108, 1)</f>
        <v>1</v>
      </c>
      <c r="J232" s="39">
        <f>Source!O108</f>
        <v>-4.54</v>
      </c>
      <c r="K232" s="39"/>
      <c r="Q232">
        <f>ROUND((Source!BZ108/100)*ROUND((Source!AF108*Source!AV108)*Source!I108, 2), 2)</f>
        <v>0</v>
      </c>
      <c r="R232">
        <f>Source!X108</f>
        <v>0</v>
      </c>
      <c r="S232">
        <f>ROUND((Source!CA108/100)*ROUND((Source!AF108*Source!AV108)*Source!I108, 2), 2)</f>
        <v>0</v>
      </c>
      <c r="T232">
        <f>Source!Y108</f>
        <v>0</v>
      </c>
      <c r="U232">
        <f>ROUND((175/100)*ROUND((Source!AE108*Source!AV108)*Source!I108, 2), 2)</f>
        <v>-4.3600000000000003</v>
      </c>
      <c r="V232">
        <f>ROUND((108/100)*ROUND(Source!CS108*Source!I108, 2), 2)</f>
        <v>-2.69</v>
      </c>
    </row>
    <row r="233" spans="1:22" ht="42.75" x14ac:dyDescent="0.2">
      <c r="A233" s="34" t="str">
        <f>Source!E109</f>
        <v>21,5</v>
      </c>
      <c r="B233" s="35" t="str">
        <f>Source!F109</f>
        <v>21.3-1-2</v>
      </c>
      <c r="C233" s="35" t="str">
        <f>Source!G109</f>
        <v>Смеси бетонные, БСГ, песчаного бетона на обогащенном песке, класс прочности: В12,5 (М150)</v>
      </c>
      <c r="D233" s="36" t="str">
        <f>Source!H109</f>
        <v>м3</v>
      </c>
      <c r="E233" s="9">
        <f>Source!I109</f>
        <v>-0.25</v>
      </c>
      <c r="F233" s="38">
        <f>Source!AK109</f>
        <v>3040.38</v>
      </c>
      <c r="G233" s="49" t="s">
        <v>3</v>
      </c>
      <c r="H233" s="9">
        <f>Source!AW109</f>
        <v>1</v>
      </c>
      <c r="I233" s="9">
        <f>IF(Source!BC109&lt;&gt; 0, Source!BC109, 1)</f>
        <v>1</v>
      </c>
      <c r="J233" s="39">
        <f>Source!O109</f>
        <v>-760.1</v>
      </c>
      <c r="K233" s="39"/>
      <c r="Q233">
        <f>ROUND((Source!BZ109/100)*ROUND((Source!AF109*Source!AV109)*Source!I109, 2), 2)</f>
        <v>0</v>
      </c>
      <c r="R233">
        <f>Source!X109</f>
        <v>0</v>
      </c>
      <c r="S233">
        <f>ROUND((Source!CA109/100)*ROUND((Source!AF109*Source!AV109)*Source!I109, 2), 2)</f>
        <v>0</v>
      </c>
      <c r="T233">
        <f>Source!Y109</f>
        <v>0</v>
      </c>
      <c r="U233">
        <f>ROUND((175/100)*ROUND((Source!AE109*Source!AV109)*Source!I109, 2), 2)</f>
        <v>0</v>
      </c>
      <c r="V233">
        <f>ROUND((108/100)*ROUND(Source!CS109*Source!I109, 2), 2)</f>
        <v>0</v>
      </c>
    </row>
    <row r="234" spans="1:22" ht="28.5" x14ac:dyDescent="0.2">
      <c r="A234" s="34" t="str">
        <f>Source!E110</f>
        <v>21,6</v>
      </c>
      <c r="B234" s="35" t="str">
        <f>Source!F110</f>
        <v>21.1-23-9</v>
      </c>
      <c r="C234" s="35" t="str">
        <f>Source!G110</f>
        <v>Электроды, тип Э-42, 46, 50, диаметр 4 - 6 мм</v>
      </c>
      <c r="D234" s="36" t="str">
        <f>Source!H110</f>
        <v>т</v>
      </c>
      <c r="E234" s="9">
        <f>Source!I110</f>
        <v>-1E-3</v>
      </c>
      <c r="F234" s="38">
        <f>Source!AK110</f>
        <v>110781.14</v>
      </c>
      <c r="G234" s="49" t="s">
        <v>3</v>
      </c>
      <c r="H234" s="9">
        <f>Source!AW110</f>
        <v>1</v>
      </c>
      <c r="I234" s="9">
        <f>IF(Source!BC110&lt;&gt; 0, Source!BC110, 1)</f>
        <v>1</v>
      </c>
      <c r="J234" s="39">
        <f>Source!O110</f>
        <v>-110.78</v>
      </c>
      <c r="K234" s="39"/>
      <c r="Q234">
        <f>ROUND((Source!BZ110/100)*ROUND((Source!AF110*Source!AV110)*Source!I110, 2), 2)</f>
        <v>0</v>
      </c>
      <c r="R234">
        <f>Source!X110</f>
        <v>0</v>
      </c>
      <c r="S234">
        <f>ROUND((Source!CA110/100)*ROUND((Source!AF110*Source!AV110)*Source!I110, 2), 2)</f>
        <v>0</v>
      </c>
      <c r="T234">
        <f>Source!Y110</f>
        <v>0</v>
      </c>
      <c r="U234">
        <f>ROUND((175/100)*ROUND((Source!AE110*Source!AV110)*Source!I110, 2), 2)</f>
        <v>0</v>
      </c>
      <c r="V234">
        <f>ROUND((108/100)*ROUND(Source!CS110*Source!I110, 2), 2)</f>
        <v>0</v>
      </c>
    </row>
    <row r="235" spans="1:22" ht="111" x14ac:dyDescent="0.2">
      <c r="A235" s="34" t="str">
        <f>Source!E111</f>
        <v>21,7</v>
      </c>
      <c r="B235" s="35" t="str">
        <f>Source!F111</f>
        <v>по цене поставщика</v>
      </c>
      <c r="C235" s="35" t="s">
        <v>557</v>
      </c>
      <c r="D235" s="36" t="str">
        <f>Source!H111</f>
        <v>шт.</v>
      </c>
      <c r="E235" s="9">
        <f>Source!I111</f>
        <v>1</v>
      </c>
      <c r="F235" s="38">
        <f>Source!AK111</f>
        <v>17250</v>
      </c>
      <c r="G235" s="49" t="s">
        <v>3</v>
      </c>
      <c r="H235" s="9">
        <f>Source!AW111</f>
        <v>1</v>
      </c>
      <c r="I235" s="9">
        <f>IF(Source!BC111&lt;&gt; 0, Source!BC111, 1)</f>
        <v>1</v>
      </c>
      <c r="J235" s="39">
        <f>Source!O111</f>
        <v>17250</v>
      </c>
      <c r="K235" s="39"/>
      <c r="Q235">
        <f>ROUND((Source!BZ111/100)*ROUND((Source!AF111*Source!AV111)*Source!I111, 2), 2)</f>
        <v>0</v>
      </c>
      <c r="R235">
        <f>Source!X111</f>
        <v>0</v>
      </c>
      <c r="S235">
        <f>ROUND((Source!CA111/100)*ROUND((Source!AF111*Source!AV111)*Source!I111, 2), 2)</f>
        <v>0</v>
      </c>
      <c r="T235">
        <f>Source!Y111</f>
        <v>0</v>
      </c>
      <c r="U235">
        <f>ROUND((175/100)*ROUND((Source!AE111*Source!AV111)*Source!I111, 2), 2)</f>
        <v>0</v>
      </c>
      <c r="V235">
        <f>ROUND((108/100)*ROUND(Source!CS111*Source!I111, 2), 2)</f>
        <v>0</v>
      </c>
    </row>
    <row r="236" spans="1:22" ht="111" x14ac:dyDescent="0.2">
      <c r="A236" s="34" t="str">
        <f>Source!E112</f>
        <v>21,8</v>
      </c>
      <c r="B236" s="35" t="str">
        <f>Source!F112</f>
        <v>по цене поставщика</v>
      </c>
      <c r="C236" s="35" t="s">
        <v>561</v>
      </c>
      <c r="D236" s="36" t="str">
        <f>Source!H112</f>
        <v>шт.</v>
      </c>
      <c r="E236" s="9">
        <f>Source!I112</f>
        <v>1</v>
      </c>
      <c r="F236" s="38">
        <f>Source!AK112</f>
        <v>43083.33</v>
      </c>
      <c r="G236" s="49" t="s">
        <v>3</v>
      </c>
      <c r="H236" s="9">
        <f>Source!AW112</f>
        <v>1</v>
      </c>
      <c r="I236" s="9">
        <f>IF(Source!BC112&lt;&gt; 0, Source!BC112, 1)</f>
        <v>1</v>
      </c>
      <c r="J236" s="39">
        <f>Source!O112</f>
        <v>43083.33</v>
      </c>
      <c r="K236" s="39"/>
      <c r="Q236">
        <f>ROUND((Source!BZ112/100)*ROUND((Source!AF112*Source!AV112)*Source!I112, 2), 2)</f>
        <v>0</v>
      </c>
      <c r="R236">
        <f>Source!X112</f>
        <v>0</v>
      </c>
      <c r="S236">
        <f>ROUND((Source!CA112/100)*ROUND((Source!AF112*Source!AV112)*Source!I112, 2), 2)</f>
        <v>0</v>
      </c>
      <c r="T236">
        <f>Source!Y112</f>
        <v>0</v>
      </c>
      <c r="U236">
        <f>ROUND((175/100)*ROUND((Source!AE112*Source!AV112)*Source!I112, 2), 2)</f>
        <v>0</v>
      </c>
      <c r="V236">
        <f>ROUND((108/100)*ROUND(Source!CS112*Source!I112, 2), 2)</f>
        <v>0</v>
      </c>
    </row>
    <row r="237" spans="1:22" ht="111" x14ac:dyDescent="0.2">
      <c r="A237" s="34" t="str">
        <f>Source!E113</f>
        <v>21,9</v>
      </c>
      <c r="B237" s="35" t="str">
        <f>Source!F113</f>
        <v>по цене поставщика</v>
      </c>
      <c r="C237" s="35" t="s">
        <v>562</v>
      </c>
      <c r="D237" s="36" t="str">
        <f>Source!H113</f>
        <v>шт.</v>
      </c>
      <c r="E237" s="9">
        <f>Source!I113</f>
        <v>1</v>
      </c>
      <c r="F237" s="38">
        <f>Source!AK113</f>
        <v>40166.67</v>
      </c>
      <c r="G237" s="49" t="s">
        <v>3</v>
      </c>
      <c r="H237" s="9">
        <f>Source!AW113</f>
        <v>1</v>
      </c>
      <c r="I237" s="9">
        <f>IF(Source!BC113&lt;&gt; 0, Source!BC113, 1)</f>
        <v>1</v>
      </c>
      <c r="J237" s="39">
        <f>Source!O113</f>
        <v>40166.67</v>
      </c>
      <c r="K237" s="39"/>
      <c r="Q237">
        <f>ROUND((Source!BZ113/100)*ROUND((Source!AF113*Source!AV113)*Source!I113, 2), 2)</f>
        <v>0</v>
      </c>
      <c r="R237">
        <f>Source!X113</f>
        <v>0</v>
      </c>
      <c r="S237">
        <f>ROUND((Source!CA113/100)*ROUND((Source!AF113*Source!AV113)*Source!I113, 2), 2)</f>
        <v>0</v>
      </c>
      <c r="T237">
        <f>Source!Y113</f>
        <v>0</v>
      </c>
      <c r="U237">
        <f>ROUND((175/100)*ROUND((Source!AE113*Source!AV113)*Source!I113, 2), 2)</f>
        <v>0</v>
      </c>
      <c r="V237">
        <f>ROUND((108/100)*ROUND(Source!CS113*Source!I113, 2), 2)</f>
        <v>0</v>
      </c>
    </row>
    <row r="238" spans="1:22" ht="125.25" x14ac:dyDescent="0.2">
      <c r="A238" s="34" t="str">
        <f>Source!E114</f>
        <v>21,10</v>
      </c>
      <c r="B238" s="35" t="str">
        <f>Source!F114</f>
        <v>по цене поставщика</v>
      </c>
      <c r="C238" s="35" t="s">
        <v>563</v>
      </c>
      <c r="D238" s="36" t="str">
        <f>Source!H114</f>
        <v>шт.</v>
      </c>
      <c r="E238" s="9">
        <f>Source!I114</f>
        <v>1</v>
      </c>
      <c r="F238" s="38">
        <f>Source!AK114</f>
        <v>48916.67</v>
      </c>
      <c r="G238" s="49" t="s">
        <v>3</v>
      </c>
      <c r="H238" s="9">
        <f>Source!AW114</f>
        <v>1</v>
      </c>
      <c r="I238" s="9">
        <f>IF(Source!BC114&lt;&gt; 0, Source!BC114, 1)</f>
        <v>1</v>
      </c>
      <c r="J238" s="39">
        <f>Source!O114</f>
        <v>48916.67</v>
      </c>
      <c r="K238" s="39"/>
      <c r="Q238">
        <f>ROUND((Source!BZ114/100)*ROUND((Source!AF114*Source!AV114)*Source!I114, 2), 2)</f>
        <v>0</v>
      </c>
      <c r="R238">
        <f>Source!X114</f>
        <v>0</v>
      </c>
      <c r="S238">
        <f>ROUND((Source!CA114/100)*ROUND((Source!AF114*Source!AV114)*Source!I114, 2), 2)</f>
        <v>0</v>
      </c>
      <c r="T238">
        <f>Source!Y114</f>
        <v>0</v>
      </c>
      <c r="U238">
        <f>ROUND((175/100)*ROUND((Source!AE114*Source!AV114)*Source!I114, 2), 2)</f>
        <v>0</v>
      </c>
      <c r="V238">
        <f>ROUND((108/100)*ROUND(Source!CS114*Source!I114, 2), 2)</f>
        <v>0</v>
      </c>
    </row>
    <row r="239" spans="1:22" ht="96.75" x14ac:dyDescent="0.2">
      <c r="A239" s="34" t="str">
        <f>Source!E115</f>
        <v>21,11</v>
      </c>
      <c r="B239" s="35" t="str">
        <f>Source!F115</f>
        <v>по цене поставщика</v>
      </c>
      <c r="C239" s="35" t="s">
        <v>564</v>
      </c>
      <c r="D239" s="36" t="str">
        <f>Source!H115</f>
        <v>шт.</v>
      </c>
      <c r="E239" s="9">
        <f>Source!I115</f>
        <v>1</v>
      </c>
      <c r="F239" s="38">
        <f>Source!AK115</f>
        <v>10833.33</v>
      </c>
      <c r="G239" s="49" t="s">
        <v>3</v>
      </c>
      <c r="H239" s="9">
        <f>Source!AW115</f>
        <v>1</v>
      </c>
      <c r="I239" s="9">
        <f>IF(Source!BC115&lt;&gt; 0, Source!BC115, 1)</f>
        <v>1</v>
      </c>
      <c r="J239" s="39">
        <f>Source!O115</f>
        <v>10833.33</v>
      </c>
      <c r="K239" s="39"/>
      <c r="Q239">
        <f>ROUND((Source!BZ115/100)*ROUND((Source!AF115*Source!AV115)*Source!I115, 2), 2)</f>
        <v>0</v>
      </c>
      <c r="R239">
        <f>Source!X115</f>
        <v>0</v>
      </c>
      <c r="S239">
        <f>ROUND((Source!CA115/100)*ROUND((Source!AF115*Source!AV115)*Source!I115, 2), 2)</f>
        <v>0</v>
      </c>
      <c r="T239">
        <f>Source!Y115</f>
        <v>0</v>
      </c>
      <c r="U239">
        <f>ROUND((175/100)*ROUND((Source!AE115*Source!AV115)*Source!I115, 2), 2)</f>
        <v>0</v>
      </c>
      <c r="V239">
        <f>ROUND((108/100)*ROUND(Source!CS115*Source!I115, 2), 2)</f>
        <v>0</v>
      </c>
    </row>
    <row r="240" spans="1:22" ht="14.25" x14ac:dyDescent="0.2">
      <c r="A240" s="34"/>
      <c r="B240" s="35"/>
      <c r="C240" s="35" t="s">
        <v>550</v>
      </c>
      <c r="D240" s="36" t="s">
        <v>551</v>
      </c>
      <c r="E240" s="9">
        <f>Source!AT104</f>
        <v>70</v>
      </c>
      <c r="F240" s="38"/>
      <c r="G240" s="37"/>
      <c r="H240" s="9"/>
      <c r="I240" s="9"/>
      <c r="J240" s="39">
        <f>SUM(R223:R239)</f>
        <v>8014.39</v>
      </c>
      <c r="K240" s="39"/>
    </row>
    <row r="241" spans="1:22" ht="14.25" x14ac:dyDescent="0.2">
      <c r="A241" s="34"/>
      <c r="B241" s="35"/>
      <c r="C241" s="35" t="s">
        <v>552</v>
      </c>
      <c r="D241" s="36" t="s">
        <v>551</v>
      </c>
      <c r="E241" s="9">
        <f>Source!AU104</f>
        <v>10</v>
      </c>
      <c r="F241" s="38"/>
      <c r="G241" s="37"/>
      <c r="H241" s="9"/>
      <c r="I241" s="9"/>
      <c r="J241" s="39">
        <f>SUM(T223:T240)</f>
        <v>1144.9100000000001</v>
      </c>
      <c r="K241" s="39"/>
    </row>
    <row r="242" spans="1:22" ht="14.25" x14ac:dyDescent="0.2">
      <c r="A242" s="34"/>
      <c r="B242" s="35"/>
      <c r="C242" s="35" t="s">
        <v>553</v>
      </c>
      <c r="D242" s="36" t="s">
        <v>551</v>
      </c>
      <c r="E242" s="9">
        <f>108</f>
        <v>108</v>
      </c>
      <c r="F242" s="38"/>
      <c r="G242" s="37"/>
      <c r="H242" s="9"/>
      <c r="I242" s="9"/>
      <c r="J242" s="39">
        <f>SUM(V223:V241)</f>
        <v>9.9999999999997868E-3</v>
      </c>
      <c r="K242" s="39"/>
    </row>
    <row r="243" spans="1:22" ht="14.25" x14ac:dyDescent="0.2">
      <c r="A243" s="34"/>
      <c r="B243" s="35"/>
      <c r="C243" s="35" t="s">
        <v>554</v>
      </c>
      <c r="D243" s="36" t="s">
        <v>555</v>
      </c>
      <c r="E243" s="9">
        <f>Source!AQ104</f>
        <v>902.75</v>
      </c>
      <c r="F243" s="38"/>
      <c r="G243" s="37" t="str">
        <f>Source!DI104</f>
        <v/>
      </c>
      <c r="H243" s="9">
        <f>Source!AV104</f>
        <v>1</v>
      </c>
      <c r="I243" s="9"/>
      <c r="J243" s="39"/>
      <c r="K243" s="39">
        <f>Source!U104</f>
        <v>45.137500000000003</v>
      </c>
    </row>
    <row r="244" spans="1:22" ht="15" x14ac:dyDescent="0.25">
      <c r="A244" s="45"/>
      <c r="B244" s="45"/>
      <c r="C244" s="45"/>
      <c r="D244" s="45"/>
      <c r="E244" s="45"/>
      <c r="F244" s="45"/>
      <c r="G244" s="45"/>
      <c r="H244" s="45"/>
      <c r="I244" s="46">
        <f>J225+J226+J228+J240+J241+J242+SUM(J229:J239)</f>
        <v>180860.91999999998</v>
      </c>
      <c r="J244" s="46"/>
      <c r="K244" s="47">
        <f>IF(Source!I104&lt;&gt;0, ROUND(I244/Source!I104, 2), 0)</f>
        <v>3617218.4</v>
      </c>
      <c r="P244" s="41">
        <f>I244</f>
        <v>180860.91999999998</v>
      </c>
    </row>
    <row r="246" spans="1:22" ht="15" x14ac:dyDescent="0.25">
      <c r="A246" s="52" t="str">
        <f>CONCATENATE("Итого по подразделу: ",IF(Source!G117&lt;&gt;"Новый подраздел", Source!G117, ""))</f>
        <v>Итого по подразделу: Игровая площадка группы №12</v>
      </c>
      <c r="B246" s="52"/>
      <c r="C246" s="52"/>
      <c r="D246" s="52"/>
      <c r="E246" s="52"/>
      <c r="F246" s="52"/>
      <c r="G246" s="52"/>
      <c r="H246" s="52"/>
      <c r="I246" s="43">
        <f>SUM(P148:P245)</f>
        <v>406236.52</v>
      </c>
      <c r="J246" s="51"/>
      <c r="K246" s="50"/>
    </row>
    <row r="249" spans="1:22" ht="16.5" x14ac:dyDescent="0.25">
      <c r="A249" s="33" t="str">
        <f>CONCATENATE("Подраздел: ",IF(Source!G147&lt;&gt;"Новый подраздел", Source!G147, ""))</f>
        <v>Подраздел: Игровая площадка группы № 11</v>
      </c>
      <c r="B249" s="33"/>
      <c r="C249" s="33"/>
      <c r="D249" s="33"/>
      <c r="E249" s="33"/>
      <c r="F249" s="33"/>
      <c r="G249" s="33"/>
      <c r="H249" s="33"/>
      <c r="I249" s="33"/>
      <c r="J249" s="33"/>
      <c r="K249" s="33"/>
    </row>
    <row r="250" spans="1:22" ht="42.75" x14ac:dyDescent="0.2">
      <c r="A250" s="34" t="str">
        <f>Source!E151</f>
        <v>22</v>
      </c>
      <c r="B250" s="35" t="str">
        <f>Source!F151</f>
        <v>5.4-3203-2-1/1</v>
      </c>
      <c r="C250" s="35" t="str">
        <f>Source!G151</f>
        <v>Устройство корыта под газоны и цветники с планировкой дна в грунтах 1 и 2 группы</v>
      </c>
      <c r="D250" s="36" t="str">
        <f>Source!H151</f>
        <v>м3</v>
      </c>
      <c r="E250" s="9">
        <f>Source!I151</f>
        <v>28.64</v>
      </c>
      <c r="F250" s="38"/>
      <c r="G250" s="37"/>
      <c r="H250" s="9"/>
      <c r="I250" s="9"/>
      <c r="J250" s="39"/>
      <c r="K250" s="39"/>
      <c r="Q250">
        <f>ROUND((Source!BZ151/100)*ROUND((Source!AF151*Source!AV151)*Source!I151, 2), 2)</f>
        <v>10323.719999999999</v>
      </c>
      <c r="R250">
        <f>Source!X151</f>
        <v>10323.719999999999</v>
      </c>
      <c r="S250">
        <f>ROUND((Source!CA151/100)*ROUND((Source!AF151*Source!AV151)*Source!I151, 2), 2)</f>
        <v>1474.82</v>
      </c>
      <c r="T250">
        <f>Source!Y151</f>
        <v>1474.82</v>
      </c>
      <c r="U250">
        <f>ROUND((175/100)*ROUND((Source!AE151*Source!AV151)*Source!I151, 2), 2)</f>
        <v>0</v>
      </c>
      <c r="V250">
        <f>ROUND((108/100)*ROUND(Source!CS151*Source!I151, 2), 2)</f>
        <v>0</v>
      </c>
    </row>
    <row r="251" spans="1:22" ht="14.25" x14ac:dyDescent="0.2">
      <c r="A251" s="34"/>
      <c r="B251" s="35"/>
      <c r="C251" s="35" t="s">
        <v>547</v>
      </c>
      <c r="D251" s="36"/>
      <c r="E251" s="9"/>
      <c r="F251" s="38">
        <f>Source!AO151</f>
        <v>514.95000000000005</v>
      </c>
      <c r="G251" s="37" t="str">
        <f>Source!DG151</f>
        <v/>
      </c>
      <c r="H251" s="9">
        <f>Source!AV151</f>
        <v>1</v>
      </c>
      <c r="I251" s="9">
        <f>IF(Source!BA151&lt;&gt; 0, Source!BA151, 1)</f>
        <v>1</v>
      </c>
      <c r="J251" s="39">
        <f>Source!S151</f>
        <v>14748.17</v>
      </c>
      <c r="K251" s="39"/>
    </row>
    <row r="252" spans="1:22" ht="14.25" x14ac:dyDescent="0.2">
      <c r="A252" s="34"/>
      <c r="B252" s="35"/>
      <c r="C252" s="35" t="s">
        <v>550</v>
      </c>
      <c r="D252" s="36" t="s">
        <v>551</v>
      </c>
      <c r="E252" s="9">
        <f>Source!AT151</f>
        <v>70</v>
      </c>
      <c r="F252" s="38"/>
      <c r="G252" s="37"/>
      <c r="H252" s="9"/>
      <c r="I252" s="9"/>
      <c r="J252" s="39">
        <f>SUM(R250:R251)</f>
        <v>10323.719999999999</v>
      </c>
      <c r="K252" s="39"/>
    </row>
    <row r="253" spans="1:22" ht="14.25" x14ac:dyDescent="0.2">
      <c r="A253" s="34"/>
      <c r="B253" s="35"/>
      <c r="C253" s="35" t="s">
        <v>552</v>
      </c>
      <c r="D253" s="36" t="s">
        <v>551</v>
      </c>
      <c r="E253" s="9">
        <f>Source!AU151</f>
        <v>10</v>
      </c>
      <c r="F253" s="38"/>
      <c r="G253" s="37"/>
      <c r="H253" s="9"/>
      <c r="I253" s="9"/>
      <c r="J253" s="39">
        <f>SUM(T250:T252)</f>
        <v>1474.82</v>
      </c>
      <c r="K253" s="39"/>
    </row>
    <row r="254" spans="1:22" ht="14.25" x14ac:dyDescent="0.2">
      <c r="A254" s="34"/>
      <c r="B254" s="35"/>
      <c r="C254" s="35" t="s">
        <v>554</v>
      </c>
      <c r="D254" s="36" t="s">
        <v>555</v>
      </c>
      <c r="E254" s="9">
        <f>Source!AQ151</f>
        <v>2.66</v>
      </c>
      <c r="F254" s="38"/>
      <c r="G254" s="37" t="str">
        <f>Source!DI151</f>
        <v/>
      </c>
      <c r="H254" s="9">
        <f>Source!AV151</f>
        <v>1</v>
      </c>
      <c r="I254" s="9"/>
      <c r="J254" s="39"/>
      <c r="K254" s="39">
        <f>Source!U151</f>
        <v>76.182400000000001</v>
      </c>
    </row>
    <row r="255" spans="1:22" ht="15" x14ac:dyDescent="0.25">
      <c r="A255" s="45"/>
      <c r="B255" s="45"/>
      <c r="C255" s="45"/>
      <c r="D255" s="45"/>
      <c r="E255" s="45"/>
      <c r="F255" s="45"/>
      <c r="G255" s="45"/>
      <c r="H255" s="45"/>
      <c r="I255" s="46">
        <f>J251+J252+J253</f>
        <v>26546.71</v>
      </c>
      <c r="J255" s="46"/>
      <c r="K255" s="47">
        <f>IF(Source!I151&lt;&gt;0, ROUND(I255/Source!I151, 2), 0)</f>
        <v>926.91</v>
      </c>
      <c r="P255" s="41">
        <f>I255</f>
        <v>26546.71</v>
      </c>
    </row>
    <row r="256" spans="1:22" ht="42.75" x14ac:dyDescent="0.2">
      <c r="A256" s="34" t="str">
        <f>Source!E152</f>
        <v>23</v>
      </c>
      <c r="B256" s="35" t="str">
        <f>Source!F152</f>
        <v>2.1-3303-1-1/1</v>
      </c>
      <c r="C256" s="35" t="str">
        <f>Source!G152</f>
        <v>Устройство подстилающих и выравнивающих слоев оснований из песка (10см)</v>
      </c>
      <c r="D256" s="36" t="str">
        <f>Source!H152</f>
        <v>100 м3</v>
      </c>
      <c r="E256" s="9">
        <f>Source!I152</f>
        <v>0.1033</v>
      </c>
      <c r="F256" s="38"/>
      <c r="G256" s="37"/>
      <c r="H256" s="9"/>
      <c r="I256" s="9"/>
      <c r="J256" s="39"/>
      <c r="K256" s="39"/>
      <c r="Q256">
        <f>ROUND((Source!BZ152/100)*ROUND((Source!AF152*Source!AV152)*Source!I152, 2), 2)</f>
        <v>224.13</v>
      </c>
      <c r="R256">
        <f>Source!X152</f>
        <v>224.13</v>
      </c>
      <c r="S256">
        <f>ROUND((Source!CA152/100)*ROUND((Source!AF152*Source!AV152)*Source!I152, 2), 2)</f>
        <v>32.020000000000003</v>
      </c>
      <c r="T256">
        <f>Source!Y152</f>
        <v>32.020000000000003</v>
      </c>
      <c r="U256">
        <f>ROUND((175/100)*ROUND((Source!AE152*Source!AV152)*Source!I152, 2), 2)</f>
        <v>582.63</v>
      </c>
      <c r="V256">
        <f>ROUND((108/100)*ROUND(Source!CS152*Source!I152, 2), 2)</f>
        <v>359.56</v>
      </c>
    </row>
    <row r="257" spans="1:22" x14ac:dyDescent="0.2">
      <c r="C257" s="48" t="str">
        <f>"Объем: "&amp;Source!I152&amp;"=10,33/"&amp;"100"</f>
        <v>Объем: 0,1033=10,33/100</v>
      </c>
    </row>
    <row r="258" spans="1:22" ht="14.25" x14ac:dyDescent="0.2">
      <c r="A258" s="34"/>
      <c r="B258" s="35"/>
      <c r="C258" s="35" t="s">
        <v>547</v>
      </c>
      <c r="D258" s="36"/>
      <c r="E258" s="9"/>
      <c r="F258" s="38">
        <f>Source!AO152</f>
        <v>3099.54</v>
      </c>
      <c r="G258" s="37" t="str">
        <f>Source!DG152</f>
        <v/>
      </c>
      <c r="H258" s="9">
        <f>Source!AV152</f>
        <v>1</v>
      </c>
      <c r="I258" s="9">
        <f>IF(Source!BA152&lt;&gt; 0, Source!BA152, 1)</f>
        <v>1</v>
      </c>
      <c r="J258" s="39">
        <f>Source!S152</f>
        <v>320.18</v>
      </c>
      <c r="K258" s="39"/>
    </row>
    <row r="259" spans="1:22" ht="14.25" x14ac:dyDescent="0.2">
      <c r="A259" s="34"/>
      <c r="B259" s="35"/>
      <c r="C259" s="35" t="s">
        <v>548</v>
      </c>
      <c r="D259" s="36"/>
      <c r="E259" s="9"/>
      <c r="F259" s="38">
        <f>Source!AM152</f>
        <v>7602.23</v>
      </c>
      <c r="G259" s="37" t="str">
        <f>Source!DE152</f>
        <v/>
      </c>
      <c r="H259" s="9">
        <f>Source!AV152</f>
        <v>1</v>
      </c>
      <c r="I259" s="9">
        <f>IF(Source!BB152&lt;&gt; 0, Source!BB152, 1)</f>
        <v>1</v>
      </c>
      <c r="J259" s="39">
        <f>Source!Q152</f>
        <v>785.31</v>
      </c>
      <c r="K259" s="39"/>
    </row>
    <row r="260" spans="1:22" ht="14.25" x14ac:dyDescent="0.2">
      <c r="A260" s="34"/>
      <c r="B260" s="35"/>
      <c r="C260" s="35" t="s">
        <v>549</v>
      </c>
      <c r="D260" s="36"/>
      <c r="E260" s="9"/>
      <c r="F260" s="38">
        <f>Source!AN152</f>
        <v>3222.98</v>
      </c>
      <c r="G260" s="37" t="str">
        <f>Source!DF152</f>
        <v/>
      </c>
      <c r="H260" s="9">
        <f>Source!AV152</f>
        <v>1</v>
      </c>
      <c r="I260" s="9">
        <f>IF(Source!BS152&lt;&gt; 0, Source!BS152, 1)</f>
        <v>1</v>
      </c>
      <c r="J260" s="40">
        <f>Source!R152</f>
        <v>332.93</v>
      </c>
      <c r="K260" s="39"/>
    </row>
    <row r="261" spans="1:22" ht="14.25" x14ac:dyDescent="0.2">
      <c r="A261" s="34"/>
      <c r="B261" s="35"/>
      <c r="C261" s="35" t="s">
        <v>556</v>
      </c>
      <c r="D261" s="36"/>
      <c r="E261" s="9"/>
      <c r="F261" s="38">
        <f>Source!AL152</f>
        <v>65162.05</v>
      </c>
      <c r="G261" s="37" t="str">
        <f>Source!DD152</f>
        <v/>
      </c>
      <c r="H261" s="9">
        <f>Source!AW152</f>
        <v>1</v>
      </c>
      <c r="I261" s="9">
        <f>IF(Source!BC152&lt;&gt; 0, Source!BC152, 1)</f>
        <v>1</v>
      </c>
      <c r="J261" s="39">
        <f>Source!P152</f>
        <v>6731.24</v>
      </c>
      <c r="K261" s="39"/>
    </row>
    <row r="262" spans="1:22" ht="14.25" x14ac:dyDescent="0.2">
      <c r="A262" s="34"/>
      <c r="B262" s="35"/>
      <c r="C262" s="35" t="s">
        <v>550</v>
      </c>
      <c r="D262" s="36" t="s">
        <v>551</v>
      </c>
      <c r="E262" s="9">
        <f>Source!AT152</f>
        <v>70</v>
      </c>
      <c r="F262" s="38"/>
      <c r="G262" s="37"/>
      <c r="H262" s="9"/>
      <c r="I262" s="9"/>
      <c r="J262" s="39">
        <f>SUM(R256:R261)</f>
        <v>224.13</v>
      </c>
      <c r="K262" s="39"/>
    </row>
    <row r="263" spans="1:22" ht="14.25" x14ac:dyDescent="0.2">
      <c r="A263" s="34"/>
      <c r="B263" s="35"/>
      <c r="C263" s="35" t="s">
        <v>552</v>
      </c>
      <c r="D263" s="36" t="s">
        <v>551</v>
      </c>
      <c r="E263" s="9">
        <f>Source!AU152</f>
        <v>10</v>
      </c>
      <c r="F263" s="38"/>
      <c r="G263" s="37"/>
      <c r="H263" s="9"/>
      <c r="I263" s="9"/>
      <c r="J263" s="39">
        <f>SUM(T256:T262)</f>
        <v>32.020000000000003</v>
      </c>
      <c r="K263" s="39"/>
    </row>
    <row r="264" spans="1:22" ht="14.25" x14ac:dyDescent="0.2">
      <c r="A264" s="34"/>
      <c r="B264" s="35"/>
      <c r="C264" s="35" t="s">
        <v>553</v>
      </c>
      <c r="D264" s="36" t="s">
        <v>551</v>
      </c>
      <c r="E264" s="9">
        <f>108</f>
        <v>108</v>
      </c>
      <c r="F264" s="38"/>
      <c r="G264" s="37"/>
      <c r="H264" s="9"/>
      <c r="I264" s="9"/>
      <c r="J264" s="39">
        <f>SUM(V256:V263)</f>
        <v>359.56</v>
      </c>
      <c r="K264" s="39"/>
    </row>
    <row r="265" spans="1:22" ht="14.25" x14ac:dyDescent="0.2">
      <c r="A265" s="34"/>
      <c r="B265" s="35"/>
      <c r="C265" s="35" t="s">
        <v>554</v>
      </c>
      <c r="D265" s="36" t="s">
        <v>555</v>
      </c>
      <c r="E265" s="9">
        <f>Source!AQ152</f>
        <v>16.559999999999999</v>
      </c>
      <c r="F265" s="38"/>
      <c r="G265" s="37" t="str">
        <f>Source!DI152</f>
        <v/>
      </c>
      <c r="H265" s="9">
        <f>Source!AV152</f>
        <v>1</v>
      </c>
      <c r="I265" s="9"/>
      <c r="J265" s="39"/>
      <c r="K265" s="39">
        <f>Source!U152</f>
        <v>1.7106479999999999</v>
      </c>
    </row>
    <row r="266" spans="1:22" ht="15" x14ac:dyDescent="0.25">
      <c r="A266" s="45"/>
      <c r="B266" s="45"/>
      <c r="C266" s="45"/>
      <c r="D266" s="45"/>
      <c r="E266" s="45"/>
      <c r="F266" s="45"/>
      <c r="G266" s="45"/>
      <c r="H266" s="45"/>
      <c r="I266" s="46">
        <f>J258+J259+J261+J262+J263+J264</f>
        <v>8452.44</v>
      </c>
      <c r="J266" s="46"/>
      <c r="K266" s="47">
        <f>IF(Source!I152&lt;&gt;0, ROUND(I266/Source!I152, 2), 0)</f>
        <v>81824.2</v>
      </c>
      <c r="P266" s="41">
        <f>I266</f>
        <v>8452.44</v>
      </c>
    </row>
    <row r="267" spans="1:22" ht="28.5" x14ac:dyDescent="0.2">
      <c r="A267" s="34" t="str">
        <f>Source!E153</f>
        <v>24</v>
      </c>
      <c r="B267" s="35" t="str">
        <f>Source!F153</f>
        <v>2.1-3303-10-1/1</v>
      </c>
      <c r="C267" s="35" t="str">
        <f>Source!G153</f>
        <v>Устройство оснований под тротуары или дорожки из щебня толщиной 12 см</v>
      </c>
      <c r="D267" s="36" t="str">
        <f>Source!H153</f>
        <v>100 м2</v>
      </c>
      <c r="E267" s="9">
        <f>Source!I153</f>
        <v>1.0232000000000001</v>
      </c>
      <c r="F267" s="38"/>
      <c r="G267" s="37"/>
      <c r="H267" s="9"/>
      <c r="I267" s="9"/>
      <c r="J267" s="39"/>
      <c r="K267" s="39"/>
      <c r="Q267">
        <f>ROUND((Source!BZ153/100)*ROUND((Source!AF153*Source!AV153)*Source!I153, 2), 2)</f>
        <v>4045.57</v>
      </c>
      <c r="R267">
        <f>Source!X153</f>
        <v>4045.57</v>
      </c>
      <c r="S267">
        <f>ROUND((Source!CA153/100)*ROUND((Source!AF153*Source!AV153)*Source!I153, 2), 2)</f>
        <v>577.94000000000005</v>
      </c>
      <c r="T267">
        <f>Source!Y153</f>
        <v>577.94000000000005</v>
      </c>
      <c r="U267">
        <f>ROUND((175/100)*ROUND((Source!AE153*Source!AV153)*Source!I153, 2), 2)</f>
        <v>2021.92</v>
      </c>
      <c r="V267">
        <f>ROUND((108/100)*ROUND(Source!CS153*Source!I153, 2), 2)</f>
        <v>1247.81</v>
      </c>
    </row>
    <row r="268" spans="1:22" x14ac:dyDescent="0.2">
      <c r="C268" s="48" t="str">
        <f>"Объем: "&amp;Source!I153&amp;"=102,32/"&amp;"100"</f>
        <v>Объем: 1,0232=102,32/100</v>
      </c>
    </row>
    <row r="269" spans="1:22" ht="14.25" x14ac:dyDescent="0.2">
      <c r="A269" s="34"/>
      <c r="B269" s="35"/>
      <c r="C269" s="35" t="s">
        <v>547</v>
      </c>
      <c r="D269" s="36"/>
      <c r="E269" s="9"/>
      <c r="F269" s="38">
        <f>Source!AO153</f>
        <v>5648.35</v>
      </c>
      <c r="G269" s="37" t="str">
        <f>Source!DG153</f>
        <v/>
      </c>
      <c r="H269" s="9">
        <f>Source!AV153</f>
        <v>1</v>
      </c>
      <c r="I269" s="9">
        <f>IF(Source!BA153&lt;&gt; 0, Source!BA153, 1)</f>
        <v>1</v>
      </c>
      <c r="J269" s="39">
        <f>Source!S153</f>
        <v>5779.39</v>
      </c>
      <c r="K269" s="39"/>
    </row>
    <row r="270" spans="1:22" ht="14.25" x14ac:dyDescent="0.2">
      <c r="A270" s="34"/>
      <c r="B270" s="35"/>
      <c r="C270" s="35" t="s">
        <v>548</v>
      </c>
      <c r="D270" s="36"/>
      <c r="E270" s="9"/>
      <c r="F270" s="38">
        <f>Source!AM153</f>
        <v>3236.38</v>
      </c>
      <c r="G270" s="37" t="str">
        <f>Source!DE153</f>
        <v/>
      </c>
      <c r="H270" s="9">
        <f>Source!AV153</f>
        <v>1</v>
      </c>
      <c r="I270" s="9">
        <f>IF(Source!BB153&lt;&gt; 0, Source!BB153, 1)</f>
        <v>1</v>
      </c>
      <c r="J270" s="39">
        <f>Source!Q153</f>
        <v>3311.46</v>
      </c>
      <c r="K270" s="39"/>
    </row>
    <row r="271" spans="1:22" ht="14.25" x14ac:dyDescent="0.2">
      <c r="A271" s="34"/>
      <c r="B271" s="35"/>
      <c r="C271" s="35" t="s">
        <v>549</v>
      </c>
      <c r="D271" s="36"/>
      <c r="E271" s="9"/>
      <c r="F271" s="38">
        <f>Source!AN153</f>
        <v>1129.18</v>
      </c>
      <c r="G271" s="37" t="str">
        <f>Source!DF153</f>
        <v/>
      </c>
      <c r="H271" s="9">
        <f>Source!AV153</f>
        <v>1</v>
      </c>
      <c r="I271" s="9">
        <f>IF(Source!BS153&lt;&gt; 0, Source!BS153, 1)</f>
        <v>1</v>
      </c>
      <c r="J271" s="40">
        <f>Source!R153</f>
        <v>1155.3800000000001</v>
      </c>
      <c r="K271" s="39"/>
    </row>
    <row r="272" spans="1:22" ht="14.25" x14ac:dyDescent="0.2">
      <c r="A272" s="34"/>
      <c r="B272" s="35"/>
      <c r="C272" s="35" t="s">
        <v>556</v>
      </c>
      <c r="D272" s="36"/>
      <c r="E272" s="9"/>
      <c r="F272" s="38">
        <f>Source!AL153</f>
        <v>25065.599999999999</v>
      </c>
      <c r="G272" s="37" t="str">
        <f>Source!DD153</f>
        <v/>
      </c>
      <c r="H272" s="9">
        <f>Source!AW153</f>
        <v>1</v>
      </c>
      <c r="I272" s="9">
        <f>IF(Source!BC153&lt;&gt; 0, Source!BC153, 1)</f>
        <v>1</v>
      </c>
      <c r="J272" s="39">
        <f>Source!P153</f>
        <v>25647.119999999999</v>
      </c>
      <c r="K272" s="39"/>
    </row>
    <row r="273" spans="1:22" ht="42.75" x14ac:dyDescent="0.2">
      <c r="A273" s="34" t="str">
        <f>Source!E154</f>
        <v>24,1</v>
      </c>
      <c r="B273" s="35" t="str">
        <f>Source!F154</f>
        <v>21.1-12-36</v>
      </c>
      <c r="C273" s="35" t="str">
        <f>Source!G154</f>
        <v>Щебень из естественного камня для строительных работ, марка 1200-800, фракция 20-40 мм</v>
      </c>
      <c r="D273" s="36" t="str">
        <f>Source!H154</f>
        <v>м3</v>
      </c>
      <c r="E273" s="9">
        <f>Source!I154</f>
        <v>17.80368</v>
      </c>
      <c r="F273" s="38">
        <f>Source!AK154</f>
        <v>1763.75</v>
      </c>
      <c r="G273" s="49" t="s">
        <v>3</v>
      </c>
      <c r="H273" s="9">
        <f>Source!AW154</f>
        <v>1</v>
      </c>
      <c r="I273" s="9">
        <f>IF(Source!BC154&lt;&gt; 0, Source!BC154, 1)</f>
        <v>1</v>
      </c>
      <c r="J273" s="39">
        <f>Source!O154</f>
        <v>31401.24</v>
      </c>
      <c r="K273" s="39"/>
      <c r="Q273">
        <f>ROUND((Source!BZ154/100)*ROUND((Source!AF154*Source!AV154)*Source!I154, 2), 2)</f>
        <v>0</v>
      </c>
      <c r="R273">
        <f>Source!X154</f>
        <v>0</v>
      </c>
      <c r="S273">
        <f>ROUND((Source!CA154/100)*ROUND((Source!AF154*Source!AV154)*Source!I154, 2), 2)</f>
        <v>0</v>
      </c>
      <c r="T273">
        <f>Source!Y154</f>
        <v>0</v>
      </c>
      <c r="U273">
        <f>ROUND((175/100)*ROUND((Source!AE154*Source!AV154)*Source!I154, 2), 2)</f>
        <v>0</v>
      </c>
      <c r="V273">
        <f>ROUND((108/100)*ROUND(Source!CS154*Source!I154, 2), 2)</f>
        <v>0</v>
      </c>
    </row>
    <row r="274" spans="1:22" ht="42.75" x14ac:dyDescent="0.2">
      <c r="A274" s="34" t="str">
        <f>Source!E155</f>
        <v>24,2</v>
      </c>
      <c r="B274" s="35" t="str">
        <f>Source!F155</f>
        <v>21.1-12-50</v>
      </c>
      <c r="C274" s="35" t="str">
        <f>Source!G155</f>
        <v>Щебень из естественного камня, декоративный, фракционированный известняковый</v>
      </c>
      <c r="D274" s="36" t="str">
        <f>Source!H155</f>
        <v>м3</v>
      </c>
      <c r="E274" s="9">
        <f>Source!I155</f>
        <v>-17.80368</v>
      </c>
      <c r="F274" s="38">
        <f>Source!AK155</f>
        <v>1436.5</v>
      </c>
      <c r="G274" s="49" t="s">
        <v>3</v>
      </c>
      <c r="H274" s="9">
        <f>Source!AW155</f>
        <v>1</v>
      </c>
      <c r="I274" s="9">
        <f>IF(Source!BC155&lt;&gt; 0, Source!BC155, 1)</f>
        <v>1</v>
      </c>
      <c r="J274" s="39">
        <f>Source!O155</f>
        <v>-25574.99</v>
      </c>
      <c r="K274" s="39"/>
      <c r="Q274">
        <f>ROUND((Source!BZ155/100)*ROUND((Source!AF155*Source!AV155)*Source!I155, 2), 2)</f>
        <v>0</v>
      </c>
      <c r="R274">
        <f>Source!X155</f>
        <v>0</v>
      </c>
      <c r="S274">
        <f>ROUND((Source!CA155/100)*ROUND((Source!AF155*Source!AV155)*Source!I155, 2), 2)</f>
        <v>0</v>
      </c>
      <c r="T274">
        <f>Source!Y155</f>
        <v>0</v>
      </c>
      <c r="U274">
        <f>ROUND((175/100)*ROUND((Source!AE155*Source!AV155)*Source!I155, 2), 2)</f>
        <v>0</v>
      </c>
      <c r="V274">
        <f>ROUND((108/100)*ROUND(Source!CS155*Source!I155, 2), 2)</f>
        <v>0</v>
      </c>
    </row>
    <row r="275" spans="1:22" ht="14.25" x14ac:dyDescent="0.2">
      <c r="A275" s="34"/>
      <c r="B275" s="35"/>
      <c r="C275" s="35" t="s">
        <v>550</v>
      </c>
      <c r="D275" s="36" t="s">
        <v>551</v>
      </c>
      <c r="E275" s="9">
        <f>Source!AT153</f>
        <v>70</v>
      </c>
      <c r="F275" s="38"/>
      <c r="G275" s="37"/>
      <c r="H275" s="9"/>
      <c r="I275" s="9"/>
      <c r="J275" s="39">
        <f>SUM(R267:R274)</f>
        <v>4045.57</v>
      </c>
      <c r="K275" s="39"/>
    </row>
    <row r="276" spans="1:22" ht="14.25" x14ac:dyDescent="0.2">
      <c r="A276" s="34"/>
      <c r="B276" s="35"/>
      <c r="C276" s="35" t="s">
        <v>552</v>
      </c>
      <c r="D276" s="36" t="s">
        <v>551</v>
      </c>
      <c r="E276" s="9">
        <f>Source!AU153</f>
        <v>10</v>
      </c>
      <c r="F276" s="38"/>
      <c r="G276" s="37"/>
      <c r="H276" s="9"/>
      <c r="I276" s="9"/>
      <c r="J276" s="39">
        <f>SUM(T267:T275)</f>
        <v>577.94000000000005</v>
      </c>
      <c r="K276" s="39"/>
    </row>
    <row r="277" spans="1:22" ht="14.25" x14ac:dyDescent="0.2">
      <c r="A277" s="34"/>
      <c r="B277" s="35"/>
      <c r="C277" s="35" t="s">
        <v>553</v>
      </c>
      <c r="D277" s="36" t="s">
        <v>551</v>
      </c>
      <c r="E277" s="9">
        <f>108</f>
        <v>108</v>
      </c>
      <c r="F277" s="38"/>
      <c r="G277" s="37"/>
      <c r="H277" s="9"/>
      <c r="I277" s="9"/>
      <c r="J277" s="39">
        <f>SUM(V267:V276)</f>
        <v>1247.81</v>
      </c>
      <c r="K277" s="39"/>
    </row>
    <row r="278" spans="1:22" ht="14.25" x14ac:dyDescent="0.2">
      <c r="A278" s="34"/>
      <c r="B278" s="35"/>
      <c r="C278" s="35" t="s">
        <v>554</v>
      </c>
      <c r="D278" s="36" t="s">
        <v>555</v>
      </c>
      <c r="E278" s="9">
        <f>Source!AQ153</f>
        <v>27.94</v>
      </c>
      <c r="F278" s="38"/>
      <c r="G278" s="37" t="str">
        <f>Source!DI153</f>
        <v/>
      </c>
      <c r="H278" s="9">
        <f>Source!AV153</f>
        <v>1</v>
      </c>
      <c r="I278" s="9"/>
      <c r="J278" s="39"/>
      <c r="K278" s="39">
        <f>Source!U153</f>
        <v>28.588208000000005</v>
      </c>
    </row>
    <row r="279" spans="1:22" ht="15" x14ac:dyDescent="0.25">
      <c r="A279" s="45"/>
      <c r="B279" s="45"/>
      <c r="C279" s="45"/>
      <c r="D279" s="45"/>
      <c r="E279" s="45"/>
      <c r="F279" s="45"/>
      <c r="G279" s="45"/>
      <c r="H279" s="45"/>
      <c r="I279" s="46">
        <f>J269+J270+J272+J275+J276+J277+SUM(J273:J274)</f>
        <v>46435.54</v>
      </c>
      <c r="J279" s="46"/>
      <c r="K279" s="47">
        <f>IF(Source!I153&lt;&gt;0, ROUND(I279/Source!I153, 2), 0)</f>
        <v>45382.66</v>
      </c>
      <c r="P279" s="41">
        <f>I279</f>
        <v>46435.54</v>
      </c>
    </row>
    <row r="280" spans="1:22" ht="71.25" x14ac:dyDescent="0.2">
      <c r="A280" s="34" t="str">
        <f>Source!E156</f>
        <v>25</v>
      </c>
      <c r="B280" s="35" t="str">
        <f>Source!F156</f>
        <v>2.1-3103-19-4/1</v>
      </c>
      <c r="C280" s="35" t="str">
        <f>Source!G156</f>
        <v>Устройство асфальтобетонных покрытий дорожек и тротуаров двухслойных, верхний слой из песчаной асфальтобетонной смеси толщиной 3 см</v>
      </c>
      <c r="D280" s="36" t="str">
        <f>Source!H156</f>
        <v>100 м2</v>
      </c>
      <c r="E280" s="9">
        <f>Source!I156</f>
        <v>1.0232000000000001</v>
      </c>
      <c r="F280" s="38"/>
      <c r="G280" s="37"/>
      <c r="H280" s="9"/>
      <c r="I280" s="9"/>
      <c r="J280" s="39"/>
      <c r="K280" s="39"/>
      <c r="Q280">
        <f>ROUND((Source!BZ156/100)*ROUND((Source!AF156*Source!AV156)*Source!I156, 2), 2)</f>
        <v>1686.74</v>
      </c>
      <c r="R280">
        <f>Source!X156</f>
        <v>1686.74</v>
      </c>
      <c r="S280">
        <f>ROUND((Source!CA156/100)*ROUND((Source!AF156*Source!AV156)*Source!I156, 2), 2)</f>
        <v>240.96</v>
      </c>
      <c r="T280">
        <f>Source!Y156</f>
        <v>240.96</v>
      </c>
      <c r="U280">
        <f>ROUND((175/100)*ROUND((Source!AE156*Source!AV156)*Source!I156, 2), 2)</f>
        <v>844.66</v>
      </c>
      <c r="V280">
        <f>ROUND((108/100)*ROUND(Source!CS156*Source!I156, 2), 2)</f>
        <v>521.27</v>
      </c>
    </row>
    <row r="281" spans="1:22" x14ac:dyDescent="0.2">
      <c r="C281" s="48" t="str">
        <f>"Объем: "&amp;Source!I156&amp;"=102,32/"&amp;"100"</f>
        <v>Объем: 1,0232=102,32/100</v>
      </c>
    </row>
    <row r="282" spans="1:22" ht="14.25" x14ac:dyDescent="0.2">
      <c r="A282" s="34"/>
      <c r="B282" s="35"/>
      <c r="C282" s="35" t="s">
        <v>547</v>
      </c>
      <c r="D282" s="36"/>
      <c r="E282" s="9"/>
      <c r="F282" s="38">
        <f>Source!AO156</f>
        <v>2354.9899999999998</v>
      </c>
      <c r="G282" s="37" t="str">
        <f>Source!DG156</f>
        <v/>
      </c>
      <c r="H282" s="9">
        <f>Source!AV156</f>
        <v>1</v>
      </c>
      <c r="I282" s="9">
        <f>IF(Source!BA156&lt;&gt; 0, Source!BA156, 1)</f>
        <v>1</v>
      </c>
      <c r="J282" s="39">
        <f>Source!S156</f>
        <v>2409.63</v>
      </c>
      <c r="K282" s="39"/>
    </row>
    <row r="283" spans="1:22" ht="14.25" x14ac:dyDescent="0.2">
      <c r="A283" s="34"/>
      <c r="B283" s="35"/>
      <c r="C283" s="35" t="s">
        <v>548</v>
      </c>
      <c r="D283" s="36"/>
      <c r="E283" s="9"/>
      <c r="F283" s="38">
        <f>Source!AM156</f>
        <v>1123.06</v>
      </c>
      <c r="G283" s="37" t="str">
        <f>Source!DE156</f>
        <v/>
      </c>
      <c r="H283" s="9">
        <f>Source!AV156</f>
        <v>1</v>
      </c>
      <c r="I283" s="9">
        <f>IF(Source!BB156&lt;&gt; 0, Source!BB156, 1)</f>
        <v>1</v>
      </c>
      <c r="J283" s="39">
        <f>Source!Q156</f>
        <v>1149.1099999999999</v>
      </c>
      <c r="K283" s="39"/>
    </row>
    <row r="284" spans="1:22" ht="14.25" x14ac:dyDescent="0.2">
      <c r="A284" s="34"/>
      <c r="B284" s="35"/>
      <c r="C284" s="35" t="s">
        <v>549</v>
      </c>
      <c r="D284" s="36"/>
      <c r="E284" s="9"/>
      <c r="F284" s="38">
        <f>Source!AN156</f>
        <v>471.72</v>
      </c>
      <c r="G284" s="37" t="str">
        <f>Source!DF156</f>
        <v/>
      </c>
      <c r="H284" s="9">
        <f>Source!AV156</f>
        <v>1</v>
      </c>
      <c r="I284" s="9">
        <f>IF(Source!BS156&lt;&gt; 0, Source!BS156, 1)</f>
        <v>1</v>
      </c>
      <c r="J284" s="40">
        <f>Source!R156</f>
        <v>482.66</v>
      </c>
      <c r="K284" s="39"/>
    </row>
    <row r="285" spans="1:22" ht="14.25" x14ac:dyDescent="0.2">
      <c r="A285" s="34"/>
      <c r="B285" s="35"/>
      <c r="C285" s="35" t="s">
        <v>556</v>
      </c>
      <c r="D285" s="36"/>
      <c r="E285" s="9"/>
      <c r="F285" s="38">
        <f>Source!AL156</f>
        <v>20488.849999999999</v>
      </c>
      <c r="G285" s="37" t="str">
        <f>Source!DD156</f>
        <v/>
      </c>
      <c r="H285" s="9">
        <f>Source!AW156</f>
        <v>1</v>
      </c>
      <c r="I285" s="9">
        <f>IF(Source!BC156&lt;&gt; 0, Source!BC156, 1)</f>
        <v>1</v>
      </c>
      <c r="J285" s="39">
        <f>Source!P156</f>
        <v>20964.189999999999</v>
      </c>
      <c r="K285" s="39"/>
    </row>
    <row r="286" spans="1:22" ht="14.25" x14ac:dyDescent="0.2">
      <c r="A286" s="34"/>
      <c r="B286" s="35"/>
      <c r="C286" s="35" t="s">
        <v>550</v>
      </c>
      <c r="D286" s="36" t="s">
        <v>551</v>
      </c>
      <c r="E286" s="9">
        <f>Source!AT156</f>
        <v>70</v>
      </c>
      <c r="F286" s="38"/>
      <c r="G286" s="37"/>
      <c r="H286" s="9"/>
      <c r="I286" s="9"/>
      <c r="J286" s="39">
        <f>SUM(R280:R285)</f>
        <v>1686.74</v>
      </c>
      <c r="K286" s="39"/>
    </row>
    <row r="287" spans="1:22" ht="14.25" x14ac:dyDescent="0.2">
      <c r="A287" s="34"/>
      <c r="B287" s="35"/>
      <c r="C287" s="35" t="s">
        <v>552</v>
      </c>
      <c r="D287" s="36" t="s">
        <v>551</v>
      </c>
      <c r="E287" s="9">
        <f>Source!AU156</f>
        <v>10</v>
      </c>
      <c r="F287" s="38"/>
      <c r="G287" s="37"/>
      <c r="H287" s="9"/>
      <c r="I287" s="9"/>
      <c r="J287" s="39">
        <f>SUM(T280:T286)</f>
        <v>240.96</v>
      </c>
      <c r="K287" s="39"/>
    </row>
    <row r="288" spans="1:22" ht="14.25" x14ac:dyDescent="0.2">
      <c r="A288" s="34"/>
      <c r="B288" s="35"/>
      <c r="C288" s="35" t="s">
        <v>553</v>
      </c>
      <c r="D288" s="36" t="s">
        <v>551</v>
      </c>
      <c r="E288" s="9">
        <f>108</f>
        <v>108</v>
      </c>
      <c r="F288" s="38"/>
      <c r="G288" s="37"/>
      <c r="H288" s="9"/>
      <c r="I288" s="9"/>
      <c r="J288" s="39">
        <f>SUM(V280:V287)</f>
        <v>521.27</v>
      </c>
      <c r="K288" s="39"/>
    </row>
    <row r="289" spans="1:22" ht="14.25" x14ac:dyDescent="0.2">
      <c r="A289" s="34"/>
      <c r="B289" s="35"/>
      <c r="C289" s="35" t="s">
        <v>554</v>
      </c>
      <c r="D289" s="36" t="s">
        <v>555</v>
      </c>
      <c r="E289" s="9">
        <f>Source!AQ156</f>
        <v>10.3</v>
      </c>
      <c r="F289" s="38"/>
      <c r="G289" s="37" t="str">
        <f>Source!DI156</f>
        <v/>
      </c>
      <c r="H289" s="9">
        <f>Source!AV156</f>
        <v>1</v>
      </c>
      <c r="I289" s="9"/>
      <c r="J289" s="39"/>
      <c r="K289" s="39">
        <f>Source!U156</f>
        <v>10.538960000000001</v>
      </c>
    </row>
    <row r="290" spans="1:22" ht="15" x14ac:dyDescent="0.25">
      <c r="A290" s="45"/>
      <c r="B290" s="45"/>
      <c r="C290" s="45"/>
      <c r="D290" s="45"/>
      <c r="E290" s="45"/>
      <c r="F290" s="45"/>
      <c r="G290" s="45"/>
      <c r="H290" s="45"/>
      <c r="I290" s="46">
        <f>J282+J283+J285+J286+J287+J288</f>
        <v>26971.9</v>
      </c>
      <c r="J290" s="46"/>
      <c r="K290" s="47">
        <f>IF(Source!I156&lt;&gt;0, ROUND(I290/Source!I156, 2), 0)</f>
        <v>26360.34</v>
      </c>
      <c r="P290" s="41">
        <f>I290</f>
        <v>26971.9</v>
      </c>
    </row>
    <row r="291" spans="1:22" ht="57" x14ac:dyDescent="0.2">
      <c r="A291" s="34" t="str">
        <f>Source!E157</f>
        <v>26</v>
      </c>
      <c r="B291" s="35" t="str">
        <f>Source!F157</f>
        <v>5.3-3103-11-1/1</v>
      </c>
      <c r="C291" s="35" t="str">
        <f>Source!G157</f>
        <v>Устройство наливного полиуретанового покрытия спортивных площадок и беговых дорожек толщиной 10 мм</v>
      </c>
      <c r="D291" s="36" t="str">
        <f>Source!H157</f>
        <v>100 м2</v>
      </c>
      <c r="E291" s="9">
        <f>Source!I157</f>
        <v>1.0232000000000001</v>
      </c>
      <c r="F291" s="38"/>
      <c r="G291" s="37"/>
      <c r="H291" s="9"/>
      <c r="I291" s="9"/>
      <c r="J291" s="39"/>
      <c r="K291" s="39"/>
      <c r="Q291">
        <f>ROUND((Source!BZ157/100)*ROUND((Source!AF157*Source!AV157)*Source!I157, 2), 2)</f>
        <v>2919.85</v>
      </c>
      <c r="R291">
        <f>Source!X157</f>
        <v>2919.85</v>
      </c>
      <c r="S291">
        <f>ROUND((Source!CA157/100)*ROUND((Source!AF157*Source!AV157)*Source!I157, 2), 2)</f>
        <v>417.12</v>
      </c>
      <c r="T291">
        <f>Source!Y157</f>
        <v>417.12</v>
      </c>
      <c r="U291">
        <f>ROUND((175/100)*ROUND((Source!AE157*Source!AV157)*Source!I157, 2), 2)</f>
        <v>3694.83</v>
      </c>
      <c r="V291">
        <f>ROUND((108/100)*ROUND(Source!CS157*Source!I157, 2), 2)</f>
        <v>2280.2399999999998</v>
      </c>
    </row>
    <row r="292" spans="1:22" x14ac:dyDescent="0.2">
      <c r="C292" s="48" t="str">
        <f>"Объем: "&amp;Source!I157&amp;"=102,32/"&amp;"100"</f>
        <v>Объем: 1,0232=102,32/100</v>
      </c>
    </row>
    <row r="293" spans="1:22" ht="14.25" x14ac:dyDescent="0.2">
      <c r="A293" s="34"/>
      <c r="B293" s="35"/>
      <c r="C293" s="35" t="s">
        <v>547</v>
      </c>
      <c r="D293" s="36"/>
      <c r="E293" s="9"/>
      <c r="F293" s="38">
        <f>Source!AO157</f>
        <v>4076.63</v>
      </c>
      <c r="G293" s="37" t="str">
        <f>Source!DG157</f>
        <v/>
      </c>
      <c r="H293" s="9">
        <f>Source!AV157</f>
        <v>1</v>
      </c>
      <c r="I293" s="9">
        <f>IF(Source!BA157&lt;&gt; 0, Source!BA157, 1)</f>
        <v>1</v>
      </c>
      <c r="J293" s="39">
        <f>Source!S157</f>
        <v>4171.21</v>
      </c>
      <c r="K293" s="39"/>
    </row>
    <row r="294" spans="1:22" ht="14.25" x14ac:dyDescent="0.2">
      <c r="A294" s="34"/>
      <c r="B294" s="35"/>
      <c r="C294" s="35" t="s">
        <v>548</v>
      </c>
      <c r="D294" s="36"/>
      <c r="E294" s="9"/>
      <c r="F294" s="38">
        <f>Source!AM157</f>
        <v>2617.25</v>
      </c>
      <c r="G294" s="37" t="str">
        <f>Source!DE157</f>
        <v/>
      </c>
      <c r="H294" s="9">
        <f>Source!AV157</f>
        <v>1</v>
      </c>
      <c r="I294" s="9">
        <f>IF(Source!BB157&lt;&gt; 0, Source!BB157, 1)</f>
        <v>1</v>
      </c>
      <c r="J294" s="39">
        <f>Source!Q157</f>
        <v>2677.97</v>
      </c>
      <c r="K294" s="39"/>
    </row>
    <row r="295" spans="1:22" ht="14.25" x14ac:dyDescent="0.2">
      <c r="A295" s="34"/>
      <c r="B295" s="35"/>
      <c r="C295" s="35" t="s">
        <v>549</v>
      </c>
      <c r="D295" s="36"/>
      <c r="E295" s="9"/>
      <c r="F295" s="38">
        <f>Source!AN157</f>
        <v>2063.46</v>
      </c>
      <c r="G295" s="37" t="str">
        <f>Source!DF157</f>
        <v/>
      </c>
      <c r="H295" s="9">
        <f>Source!AV157</f>
        <v>1</v>
      </c>
      <c r="I295" s="9">
        <f>IF(Source!BS157&lt;&gt; 0, Source!BS157, 1)</f>
        <v>1</v>
      </c>
      <c r="J295" s="40">
        <f>Source!R157</f>
        <v>2111.33</v>
      </c>
      <c r="K295" s="39"/>
    </row>
    <row r="296" spans="1:22" ht="14.25" x14ac:dyDescent="0.2">
      <c r="A296" s="34"/>
      <c r="B296" s="35"/>
      <c r="C296" s="35" t="s">
        <v>556</v>
      </c>
      <c r="D296" s="36"/>
      <c r="E296" s="9"/>
      <c r="F296" s="38">
        <f>Source!AL157</f>
        <v>102359.62</v>
      </c>
      <c r="G296" s="37" t="str">
        <f>Source!DD157</f>
        <v/>
      </c>
      <c r="H296" s="9">
        <f>Source!AW157</f>
        <v>1</v>
      </c>
      <c r="I296" s="9">
        <f>IF(Source!BC157&lt;&gt; 0, Source!BC157, 1)</f>
        <v>1</v>
      </c>
      <c r="J296" s="39">
        <f>Source!P157</f>
        <v>104734.36</v>
      </c>
      <c r="K296" s="39"/>
    </row>
    <row r="297" spans="1:22" ht="14.25" x14ac:dyDescent="0.2">
      <c r="A297" s="34"/>
      <c r="B297" s="35"/>
      <c r="C297" s="35" t="s">
        <v>550</v>
      </c>
      <c r="D297" s="36" t="s">
        <v>551</v>
      </c>
      <c r="E297" s="9">
        <f>Source!AT157</f>
        <v>70</v>
      </c>
      <c r="F297" s="38"/>
      <c r="G297" s="37"/>
      <c r="H297" s="9"/>
      <c r="I297" s="9"/>
      <c r="J297" s="39">
        <f>SUM(R291:R296)</f>
        <v>2919.85</v>
      </c>
      <c r="K297" s="39"/>
    </row>
    <row r="298" spans="1:22" ht="14.25" x14ac:dyDescent="0.2">
      <c r="A298" s="34"/>
      <c r="B298" s="35"/>
      <c r="C298" s="35" t="s">
        <v>552</v>
      </c>
      <c r="D298" s="36" t="s">
        <v>551</v>
      </c>
      <c r="E298" s="9">
        <f>Source!AU157</f>
        <v>10</v>
      </c>
      <c r="F298" s="38"/>
      <c r="G298" s="37"/>
      <c r="H298" s="9"/>
      <c r="I298" s="9"/>
      <c r="J298" s="39">
        <f>SUM(T291:T297)</f>
        <v>417.12</v>
      </c>
      <c r="K298" s="39"/>
    </row>
    <row r="299" spans="1:22" ht="14.25" x14ac:dyDescent="0.2">
      <c r="A299" s="34"/>
      <c r="B299" s="35"/>
      <c r="C299" s="35" t="s">
        <v>553</v>
      </c>
      <c r="D299" s="36" t="s">
        <v>551</v>
      </c>
      <c r="E299" s="9">
        <f>108</f>
        <v>108</v>
      </c>
      <c r="F299" s="38"/>
      <c r="G299" s="37"/>
      <c r="H299" s="9"/>
      <c r="I299" s="9"/>
      <c r="J299" s="39">
        <f>SUM(V291:V298)</f>
        <v>2280.2399999999998</v>
      </c>
      <c r="K299" s="39"/>
    </row>
    <row r="300" spans="1:22" ht="14.25" x14ac:dyDescent="0.2">
      <c r="A300" s="34"/>
      <c r="B300" s="35"/>
      <c r="C300" s="35" t="s">
        <v>554</v>
      </c>
      <c r="D300" s="36" t="s">
        <v>555</v>
      </c>
      <c r="E300" s="9">
        <f>Source!AQ157</f>
        <v>18.440000000000001</v>
      </c>
      <c r="F300" s="38"/>
      <c r="G300" s="37" t="str">
        <f>Source!DI157</f>
        <v/>
      </c>
      <c r="H300" s="9">
        <f>Source!AV157</f>
        <v>1</v>
      </c>
      <c r="I300" s="9"/>
      <c r="J300" s="39"/>
      <c r="K300" s="39">
        <f>Source!U157</f>
        <v>18.867808000000004</v>
      </c>
    </row>
    <row r="301" spans="1:22" ht="15" x14ac:dyDescent="0.25">
      <c r="A301" s="45"/>
      <c r="B301" s="45"/>
      <c r="C301" s="45"/>
      <c r="D301" s="45"/>
      <c r="E301" s="45"/>
      <c r="F301" s="45"/>
      <c r="G301" s="45"/>
      <c r="H301" s="45"/>
      <c r="I301" s="46">
        <f>J293+J294+J296+J297+J298+J299</f>
        <v>117200.75000000001</v>
      </c>
      <c r="J301" s="46"/>
      <c r="K301" s="47">
        <f>IF(Source!I157&lt;&gt;0, ROUND(I301/Source!I157, 2), 0)</f>
        <v>114543.34</v>
      </c>
      <c r="P301" s="41">
        <f>I301</f>
        <v>117200.75000000001</v>
      </c>
    </row>
    <row r="302" spans="1:22" ht="71.25" x14ac:dyDescent="0.2">
      <c r="A302" s="34" t="str">
        <f>Source!E158</f>
        <v>27</v>
      </c>
      <c r="B302" s="35" t="str">
        <f>Source!F158</f>
        <v>5.3-3103-11-2/1</v>
      </c>
      <c r="C302" s="35" t="str">
        <f>Source!G158</f>
        <v>Устройство наливного полиуретанового покрытия спортивных площадок и беговых дорожек, добавляется на 2 мм толщины покрытия</v>
      </c>
      <c r="D302" s="36" t="str">
        <f>Source!H158</f>
        <v>100 м2</v>
      </c>
      <c r="E302" s="9">
        <f>Source!I158</f>
        <v>1.0232000000000001</v>
      </c>
      <c r="F302" s="38"/>
      <c r="G302" s="37"/>
      <c r="H302" s="9"/>
      <c r="I302" s="9"/>
      <c r="J302" s="39"/>
      <c r="K302" s="39"/>
      <c r="Q302">
        <f>ROUND((Source!BZ158/100)*ROUND((Source!AF158*Source!AV158)*Source!I158, 2), 2)</f>
        <v>431.63</v>
      </c>
      <c r="R302">
        <f>Source!X158</f>
        <v>431.63</v>
      </c>
      <c r="S302">
        <f>ROUND((Source!CA158/100)*ROUND((Source!AF158*Source!AV158)*Source!I158, 2), 2)</f>
        <v>61.66</v>
      </c>
      <c r="T302">
        <f>Source!Y158</f>
        <v>61.66</v>
      </c>
      <c r="U302">
        <f>ROUND((175/100)*ROUND((Source!AE158*Source!AV158)*Source!I158, 2), 2)</f>
        <v>697.66</v>
      </c>
      <c r="V302">
        <f>ROUND((108/100)*ROUND(Source!CS158*Source!I158, 2), 2)</f>
        <v>430.55</v>
      </c>
    </row>
    <row r="303" spans="1:22" x14ac:dyDescent="0.2">
      <c r="C303" s="48" t="str">
        <f>"Объем: "&amp;Source!I158&amp;"=102,32/"&amp;"100"</f>
        <v>Объем: 1,0232=102,32/100</v>
      </c>
    </row>
    <row r="304" spans="1:22" ht="14.25" x14ac:dyDescent="0.2">
      <c r="A304" s="34"/>
      <c r="B304" s="35"/>
      <c r="C304" s="35" t="s">
        <v>547</v>
      </c>
      <c r="D304" s="36"/>
      <c r="E304" s="9"/>
      <c r="F304" s="38">
        <f>Source!AO158</f>
        <v>602.64</v>
      </c>
      <c r="G304" s="37" t="str">
        <f>Source!DG158</f>
        <v/>
      </c>
      <c r="H304" s="9">
        <f>Source!AV158</f>
        <v>1</v>
      </c>
      <c r="I304" s="9">
        <f>IF(Source!BA158&lt;&gt; 0, Source!BA158, 1)</f>
        <v>1</v>
      </c>
      <c r="J304" s="39">
        <f>Source!S158</f>
        <v>616.62</v>
      </c>
      <c r="K304" s="39"/>
    </row>
    <row r="305" spans="1:22" ht="14.25" x14ac:dyDescent="0.2">
      <c r="A305" s="34"/>
      <c r="B305" s="35"/>
      <c r="C305" s="35" t="s">
        <v>548</v>
      </c>
      <c r="D305" s="36"/>
      <c r="E305" s="9"/>
      <c r="F305" s="38">
        <f>Source!AM158</f>
        <v>492.86</v>
      </c>
      <c r="G305" s="37" t="str">
        <f>Source!DE158</f>
        <v/>
      </c>
      <c r="H305" s="9">
        <f>Source!AV158</f>
        <v>1</v>
      </c>
      <c r="I305" s="9">
        <f>IF(Source!BB158&lt;&gt; 0, Source!BB158, 1)</f>
        <v>1</v>
      </c>
      <c r="J305" s="39">
        <f>Source!Q158</f>
        <v>504.29</v>
      </c>
      <c r="K305" s="39"/>
    </row>
    <row r="306" spans="1:22" ht="14.25" x14ac:dyDescent="0.2">
      <c r="A306" s="34"/>
      <c r="B306" s="35"/>
      <c r="C306" s="35" t="s">
        <v>549</v>
      </c>
      <c r="D306" s="36"/>
      <c r="E306" s="9"/>
      <c r="F306" s="38">
        <f>Source!AN158</f>
        <v>389.62</v>
      </c>
      <c r="G306" s="37" t="str">
        <f>Source!DF158</f>
        <v/>
      </c>
      <c r="H306" s="9">
        <f>Source!AV158</f>
        <v>1</v>
      </c>
      <c r="I306" s="9">
        <f>IF(Source!BS158&lt;&gt; 0, Source!BS158, 1)</f>
        <v>1</v>
      </c>
      <c r="J306" s="40">
        <f>Source!R158</f>
        <v>398.66</v>
      </c>
      <c r="K306" s="39"/>
    </row>
    <row r="307" spans="1:22" ht="14.25" x14ac:dyDescent="0.2">
      <c r="A307" s="34"/>
      <c r="B307" s="35"/>
      <c r="C307" s="35" t="s">
        <v>556</v>
      </c>
      <c r="D307" s="36"/>
      <c r="E307" s="9"/>
      <c r="F307" s="38">
        <f>Source!AL158</f>
        <v>18967.62</v>
      </c>
      <c r="G307" s="37" t="str">
        <f>Source!DD158</f>
        <v/>
      </c>
      <c r="H307" s="9">
        <f>Source!AW158</f>
        <v>1</v>
      </c>
      <c r="I307" s="9">
        <f>IF(Source!BC158&lt;&gt; 0, Source!BC158, 1)</f>
        <v>1</v>
      </c>
      <c r="J307" s="39">
        <f>Source!P158</f>
        <v>19407.669999999998</v>
      </c>
      <c r="K307" s="39"/>
    </row>
    <row r="308" spans="1:22" ht="14.25" x14ac:dyDescent="0.2">
      <c r="A308" s="34"/>
      <c r="B308" s="35"/>
      <c r="C308" s="35" t="s">
        <v>550</v>
      </c>
      <c r="D308" s="36" t="s">
        <v>551</v>
      </c>
      <c r="E308" s="9">
        <f>Source!AT158</f>
        <v>70</v>
      </c>
      <c r="F308" s="38"/>
      <c r="G308" s="37"/>
      <c r="H308" s="9"/>
      <c r="I308" s="9"/>
      <c r="J308" s="39">
        <f>SUM(R302:R307)</f>
        <v>431.63</v>
      </c>
      <c r="K308" s="39"/>
    </row>
    <row r="309" spans="1:22" ht="14.25" x14ac:dyDescent="0.2">
      <c r="A309" s="34"/>
      <c r="B309" s="35"/>
      <c r="C309" s="35" t="s">
        <v>552</v>
      </c>
      <c r="D309" s="36" t="s">
        <v>551</v>
      </c>
      <c r="E309" s="9">
        <f>Source!AU158</f>
        <v>10</v>
      </c>
      <c r="F309" s="38"/>
      <c r="G309" s="37"/>
      <c r="H309" s="9"/>
      <c r="I309" s="9"/>
      <c r="J309" s="39">
        <f>SUM(T302:T308)</f>
        <v>61.66</v>
      </c>
      <c r="K309" s="39"/>
    </row>
    <row r="310" spans="1:22" ht="14.25" x14ac:dyDescent="0.2">
      <c r="A310" s="34"/>
      <c r="B310" s="35"/>
      <c r="C310" s="35" t="s">
        <v>553</v>
      </c>
      <c r="D310" s="36" t="s">
        <v>551</v>
      </c>
      <c r="E310" s="9">
        <f>108</f>
        <v>108</v>
      </c>
      <c r="F310" s="38"/>
      <c r="G310" s="37"/>
      <c r="H310" s="9"/>
      <c r="I310" s="9"/>
      <c r="J310" s="39">
        <f>SUM(V302:V309)</f>
        <v>430.55</v>
      </c>
      <c r="K310" s="39"/>
    </row>
    <row r="311" spans="1:22" ht="14.25" x14ac:dyDescent="0.2">
      <c r="A311" s="34"/>
      <c r="B311" s="35"/>
      <c r="C311" s="35" t="s">
        <v>554</v>
      </c>
      <c r="D311" s="36" t="s">
        <v>555</v>
      </c>
      <c r="E311" s="9">
        <f>Source!AQ158</f>
        <v>2.65</v>
      </c>
      <c r="F311" s="38"/>
      <c r="G311" s="37" t="str">
        <f>Source!DI158</f>
        <v/>
      </c>
      <c r="H311" s="9">
        <f>Source!AV158</f>
        <v>1</v>
      </c>
      <c r="I311" s="9"/>
      <c r="J311" s="39"/>
      <c r="K311" s="39">
        <f>Source!U158</f>
        <v>2.7114800000000003</v>
      </c>
    </row>
    <row r="312" spans="1:22" ht="15" x14ac:dyDescent="0.25">
      <c r="A312" s="45"/>
      <c r="B312" s="45"/>
      <c r="C312" s="45"/>
      <c r="D312" s="45"/>
      <c r="E312" s="45"/>
      <c r="F312" s="45"/>
      <c r="G312" s="45"/>
      <c r="H312" s="45"/>
      <c r="I312" s="46">
        <f>J304+J305+J307+J308+J309+J310</f>
        <v>21452.42</v>
      </c>
      <c r="J312" s="46"/>
      <c r="K312" s="47">
        <f>IF(Source!I158&lt;&gt;0, ROUND(I312/Source!I158, 2), 0)</f>
        <v>20966.009999999998</v>
      </c>
      <c r="P312" s="41">
        <f>I312</f>
        <v>21452.42</v>
      </c>
    </row>
    <row r="313" spans="1:22" ht="57" x14ac:dyDescent="0.2">
      <c r="A313" s="34" t="str">
        <f>Source!E161</f>
        <v>30</v>
      </c>
      <c r="B313" s="35" t="str">
        <f>Source!F161</f>
        <v>2.1-3203-1-5/1</v>
      </c>
      <c r="C313" s="35" t="str">
        <f>Source!G161</f>
        <v>Установка бортовых камней бетонных газонных и садовых марка 2ГБ 60.8.20, цвет серый, при цементобетонных покрытиях</v>
      </c>
      <c r="D313" s="36" t="str">
        <f>Source!H161</f>
        <v>100 м</v>
      </c>
      <c r="E313" s="9">
        <f>Source!I161</f>
        <v>0.43219999999999997</v>
      </c>
      <c r="F313" s="38"/>
      <c r="G313" s="37"/>
      <c r="H313" s="9"/>
      <c r="I313" s="9"/>
      <c r="J313" s="39"/>
      <c r="K313" s="39"/>
      <c r="Q313">
        <f>ROUND((Source!BZ161/100)*ROUND((Source!AF161*Source!AV161)*Source!I161, 2), 2)</f>
        <v>4472.3900000000003</v>
      </c>
      <c r="R313">
        <f>Source!X161</f>
        <v>4472.3900000000003</v>
      </c>
      <c r="S313">
        <f>ROUND((Source!CA161/100)*ROUND((Source!AF161*Source!AV161)*Source!I161, 2), 2)</f>
        <v>638.91</v>
      </c>
      <c r="T313">
        <f>Source!Y161</f>
        <v>638.91</v>
      </c>
      <c r="U313">
        <f>ROUND((175/100)*ROUND((Source!AE161*Source!AV161)*Source!I161, 2), 2)</f>
        <v>73.010000000000005</v>
      </c>
      <c r="V313">
        <f>ROUND((108/100)*ROUND(Source!CS161*Source!I161, 2), 2)</f>
        <v>45.06</v>
      </c>
    </row>
    <row r="314" spans="1:22" x14ac:dyDescent="0.2">
      <c r="C314" s="48" t="str">
        <f>"Объем: "&amp;Source!I161&amp;"=43,22/"&amp;"100"</f>
        <v>Объем: 0,4322=43,22/100</v>
      </c>
    </row>
    <row r="315" spans="1:22" ht="14.25" x14ac:dyDescent="0.2">
      <c r="A315" s="34"/>
      <c r="B315" s="35"/>
      <c r="C315" s="35" t="s">
        <v>547</v>
      </c>
      <c r="D315" s="36"/>
      <c r="E315" s="9"/>
      <c r="F315" s="38">
        <f>Source!AO161</f>
        <v>14782.81</v>
      </c>
      <c r="G315" s="37" t="str">
        <f>Source!DG161</f>
        <v/>
      </c>
      <c r="H315" s="9">
        <f>Source!AV161</f>
        <v>1</v>
      </c>
      <c r="I315" s="9">
        <f>IF(Source!BA161&lt;&gt; 0, Source!BA161, 1)</f>
        <v>1</v>
      </c>
      <c r="J315" s="39">
        <f>Source!S161</f>
        <v>6389.13</v>
      </c>
      <c r="K315" s="39"/>
    </row>
    <row r="316" spans="1:22" ht="14.25" x14ac:dyDescent="0.2">
      <c r="A316" s="34"/>
      <c r="B316" s="35"/>
      <c r="C316" s="35" t="s">
        <v>548</v>
      </c>
      <c r="D316" s="36"/>
      <c r="E316" s="9"/>
      <c r="F316" s="38">
        <f>Source!AM161</f>
        <v>177.81</v>
      </c>
      <c r="G316" s="37" t="str">
        <f>Source!DE161</f>
        <v/>
      </c>
      <c r="H316" s="9">
        <f>Source!AV161</f>
        <v>1</v>
      </c>
      <c r="I316" s="9">
        <f>IF(Source!BB161&lt;&gt; 0, Source!BB161, 1)</f>
        <v>1</v>
      </c>
      <c r="J316" s="39">
        <f>Source!Q161</f>
        <v>76.849999999999994</v>
      </c>
      <c r="K316" s="39"/>
    </row>
    <row r="317" spans="1:22" ht="14.25" x14ac:dyDescent="0.2">
      <c r="A317" s="34"/>
      <c r="B317" s="35"/>
      <c r="C317" s="35" t="s">
        <v>549</v>
      </c>
      <c r="D317" s="36"/>
      <c r="E317" s="9"/>
      <c r="F317" s="38">
        <f>Source!AN161</f>
        <v>96.53</v>
      </c>
      <c r="G317" s="37" t="str">
        <f>Source!DF161</f>
        <v/>
      </c>
      <c r="H317" s="9">
        <f>Source!AV161</f>
        <v>1</v>
      </c>
      <c r="I317" s="9">
        <f>IF(Source!BS161&lt;&gt; 0, Source!BS161, 1)</f>
        <v>1</v>
      </c>
      <c r="J317" s="40">
        <f>Source!R161</f>
        <v>41.72</v>
      </c>
      <c r="K317" s="39"/>
    </row>
    <row r="318" spans="1:22" ht="14.25" x14ac:dyDescent="0.2">
      <c r="A318" s="34"/>
      <c r="B318" s="35"/>
      <c r="C318" s="35" t="s">
        <v>556</v>
      </c>
      <c r="D318" s="36"/>
      <c r="E318" s="9"/>
      <c r="F318" s="38">
        <f>Source!AL161</f>
        <v>34547.699999999997</v>
      </c>
      <c r="G318" s="37" t="str">
        <f>Source!DD161</f>
        <v/>
      </c>
      <c r="H318" s="9">
        <f>Source!AW161</f>
        <v>1</v>
      </c>
      <c r="I318" s="9">
        <f>IF(Source!BC161&lt;&gt; 0, Source!BC161, 1)</f>
        <v>1</v>
      </c>
      <c r="J318" s="39">
        <f>Source!P161</f>
        <v>14931.52</v>
      </c>
      <c r="K318" s="39"/>
    </row>
    <row r="319" spans="1:22" ht="14.25" x14ac:dyDescent="0.2">
      <c r="A319" s="34"/>
      <c r="B319" s="35"/>
      <c r="C319" s="35" t="s">
        <v>550</v>
      </c>
      <c r="D319" s="36" t="s">
        <v>551</v>
      </c>
      <c r="E319" s="9">
        <f>Source!AT161</f>
        <v>70</v>
      </c>
      <c r="F319" s="38"/>
      <c r="G319" s="37"/>
      <c r="H319" s="9"/>
      <c r="I319" s="9"/>
      <c r="J319" s="39">
        <f>SUM(R313:R318)</f>
        <v>4472.3900000000003</v>
      </c>
      <c r="K319" s="39"/>
    </row>
    <row r="320" spans="1:22" ht="14.25" x14ac:dyDescent="0.2">
      <c r="A320" s="34"/>
      <c r="B320" s="35"/>
      <c r="C320" s="35" t="s">
        <v>552</v>
      </c>
      <c r="D320" s="36" t="s">
        <v>551</v>
      </c>
      <c r="E320" s="9">
        <f>Source!AU161</f>
        <v>10</v>
      </c>
      <c r="F320" s="38"/>
      <c r="G320" s="37"/>
      <c r="H320" s="9"/>
      <c r="I320" s="9"/>
      <c r="J320" s="39">
        <f>SUM(T313:T319)</f>
        <v>638.91</v>
      </c>
      <c r="K320" s="39"/>
    </row>
    <row r="321" spans="1:22" ht="14.25" x14ac:dyDescent="0.2">
      <c r="A321" s="34"/>
      <c r="B321" s="35"/>
      <c r="C321" s="35" t="s">
        <v>553</v>
      </c>
      <c r="D321" s="36" t="s">
        <v>551</v>
      </c>
      <c r="E321" s="9">
        <f>108</f>
        <v>108</v>
      </c>
      <c r="F321" s="38"/>
      <c r="G321" s="37"/>
      <c r="H321" s="9"/>
      <c r="I321" s="9"/>
      <c r="J321" s="39">
        <f>SUM(V313:V320)</f>
        <v>45.06</v>
      </c>
      <c r="K321" s="39"/>
    </row>
    <row r="322" spans="1:22" ht="14.25" x14ac:dyDescent="0.2">
      <c r="A322" s="34"/>
      <c r="B322" s="35"/>
      <c r="C322" s="35" t="s">
        <v>554</v>
      </c>
      <c r="D322" s="36" t="s">
        <v>555</v>
      </c>
      <c r="E322" s="9">
        <f>Source!AQ161</f>
        <v>72.95</v>
      </c>
      <c r="F322" s="38"/>
      <c r="G322" s="37" t="str">
        <f>Source!DI161</f>
        <v/>
      </c>
      <c r="H322" s="9">
        <f>Source!AV161</f>
        <v>1</v>
      </c>
      <c r="I322" s="9"/>
      <c r="J322" s="39"/>
      <c r="K322" s="39">
        <f>Source!U161</f>
        <v>31.52899</v>
      </c>
    </row>
    <row r="323" spans="1:22" ht="15" x14ac:dyDescent="0.25">
      <c r="A323" s="45"/>
      <c r="B323" s="45"/>
      <c r="C323" s="45"/>
      <c r="D323" s="45"/>
      <c r="E323" s="45"/>
      <c r="F323" s="45"/>
      <c r="G323" s="45"/>
      <c r="H323" s="45"/>
      <c r="I323" s="46">
        <f>J315+J316+J318+J319+J320+J321</f>
        <v>26553.86</v>
      </c>
      <c r="J323" s="46"/>
      <c r="K323" s="47">
        <f>IF(Source!I161&lt;&gt;0, ROUND(I323/Source!I161, 2), 0)</f>
        <v>61438.82</v>
      </c>
      <c r="P323" s="41">
        <f>I323</f>
        <v>26553.86</v>
      </c>
    </row>
    <row r="324" spans="1:22" ht="57" x14ac:dyDescent="0.2">
      <c r="A324" s="34" t="str">
        <f>Source!E162</f>
        <v>31</v>
      </c>
      <c r="B324" s="35" t="str">
        <f>Source!F162</f>
        <v>5.3-3203-7-5/1</v>
      </c>
      <c r="C324" s="35" t="str">
        <f>Source!G162</f>
        <v>Устройство калиток с установкой столбов металлических (без стоимости металлических изделий полотен калиток и стоек опорных)</v>
      </c>
      <c r="D324" s="36" t="str">
        <f>Source!H162</f>
        <v>100 шт.</v>
      </c>
      <c r="E324" s="9">
        <f>Source!I162</f>
        <v>0.03</v>
      </c>
      <c r="F324" s="38"/>
      <c r="G324" s="37"/>
      <c r="H324" s="9"/>
      <c r="I324" s="9"/>
      <c r="J324" s="39"/>
      <c r="K324" s="39"/>
      <c r="Q324">
        <f>ROUND((Source!BZ162/100)*ROUND((Source!AF162*Source!AV162)*Source!I162, 2), 2)</f>
        <v>4808.6400000000003</v>
      </c>
      <c r="R324">
        <f>Source!X162</f>
        <v>4808.6400000000003</v>
      </c>
      <c r="S324">
        <f>ROUND((Source!CA162/100)*ROUND((Source!AF162*Source!AV162)*Source!I162, 2), 2)</f>
        <v>686.95</v>
      </c>
      <c r="T324">
        <f>Source!Y162</f>
        <v>686.95</v>
      </c>
      <c r="U324">
        <f>ROUND((175/100)*ROUND((Source!AE162*Source!AV162)*Source!I162, 2), 2)</f>
        <v>3.57</v>
      </c>
      <c r="V324">
        <f>ROUND((108/100)*ROUND(Source!CS162*Source!I162, 2), 2)</f>
        <v>2.2000000000000002</v>
      </c>
    </row>
    <row r="325" spans="1:22" x14ac:dyDescent="0.2">
      <c r="C325" s="48" t="str">
        <f>"Объем: "&amp;Source!I162&amp;"=3/"&amp;"100"</f>
        <v>Объем: 0,03=3/100</v>
      </c>
    </row>
    <row r="326" spans="1:22" ht="14.25" x14ac:dyDescent="0.2">
      <c r="A326" s="34"/>
      <c r="B326" s="35"/>
      <c r="C326" s="35" t="s">
        <v>547</v>
      </c>
      <c r="D326" s="36"/>
      <c r="E326" s="9"/>
      <c r="F326" s="38">
        <f>Source!AO162</f>
        <v>228982.53</v>
      </c>
      <c r="G326" s="37" t="str">
        <f>Source!DG162</f>
        <v/>
      </c>
      <c r="H326" s="9">
        <f>Source!AV162</f>
        <v>1</v>
      </c>
      <c r="I326" s="9">
        <f>IF(Source!BA162&lt;&gt; 0, Source!BA162, 1)</f>
        <v>1</v>
      </c>
      <c r="J326" s="39">
        <f>Source!S162</f>
        <v>6869.48</v>
      </c>
      <c r="K326" s="39"/>
    </row>
    <row r="327" spans="1:22" ht="14.25" x14ac:dyDescent="0.2">
      <c r="A327" s="34"/>
      <c r="B327" s="35"/>
      <c r="C327" s="35" t="s">
        <v>548</v>
      </c>
      <c r="D327" s="36"/>
      <c r="E327" s="9"/>
      <c r="F327" s="38">
        <f>Source!AM162</f>
        <v>544.27</v>
      </c>
      <c r="G327" s="37" t="str">
        <f>Source!DE162</f>
        <v/>
      </c>
      <c r="H327" s="9">
        <f>Source!AV162</f>
        <v>1</v>
      </c>
      <c r="I327" s="9">
        <f>IF(Source!BB162&lt;&gt; 0, Source!BB162, 1)</f>
        <v>1</v>
      </c>
      <c r="J327" s="39">
        <f>Source!Q162</f>
        <v>16.329999999999998</v>
      </c>
      <c r="K327" s="39"/>
    </row>
    <row r="328" spans="1:22" ht="14.25" x14ac:dyDescent="0.2">
      <c r="A328" s="34"/>
      <c r="B328" s="35"/>
      <c r="C328" s="35" t="s">
        <v>549</v>
      </c>
      <c r="D328" s="36"/>
      <c r="E328" s="9"/>
      <c r="F328" s="38">
        <f>Source!AN162</f>
        <v>67.94</v>
      </c>
      <c r="G328" s="37" t="str">
        <f>Source!DF162</f>
        <v/>
      </c>
      <c r="H328" s="9">
        <f>Source!AV162</f>
        <v>1</v>
      </c>
      <c r="I328" s="9">
        <f>IF(Source!BS162&lt;&gt; 0, Source!BS162, 1)</f>
        <v>1</v>
      </c>
      <c r="J328" s="40">
        <f>Source!R162</f>
        <v>2.04</v>
      </c>
      <c r="K328" s="39"/>
    </row>
    <row r="329" spans="1:22" ht="14.25" x14ac:dyDescent="0.2">
      <c r="A329" s="34"/>
      <c r="B329" s="35"/>
      <c r="C329" s="35" t="s">
        <v>556</v>
      </c>
      <c r="D329" s="36"/>
      <c r="E329" s="9"/>
      <c r="F329" s="38">
        <f>Source!AL162</f>
        <v>17852.89</v>
      </c>
      <c r="G329" s="37" t="str">
        <f>Source!DD162</f>
        <v/>
      </c>
      <c r="H329" s="9">
        <f>Source!AW162</f>
        <v>1</v>
      </c>
      <c r="I329" s="9">
        <f>IF(Source!BC162&lt;&gt; 0, Source!BC162, 1)</f>
        <v>1</v>
      </c>
      <c r="J329" s="39">
        <f>Source!P162</f>
        <v>535.59</v>
      </c>
      <c r="K329" s="39"/>
    </row>
    <row r="330" spans="1:22" ht="28.5" x14ac:dyDescent="0.2">
      <c r="A330" s="34" t="str">
        <f>Source!E163</f>
        <v>31,1</v>
      </c>
      <c r="B330" s="35" t="str">
        <f>Source!F163</f>
        <v>21.1-5-5</v>
      </c>
      <c r="C330" s="35" t="str">
        <f>Source!G163</f>
        <v>Кирпич керамический обыкновенный, размер 250х120х65 мм, марка 100</v>
      </c>
      <c r="D330" s="36" t="str">
        <f>Source!H163</f>
        <v>1000 шт.</v>
      </c>
      <c r="E330" s="9">
        <f>Source!I163</f>
        <v>-1.1100000000000001E-3</v>
      </c>
      <c r="F330" s="38">
        <f>Source!AK163</f>
        <v>10419.43</v>
      </c>
      <c r="G330" s="49" t="s">
        <v>3</v>
      </c>
      <c r="H330" s="9">
        <f>Source!AW163</f>
        <v>1</v>
      </c>
      <c r="I330" s="9">
        <f>IF(Source!BC163&lt;&gt; 0, Source!BC163, 1)</f>
        <v>1</v>
      </c>
      <c r="J330" s="39">
        <f>Source!O163</f>
        <v>-11.57</v>
      </c>
      <c r="K330" s="39"/>
      <c r="Q330">
        <f>ROUND((Source!BZ163/100)*ROUND((Source!AF163*Source!AV163)*Source!I163, 2), 2)</f>
        <v>0</v>
      </c>
      <c r="R330">
        <f>Source!X163</f>
        <v>0</v>
      </c>
      <c r="S330">
        <f>ROUND((Source!CA163/100)*ROUND((Source!AF163*Source!AV163)*Source!I163, 2), 2)</f>
        <v>0</v>
      </c>
      <c r="T330">
        <f>Source!Y163</f>
        <v>0</v>
      </c>
      <c r="U330">
        <f>ROUND((175/100)*ROUND((Source!AE163*Source!AV163)*Source!I163, 2), 2)</f>
        <v>0</v>
      </c>
      <c r="V330">
        <f>ROUND((108/100)*ROUND(Source!CS163*Source!I163, 2), 2)</f>
        <v>0</v>
      </c>
    </row>
    <row r="331" spans="1:22" ht="14.25" x14ac:dyDescent="0.2">
      <c r="A331" s="34" t="str">
        <f>Source!E164</f>
        <v>31,2</v>
      </c>
      <c r="B331" s="35" t="str">
        <f>Source!F164</f>
        <v>22.1-6-52</v>
      </c>
      <c r="C331" s="35" t="str">
        <f>Source!G164</f>
        <v>Вибраторы глубинные</v>
      </c>
      <c r="D331" s="36" t="str">
        <f>Source!H164</f>
        <v>маш.-ч</v>
      </c>
      <c r="E331" s="9">
        <f>Source!I164</f>
        <v>-0.16320000000000001</v>
      </c>
      <c r="F331" s="38">
        <f>Source!AK164</f>
        <v>10.82</v>
      </c>
      <c r="G331" s="49" t="s">
        <v>3</v>
      </c>
      <c r="H331" s="9">
        <f>Source!AV164</f>
        <v>1</v>
      </c>
      <c r="I331" s="9">
        <f>IF(Source!BB164&lt;&gt; 0, Source!BB164, 1)</f>
        <v>1</v>
      </c>
      <c r="J331" s="39">
        <f>Source!O164</f>
        <v>-1.77</v>
      </c>
      <c r="K331" s="39"/>
      <c r="Q331">
        <f>ROUND((Source!BZ164/100)*ROUND((Source!AF164*Source!AV164)*Source!I164, 2), 2)</f>
        <v>0</v>
      </c>
      <c r="R331">
        <f>Source!X164</f>
        <v>0</v>
      </c>
      <c r="S331">
        <f>ROUND((Source!CA164/100)*ROUND((Source!AF164*Source!AV164)*Source!I164, 2), 2)</f>
        <v>0</v>
      </c>
      <c r="T331">
        <f>Source!Y164</f>
        <v>0</v>
      </c>
      <c r="U331">
        <f>ROUND((175/100)*ROUND((Source!AE164*Source!AV164)*Source!I164, 2), 2)</f>
        <v>-0.84</v>
      </c>
      <c r="V331">
        <f>ROUND((108/100)*ROUND(Source!CS164*Source!I164, 2), 2)</f>
        <v>-0.52</v>
      </c>
    </row>
    <row r="332" spans="1:22" ht="28.5" x14ac:dyDescent="0.2">
      <c r="A332" s="34" t="str">
        <f>Source!E165</f>
        <v>31,3</v>
      </c>
      <c r="B332" s="35" t="str">
        <f>Source!F165</f>
        <v>22.1-13-14</v>
      </c>
      <c r="C332" s="35" t="str">
        <f>Source!G165</f>
        <v>Установки для сварки ручной дуговой (постоянного тока)</v>
      </c>
      <c r="D332" s="36" t="str">
        <f>Source!H165</f>
        <v>маш.-ч</v>
      </c>
      <c r="E332" s="9">
        <f>Source!I165</f>
        <v>-0.435</v>
      </c>
      <c r="F332" s="38">
        <f>Source!AK165</f>
        <v>27.21</v>
      </c>
      <c r="G332" s="49" t="s">
        <v>3</v>
      </c>
      <c r="H332" s="9">
        <f>Source!AV165</f>
        <v>1</v>
      </c>
      <c r="I332" s="9">
        <f>IF(Source!BB165&lt;&gt; 0, Source!BB165, 1)</f>
        <v>1</v>
      </c>
      <c r="J332" s="39">
        <f>Source!O165</f>
        <v>-11.84</v>
      </c>
      <c r="K332" s="39"/>
      <c r="Q332">
        <f>ROUND((Source!BZ165/100)*ROUND((Source!AF165*Source!AV165)*Source!I165, 2), 2)</f>
        <v>0</v>
      </c>
      <c r="R332">
        <f>Source!X165</f>
        <v>0</v>
      </c>
      <c r="S332">
        <f>ROUND((Source!CA165/100)*ROUND((Source!AF165*Source!AV165)*Source!I165, 2), 2)</f>
        <v>0</v>
      </c>
      <c r="T332">
        <f>Source!Y165</f>
        <v>0</v>
      </c>
      <c r="U332">
        <f>ROUND((175/100)*ROUND((Source!AE165*Source!AV165)*Source!I165, 2), 2)</f>
        <v>-0.11</v>
      </c>
      <c r="V332">
        <f>ROUND((108/100)*ROUND(Source!CS165*Source!I165, 2), 2)</f>
        <v>-0.06</v>
      </c>
    </row>
    <row r="333" spans="1:22" ht="42.75" x14ac:dyDescent="0.2">
      <c r="A333" s="34" t="str">
        <f>Source!E166</f>
        <v>31,4</v>
      </c>
      <c r="B333" s="35" t="str">
        <f>Source!F166</f>
        <v>22.1-1-1</v>
      </c>
      <c r="C333" s="35" t="str">
        <f>Source!G166</f>
        <v>Экскаваторы на гусеничном ходу гидравлические, объем ковша до 0,25 м3</v>
      </c>
      <c r="D333" s="36" t="str">
        <f>Source!H166</f>
        <v>маш.-ч</v>
      </c>
      <c r="E333" s="9">
        <f>Source!I166</f>
        <v>-2.7000000000000001E-3</v>
      </c>
      <c r="F333" s="38">
        <f>Source!AK166</f>
        <v>1009.65</v>
      </c>
      <c r="G333" s="49" t="s">
        <v>3</v>
      </c>
      <c r="H333" s="9">
        <f>Source!AV166</f>
        <v>1</v>
      </c>
      <c r="I333" s="9">
        <f>IF(Source!BB166&lt;&gt; 0, Source!BB166, 1)</f>
        <v>1</v>
      </c>
      <c r="J333" s="39">
        <f>Source!O166</f>
        <v>-2.73</v>
      </c>
      <c r="K333" s="39"/>
      <c r="Q333">
        <f>ROUND((Source!BZ166/100)*ROUND((Source!AF166*Source!AV166)*Source!I166, 2), 2)</f>
        <v>0</v>
      </c>
      <c r="R333">
        <f>Source!X166</f>
        <v>0</v>
      </c>
      <c r="S333">
        <f>ROUND((Source!CA166/100)*ROUND((Source!AF166*Source!AV166)*Source!I166, 2), 2)</f>
        <v>0</v>
      </c>
      <c r="T333">
        <f>Source!Y166</f>
        <v>0</v>
      </c>
      <c r="U333">
        <f>ROUND((175/100)*ROUND((Source!AE166*Source!AV166)*Source!I166, 2), 2)</f>
        <v>-2.63</v>
      </c>
      <c r="V333">
        <f>ROUND((108/100)*ROUND(Source!CS166*Source!I166, 2), 2)</f>
        <v>-1.62</v>
      </c>
    </row>
    <row r="334" spans="1:22" ht="42.75" x14ac:dyDescent="0.2">
      <c r="A334" s="34" t="str">
        <f>Source!E167</f>
        <v>31,5</v>
      </c>
      <c r="B334" s="35" t="str">
        <f>Source!F167</f>
        <v>21.3-1-2</v>
      </c>
      <c r="C334" s="35" t="str">
        <f>Source!G167</f>
        <v>Смеси бетонные, БСГ, песчаного бетона на обогащенном песке, класс прочности: В12,5 (М150)</v>
      </c>
      <c r="D334" s="36" t="str">
        <f>Source!H167</f>
        <v>м3</v>
      </c>
      <c r="E334" s="9">
        <f>Source!I167</f>
        <v>-0.15</v>
      </c>
      <c r="F334" s="38">
        <f>Source!AK167</f>
        <v>3040.38</v>
      </c>
      <c r="G334" s="49" t="s">
        <v>3</v>
      </c>
      <c r="H334" s="9">
        <f>Source!AW167</f>
        <v>1</v>
      </c>
      <c r="I334" s="9">
        <f>IF(Source!BC167&lt;&gt; 0, Source!BC167, 1)</f>
        <v>1</v>
      </c>
      <c r="J334" s="39">
        <f>Source!O167</f>
        <v>-456.06</v>
      </c>
      <c r="K334" s="39"/>
      <c r="Q334">
        <f>ROUND((Source!BZ167/100)*ROUND((Source!AF167*Source!AV167)*Source!I167, 2), 2)</f>
        <v>0</v>
      </c>
      <c r="R334">
        <f>Source!X167</f>
        <v>0</v>
      </c>
      <c r="S334">
        <f>ROUND((Source!CA167/100)*ROUND((Source!AF167*Source!AV167)*Source!I167, 2), 2)</f>
        <v>0</v>
      </c>
      <c r="T334">
        <f>Source!Y167</f>
        <v>0</v>
      </c>
      <c r="U334">
        <f>ROUND((175/100)*ROUND((Source!AE167*Source!AV167)*Source!I167, 2), 2)</f>
        <v>0</v>
      </c>
      <c r="V334">
        <f>ROUND((108/100)*ROUND(Source!CS167*Source!I167, 2), 2)</f>
        <v>0</v>
      </c>
    </row>
    <row r="335" spans="1:22" ht="28.5" x14ac:dyDescent="0.2">
      <c r="A335" s="34" t="str">
        <f>Source!E168</f>
        <v>31,6</v>
      </c>
      <c r="B335" s="35" t="str">
        <f>Source!F168</f>
        <v>21.1-23-9</v>
      </c>
      <c r="C335" s="35" t="str">
        <f>Source!G168</f>
        <v>Электроды, тип Э-42, 46, 50, диаметр 4 - 6 мм</v>
      </c>
      <c r="D335" s="36" t="str">
        <f>Source!H168</f>
        <v>т</v>
      </c>
      <c r="E335" s="9">
        <f>Source!I168</f>
        <v>-5.9999999999999995E-4</v>
      </c>
      <c r="F335" s="38">
        <f>Source!AK168</f>
        <v>110781.14</v>
      </c>
      <c r="G335" s="49" t="s">
        <v>3</v>
      </c>
      <c r="H335" s="9">
        <f>Source!AW168</f>
        <v>1</v>
      </c>
      <c r="I335" s="9">
        <f>IF(Source!BC168&lt;&gt; 0, Source!BC168, 1)</f>
        <v>1</v>
      </c>
      <c r="J335" s="39">
        <f>Source!O168</f>
        <v>-66.47</v>
      </c>
      <c r="K335" s="39"/>
      <c r="Q335">
        <f>ROUND((Source!BZ168/100)*ROUND((Source!AF168*Source!AV168)*Source!I168, 2), 2)</f>
        <v>0</v>
      </c>
      <c r="R335">
        <f>Source!X168</f>
        <v>0</v>
      </c>
      <c r="S335">
        <f>ROUND((Source!CA168/100)*ROUND((Source!AF168*Source!AV168)*Source!I168, 2), 2)</f>
        <v>0</v>
      </c>
      <c r="T335">
        <f>Source!Y168</f>
        <v>0</v>
      </c>
      <c r="U335">
        <f>ROUND((175/100)*ROUND((Source!AE168*Source!AV168)*Source!I168, 2), 2)</f>
        <v>0</v>
      </c>
      <c r="V335">
        <f>ROUND((108/100)*ROUND(Source!CS168*Source!I168, 2), 2)</f>
        <v>0</v>
      </c>
    </row>
    <row r="336" spans="1:22" ht="111" x14ac:dyDescent="0.2">
      <c r="A336" s="34" t="str">
        <f>Source!E169</f>
        <v>31,7</v>
      </c>
      <c r="B336" s="35" t="str">
        <f>Source!F169</f>
        <v>по цене поставщика</v>
      </c>
      <c r="C336" s="35" t="s">
        <v>557</v>
      </c>
      <c r="D336" s="36" t="str">
        <f>Source!H169</f>
        <v>шт.</v>
      </c>
      <c r="E336" s="9">
        <f>Source!I169</f>
        <v>1</v>
      </c>
      <c r="F336" s="38">
        <f>Source!AK169</f>
        <v>17250</v>
      </c>
      <c r="G336" s="49" t="s">
        <v>3</v>
      </c>
      <c r="H336" s="9">
        <f>Source!AW169</f>
        <v>1</v>
      </c>
      <c r="I336" s="9">
        <f>IF(Source!BC169&lt;&gt; 0, Source!BC169, 1)</f>
        <v>1</v>
      </c>
      <c r="J336" s="39">
        <f>Source!O169</f>
        <v>17250</v>
      </c>
      <c r="K336" s="39"/>
      <c r="Q336">
        <f>ROUND((Source!BZ169/100)*ROUND((Source!AF169*Source!AV169)*Source!I169, 2), 2)</f>
        <v>0</v>
      </c>
      <c r="R336">
        <f>Source!X169</f>
        <v>0</v>
      </c>
      <c r="S336">
        <f>ROUND((Source!CA169/100)*ROUND((Source!AF169*Source!AV169)*Source!I169, 2), 2)</f>
        <v>0</v>
      </c>
      <c r="T336">
        <f>Source!Y169</f>
        <v>0</v>
      </c>
      <c r="U336">
        <f>ROUND((175/100)*ROUND((Source!AE169*Source!AV169)*Source!I169, 2), 2)</f>
        <v>0</v>
      </c>
      <c r="V336">
        <f>ROUND((108/100)*ROUND(Source!CS169*Source!I169, 2), 2)</f>
        <v>0</v>
      </c>
    </row>
    <row r="337" spans="1:22" ht="111" x14ac:dyDescent="0.2">
      <c r="A337" s="34" t="str">
        <f>Source!E170</f>
        <v>31,8</v>
      </c>
      <c r="B337" s="35" t="str">
        <f>Source!F170</f>
        <v>по цене поставщика</v>
      </c>
      <c r="C337" s="35" t="s">
        <v>562</v>
      </c>
      <c r="D337" s="36" t="str">
        <f>Source!H170</f>
        <v>шт.</v>
      </c>
      <c r="E337" s="9">
        <f>Source!I170</f>
        <v>1</v>
      </c>
      <c r="F337" s="38">
        <f>Source!AK170</f>
        <v>40166.67</v>
      </c>
      <c r="G337" s="49" t="s">
        <v>3</v>
      </c>
      <c r="H337" s="9">
        <f>Source!AW170</f>
        <v>1</v>
      </c>
      <c r="I337" s="9">
        <f>IF(Source!BC170&lt;&gt; 0, Source!BC170, 1)</f>
        <v>1</v>
      </c>
      <c r="J337" s="39">
        <f>Source!O170</f>
        <v>40166.67</v>
      </c>
      <c r="K337" s="39"/>
      <c r="Q337">
        <f>ROUND((Source!BZ170/100)*ROUND((Source!AF170*Source!AV170)*Source!I170, 2), 2)</f>
        <v>0</v>
      </c>
      <c r="R337">
        <f>Source!X170</f>
        <v>0</v>
      </c>
      <c r="S337">
        <f>ROUND((Source!CA170/100)*ROUND((Source!AF170*Source!AV170)*Source!I170, 2), 2)</f>
        <v>0</v>
      </c>
      <c r="T337">
        <f>Source!Y170</f>
        <v>0</v>
      </c>
      <c r="U337">
        <f>ROUND((175/100)*ROUND((Source!AE170*Source!AV170)*Source!I170, 2), 2)</f>
        <v>0</v>
      </c>
      <c r="V337">
        <f>ROUND((108/100)*ROUND(Source!CS170*Source!I170, 2), 2)</f>
        <v>0</v>
      </c>
    </row>
    <row r="338" spans="1:22" ht="68.25" x14ac:dyDescent="0.2">
      <c r="A338" s="34" t="str">
        <f>Source!E171</f>
        <v>31,9</v>
      </c>
      <c r="B338" s="35" t="str">
        <f>Source!F171</f>
        <v>по цене поставщика</v>
      </c>
      <c r="C338" s="35" t="s">
        <v>560</v>
      </c>
      <c r="D338" s="36" t="str">
        <f>Source!H171</f>
        <v>шт.</v>
      </c>
      <c r="E338" s="9">
        <f>Source!I171</f>
        <v>1</v>
      </c>
      <c r="F338" s="38">
        <f>Source!AK171</f>
        <v>12391.67</v>
      </c>
      <c r="G338" s="49" t="s">
        <v>3</v>
      </c>
      <c r="H338" s="9">
        <f>Source!AW171</f>
        <v>1</v>
      </c>
      <c r="I338" s="9">
        <f>IF(Source!BC171&lt;&gt; 0, Source!BC171, 1)</f>
        <v>1</v>
      </c>
      <c r="J338" s="39">
        <f>Source!O171</f>
        <v>12391.67</v>
      </c>
      <c r="K338" s="39"/>
      <c r="Q338">
        <f>ROUND((Source!BZ171/100)*ROUND((Source!AF171*Source!AV171)*Source!I171, 2), 2)</f>
        <v>0</v>
      </c>
      <c r="R338">
        <f>Source!X171</f>
        <v>0</v>
      </c>
      <c r="S338">
        <f>ROUND((Source!CA171/100)*ROUND((Source!AF171*Source!AV171)*Source!I171, 2), 2)</f>
        <v>0</v>
      </c>
      <c r="T338">
        <f>Source!Y171</f>
        <v>0</v>
      </c>
      <c r="U338">
        <f>ROUND((175/100)*ROUND((Source!AE171*Source!AV171)*Source!I171, 2), 2)</f>
        <v>0</v>
      </c>
      <c r="V338">
        <f>ROUND((108/100)*ROUND(Source!CS171*Source!I171, 2), 2)</f>
        <v>0</v>
      </c>
    </row>
    <row r="339" spans="1:22" ht="14.25" x14ac:dyDescent="0.2">
      <c r="A339" s="34"/>
      <c r="B339" s="35"/>
      <c r="C339" s="35" t="s">
        <v>550</v>
      </c>
      <c r="D339" s="36" t="s">
        <v>551</v>
      </c>
      <c r="E339" s="9">
        <f>Source!AT162</f>
        <v>70</v>
      </c>
      <c r="F339" s="38"/>
      <c r="G339" s="37"/>
      <c r="H339" s="9"/>
      <c r="I339" s="9"/>
      <c r="J339" s="39">
        <f>SUM(R324:R338)</f>
        <v>4808.6400000000003</v>
      </c>
      <c r="K339" s="39"/>
    </row>
    <row r="340" spans="1:22" ht="14.25" x14ac:dyDescent="0.2">
      <c r="A340" s="34"/>
      <c r="B340" s="35"/>
      <c r="C340" s="35" t="s">
        <v>552</v>
      </c>
      <c r="D340" s="36" t="s">
        <v>551</v>
      </c>
      <c r="E340" s="9">
        <f>Source!AU162</f>
        <v>10</v>
      </c>
      <c r="F340" s="38"/>
      <c r="G340" s="37"/>
      <c r="H340" s="9"/>
      <c r="I340" s="9"/>
      <c r="J340" s="39">
        <f>SUM(T324:T339)</f>
        <v>686.95</v>
      </c>
      <c r="K340" s="39"/>
    </row>
    <row r="341" spans="1:22" ht="14.25" x14ac:dyDescent="0.2">
      <c r="A341" s="34"/>
      <c r="B341" s="35"/>
      <c r="C341" s="35" t="s">
        <v>553</v>
      </c>
      <c r="D341" s="36" t="s">
        <v>551</v>
      </c>
      <c r="E341" s="9">
        <f>108</f>
        <v>108</v>
      </c>
      <c r="F341" s="38"/>
      <c r="G341" s="37"/>
      <c r="H341" s="9"/>
      <c r="I341" s="9"/>
      <c r="J341" s="39">
        <f>SUM(V324:V340)</f>
        <v>0</v>
      </c>
      <c r="K341" s="39"/>
    </row>
    <row r="342" spans="1:22" ht="14.25" x14ac:dyDescent="0.2">
      <c r="A342" s="34"/>
      <c r="B342" s="35"/>
      <c r="C342" s="35" t="s">
        <v>554</v>
      </c>
      <c r="D342" s="36" t="s">
        <v>555</v>
      </c>
      <c r="E342" s="9">
        <f>Source!AQ162</f>
        <v>902.75</v>
      </c>
      <c r="F342" s="38"/>
      <c r="G342" s="37" t="str">
        <f>Source!DI162</f>
        <v/>
      </c>
      <c r="H342" s="9">
        <f>Source!AV162</f>
        <v>1</v>
      </c>
      <c r="I342" s="9"/>
      <c r="J342" s="39"/>
      <c r="K342" s="39">
        <f>Source!U162</f>
        <v>27.0825</v>
      </c>
    </row>
    <row r="343" spans="1:22" ht="15" x14ac:dyDescent="0.25">
      <c r="A343" s="45"/>
      <c r="B343" s="45"/>
      <c r="C343" s="45"/>
      <c r="D343" s="45"/>
      <c r="E343" s="45"/>
      <c r="F343" s="45"/>
      <c r="G343" s="45"/>
      <c r="H343" s="45"/>
      <c r="I343" s="46">
        <f>J326+J327+J329+J339+J340+J341+SUM(J330:J338)</f>
        <v>82174.89</v>
      </c>
      <c r="J343" s="46"/>
      <c r="K343" s="47">
        <f>IF(Source!I162&lt;&gt;0, ROUND(I343/Source!I162, 2), 0)</f>
        <v>2739163</v>
      </c>
      <c r="P343" s="41">
        <f>I343</f>
        <v>82174.89</v>
      </c>
    </row>
    <row r="345" spans="1:22" ht="15" x14ac:dyDescent="0.25">
      <c r="A345" s="52" t="str">
        <f>CONCATENATE("Итого по подразделу: ",IF(Source!G173&lt;&gt;"Новый подраздел", Source!G173, ""))</f>
        <v>Итого по подразделу: Игровая площадка группы № 11</v>
      </c>
      <c r="B345" s="52"/>
      <c r="C345" s="52"/>
      <c r="D345" s="52"/>
      <c r="E345" s="52"/>
      <c r="F345" s="52"/>
      <c r="G345" s="52"/>
      <c r="H345" s="52"/>
      <c r="I345" s="43">
        <f>SUM(P249:P344)</f>
        <v>355788.51</v>
      </c>
      <c r="J345" s="51"/>
      <c r="K345" s="50"/>
    </row>
    <row r="348" spans="1:22" ht="16.5" x14ac:dyDescent="0.25">
      <c r="A348" s="33" t="str">
        <f>CONCATENATE("Подраздел: ",IF(Source!G203&lt;&gt;"Новый подраздел", Source!G203, ""))</f>
        <v>Подраздел: Игровая площадка группы № 8</v>
      </c>
      <c r="B348" s="33"/>
      <c r="C348" s="33"/>
      <c r="D348" s="33"/>
      <c r="E348" s="33"/>
      <c r="F348" s="33"/>
      <c r="G348" s="33"/>
      <c r="H348" s="33"/>
      <c r="I348" s="33"/>
      <c r="J348" s="33"/>
      <c r="K348" s="33"/>
    </row>
    <row r="349" spans="1:22" ht="42.75" x14ac:dyDescent="0.2">
      <c r="A349" s="34" t="str">
        <f>Source!E207</f>
        <v>32</v>
      </c>
      <c r="B349" s="35" t="str">
        <f>Source!F207</f>
        <v>5.4-3203-2-1/1</v>
      </c>
      <c r="C349" s="35" t="str">
        <f>Source!G207</f>
        <v>Устройство корыта под газоны и цветники с планировкой дна в грунтах 1 и 2 группы</v>
      </c>
      <c r="D349" s="36" t="str">
        <f>Source!H207</f>
        <v>м3</v>
      </c>
      <c r="E349" s="9">
        <f>Source!I207</f>
        <v>25.2</v>
      </c>
      <c r="F349" s="38"/>
      <c r="G349" s="37"/>
      <c r="H349" s="9"/>
      <c r="I349" s="9"/>
      <c r="J349" s="39"/>
      <c r="K349" s="39"/>
      <c r="Q349">
        <f>ROUND((Source!BZ207/100)*ROUND((Source!AF207*Source!AV207)*Source!I207, 2), 2)</f>
        <v>9083.7199999999993</v>
      </c>
      <c r="R349">
        <f>Source!X207</f>
        <v>9083.7199999999993</v>
      </c>
      <c r="S349">
        <f>ROUND((Source!CA207/100)*ROUND((Source!AF207*Source!AV207)*Source!I207, 2), 2)</f>
        <v>1297.67</v>
      </c>
      <c r="T349">
        <f>Source!Y207</f>
        <v>1297.67</v>
      </c>
      <c r="U349">
        <f>ROUND((175/100)*ROUND((Source!AE207*Source!AV207)*Source!I207, 2), 2)</f>
        <v>0</v>
      </c>
      <c r="V349">
        <f>ROUND((108/100)*ROUND(Source!CS207*Source!I207, 2), 2)</f>
        <v>0</v>
      </c>
    </row>
    <row r="350" spans="1:22" ht="14.25" x14ac:dyDescent="0.2">
      <c r="A350" s="34"/>
      <c r="B350" s="35"/>
      <c r="C350" s="35" t="s">
        <v>547</v>
      </c>
      <c r="D350" s="36"/>
      <c r="E350" s="9"/>
      <c r="F350" s="38">
        <f>Source!AO207</f>
        <v>514.95000000000005</v>
      </c>
      <c r="G350" s="37" t="str">
        <f>Source!DG207</f>
        <v/>
      </c>
      <c r="H350" s="9">
        <f>Source!AV207</f>
        <v>1</v>
      </c>
      <c r="I350" s="9">
        <f>IF(Source!BA207&lt;&gt; 0, Source!BA207, 1)</f>
        <v>1</v>
      </c>
      <c r="J350" s="39">
        <f>Source!S207</f>
        <v>12976.74</v>
      </c>
      <c r="K350" s="39"/>
    </row>
    <row r="351" spans="1:22" ht="14.25" x14ac:dyDescent="0.2">
      <c r="A351" s="34"/>
      <c r="B351" s="35"/>
      <c r="C351" s="35" t="s">
        <v>550</v>
      </c>
      <c r="D351" s="36" t="s">
        <v>551</v>
      </c>
      <c r="E351" s="9">
        <f>Source!AT207</f>
        <v>70</v>
      </c>
      <c r="F351" s="38"/>
      <c r="G351" s="37"/>
      <c r="H351" s="9"/>
      <c r="I351" s="9"/>
      <c r="J351" s="39">
        <f>SUM(R349:R350)</f>
        <v>9083.7199999999993</v>
      </c>
      <c r="K351" s="39"/>
    </row>
    <row r="352" spans="1:22" ht="14.25" x14ac:dyDescent="0.2">
      <c r="A352" s="34"/>
      <c r="B352" s="35"/>
      <c r="C352" s="35" t="s">
        <v>552</v>
      </c>
      <c r="D352" s="36" t="s">
        <v>551</v>
      </c>
      <c r="E352" s="9">
        <f>Source!AU207</f>
        <v>10</v>
      </c>
      <c r="F352" s="38"/>
      <c r="G352" s="37"/>
      <c r="H352" s="9"/>
      <c r="I352" s="9"/>
      <c r="J352" s="39">
        <f>SUM(T349:T351)</f>
        <v>1297.67</v>
      </c>
      <c r="K352" s="39"/>
    </row>
    <row r="353" spans="1:22" ht="14.25" x14ac:dyDescent="0.2">
      <c r="A353" s="34"/>
      <c r="B353" s="35"/>
      <c r="C353" s="35" t="s">
        <v>554</v>
      </c>
      <c r="D353" s="36" t="s">
        <v>555</v>
      </c>
      <c r="E353" s="9">
        <f>Source!AQ207</f>
        <v>2.66</v>
      </c>
      <c r="F353" s="38"/>
      <c r="G353" s="37" t="str">
        <f>Source!DI207</f>
        <v/>
      </c>
      <c r="H353" s="9">
        <f>Source!AV207</f>
        <v>1</v>
      </c>
      <c r="I353" s="9"/>
      <c r="J353" s="39"/>
      <c r="K353" s="39">
        <f>Source!U207</f>
        <v>67.031999999999996</v>
      </c>
    </row>
    <row r="354" spans="1:22" ht="15" x14ac:dyDescent="0.25">
      <c r="A354" s="45"/>
      <c r="B354" s="45"/>
      <c r="C354" s="45"/>
      <c r="D354" s="45"/>
      <c r="E354" s="45"/>
      <c r="F354" s="45"/>
      <c r="G354" s="45"/>
      <c r="H354" s="45"/>
      <c r="I354" s="46">
        <f>J350+J351+J352</f>
        <v>23358.129999999997</v>
      </c>
      <c r="J354" s="46"/>
      <c r="K354" s="47">
        <f>IF(Source!I207&lt;&gt;0, ROUND(I354/Source!I207, 2), 0)</f>
        <v>926.91</v>
      </c>
      <c r="P354" s="41">
        <f>I354</f>
        <v>23358.129999999997</v>
      </c>
    </row>
    <row r="355" spans="1:22" ht="42.75" x14ac:dyDescent="0.2">
      <c r="A355" s="34" t="str">
        <f>Source!E208</f>
        <v>33</v>
      </c>
      <c r="B355" s="35" t="str">
        <f>Source!F208</f>
        <v>2.1-3303-1-1/1</v>
      </c>
      <c r="C355" s="35" t="str">
        <f>Source!G208</f>
        <v>Устройство подстилающих и выравнивающих слоев оснований из песка (10см)</v>
      </c>
      <c r="D355" s="36" t="str">
        <f>Source!H208</f>
        <v>100 м3</v>
      </c>
      <c r="E355" s="9">
        <f>Source!I208</f>
        <v>0.09</v>
      </c>
      <c r="F355" s="38"/>
      <c r="G355" s="37"/>
      <c r="H355" s="9"/>
      <c r="I355" s="9"/>
      <c r="J355" s="39"/>
      <c r="K355" s="39"/>
      <c r="Q355">
        <f>ROUND((Source!BZ208/100)*ROUND((Source!AF208*Source!AV208)*Source!I208, 2), 2)</f>
        <v>195.27</v>
      </c>
      <c r="R355">
        <f>Source!X208</f>
        <v>195.27</v>
      </c>
      <c r="S355">
        <f>ROUND((Source!CA208/100)*ROUND((Source!AF208*Source!AV208)*Source!I208, 2), 2)</f>
        <v>27.9</v>
      </c>
      <c r="T355">
        <f>Source!Y208</f>
        <v>27.9</v>
      </c>
      <c r="U355">
        <f>ROUND((175/100)*ROUND((Source!AE208*Source!AV208)*Source!I208, 2), 2)</f>
        <v>507.62</v>
      </c>
      <c r="V355">
        <f>ROUND((108/100)*ROUND(Source!CS208*Source!I208, 2), 2)</f>
        <v>313.27999999999997</v>
      </c>
    </row>
    <row r="356" spans="1:22" x14ac:dyDescent="0.2">
      <c r="C356" s="48" t="str">
        <f>"Объем: "&amp;Source!I208&amp;"=9/"&amp;"100"</f>
        <v>Объем: 0,09=9/100</v>
      </c>
    </row>
    <row r="357" spans="1:22" ht="14.25" x14ac:dyDescent="0.2">
      <c r="A357" s="34"/>
      <c r="B357" s="35"/>
      <c r="C357" s="35" t="s">
        <v>547</v>
      </c>
      <c r="D357" s="36"/>
      <c r="E357" s="9"/>
      <c r="F357" s="38">
        <f>Source!AO208</f>
        <v>3099.54</v>
      </c>
      <c r="G357" s="37" t="str">
        <f>Source!DG208</f>
        <v/>
      </c>
      <c r="H357" s="9">
        <f>Source!AV208</f>
        <v>1</v>
      </c>
      <c r="I357" s="9">
        <f>IF(Source!BA208&lt;&gt; 0, Source!BA208, 1)</f>
        <v>1</v>
      </c>
      <c r="J357" s="39">
        <f>Source!S208</f>
        <v>278.95999999999998</v>
      </c>
      <c r="K357" s="39"/>
    </row>
    <row r="358" spans="1:22" ht="14.25" x14ac:dyDescent="0.2">
      <c r="A358" s="34"/>
      <c r="B358" s="35"/>
      <c r="C358" s="35" t="s">
        <v>548</v>
      </c>
      <c r="D358" s="36"/>
      <c r="E358" s="9"/>
      <c r="F358" s="38">
        <f>Source!AM208</f>
        <v>7602.23</v>
      </c>
      <c r="G358" s="37" t="str">
        <f>Source!DE208</f>
        <v/>
      </c>
      <c r="H358" s="9">
        <f>Source!AV208</f>
        <v>1</v>
      </c>
      <c r="I358" s="9">
        <f>IF(Source!BB208&lt;&gt; 0, Source!BB208, 1)</f>
        <v>1</v>
      </c>
      <c r="J358" s="39">
        <f>Source!Q208</f>
        <v>684.2</v>
      </c>
      <c r="K358" s="39"/>
    </row>
    <row r="359" spans="1:22" ht="14.25" x14ac:dyDescent="0.2">
      <c r="A359" s="34"/>
      <c r="B359" s="35"/>
      <c r="C359" s="35" t="s">
        <v>549</v>
      </c>
      <c r="D359" s="36"/>
      <c r="E359" s="9"/>
      <c r="F359" s="38">
        <f>Source!AN208</f>
        <v>3222.98</v>
      </c>
      <c r="G359" s="37" t="str">
        <f>Source!DF208</f>
        <v/>
      </c>
      <c r="H359" s="9">
        <f>Source!AV208</f>
        <v>1</v>
      </c>
      <c r="I359" s="9">
        <f>IF(Source!BS208&lt;&gt; 0, Source!BS208, 1)</f>
        <v>1</v>
      </c>
      <c r="J359" s="40">
        <f>Source!R208</f>
        <v>290.07</v>
      </c>
      <c r="K359" s="39"/>
    </row>
    <row r="360" spans="1:22" ht="14.25" x14ac:dyDescent="0.2">
      <c r="A360" s="34"/>
      <c r="B360" s="35"/>
      <c r="C360" s="35" t="s">
        <v>556</v>
      </c>
      <c r="D360" s="36"/>
      <c r="E360" s="9"/>
      <c r="F360" s="38">
        <f>Source!AL208</f>
        <v>65162.05</v>
      </c>
      <c r="G360" s="37" t="str">
        <f>Source!DD208</f>
        <v/>
      </c>
      <c r="H360" s="9">
        <f>Source!AW208</f>
        <v>1</v>
      </c>
      <c r="I360" s="9">
        <f>IF(Source!BC208&lt;&gt; 0, Source!BC208, 1)</f>
        <v>1</v>
      </c>
      <c r="J360" s="39">
        <f>Source!P208</f>
        <v>5864.58</v>
      </c>
      <c r="K360" s="39"/>
    </row>
    <row r="361" spans="1:22" ht="14.25" x14ac:dyDescent="0.2">
      <c r="A361" s="34"/>
      <c r="B361" s="35"/>
      <c r="C361" s="35" t="s">
        <v>550</v>
      </c>
      <c r="D361" s="36" t="s">
        <v>551</v>
      </c>
      <c r="E361" s="9">
        <f>Source!AT208</f>
        <v>70</v>
      </c>
      <c r="F361" s="38"/>
      <c r="G361" s="37"/>
      <c r="H361" s="9"/>
      <c r="I361" s="9"/>
      <c r="J361" s="39">
        <f>SUM(R355:R360)</f>
        <v>195.27</v>
      </c>
      <c r="K361" s="39"/>
    </row>
    <row r="362" spans="1:22" ht="14.25" x14ac:dyDescent="0.2">
      <c r="A362" s="34"/>
      <c r="B362" s="35"/>
      <c r="C362" s="35" t="s">
        <v>552</v>
      </c>
      <c r="D362" s="36" t="s">
        <v>551</v>
      </c>
      <c r="E362" s="9">
        <f>Source!AU208</f>
        <v>10</v>
      </c>
      <c r="F362" s="38"/>
      <c r="G362" s="37"/>
      <c r="H362" s="9"/>
      <c r="I362" s="9"/>
      <c r="J362" s="39">
        <f>SUM(T355:T361)</f>
        <v>27.9</v>
      </c>
      <c r="K362" s="39"/>
    </row>
    <row r="363" spans="1:22" ht="14.25" x14ac:dyDescent="0.2">
      <c r="A363" s="34"/>
      <c r="B363" s="35"/>
      <c r="C363" s="35" t="s">
        <v>553</v>
      </c>
      <c r="D363" s="36" t="s">
        <v>551</v>
      </c>
      <c r="E363" s="9">
        <f>108</f>
        <v>108</v>
      </c>
      <c r="F363" s="38"/>
      <c r="G363" s="37"/>
      <c r="H363" s="9"/>
      <c r="I363" s="9"/>
      <c r="J363" s="39">
        <f>SUM(V355:V362)</f>
        <v>313.27999999999997</v>
      </c>
      <c r="K363" s="39"/>
    </row>
    <row r="364" spans="1:22" ht="14.25" x14ac:dyDescent="0.2">
      <c r="A364" s="34"/>
      <c r="B364" s="35"/>
      <c r="C364" s="35" t="s">
        <v>554</v>
      </c>
      <c r="D364" s="36" t="s">
        <v>555</v>
      </c>
      <c r="E364" s="9">
        <f>Source!AQ208</f>
        <v>16.559999999999999</v>
      </c>
      <c r="F364" s="38"/>
      <c r="G364" s="37" t="str">
        <f>Source!DI208</f>
        <v/>
      </c>
      <c r="H364" s="9">
        <f>Source!AV208</f>
        <v>1</v>
      </c>
      <c r="I364" s="9"/>
      <c r="J364" s="39"/>
      <c r="K364" s="39">
        <f>Source!U208</f>
        <v>1.4903999999999997</v>
      </c>
    </row>
    <row r="365" spans="1:22" ht="15" x14ac:dyDescent="0.25">
      <c r="A365" s="45"/>
      <c r="B365" s="45"/>
      <c r="C365" s="45"/>
      <c r="D365" s="45"/>
      <c r="E365" s="45"/>
      <c r="F365" s="45"/>
      <c r="G365" s="45"/>
      <c r="H365" s="45"/>
      <c r="I365" s="46">
        <f>J357+J358+J360+J361+J362+J363</f>
        <v>7364.19</v>
      </c>
      <c r="J365" s="46"/>
      <c r="K365" s="47">
        <f>IF(Source!I208&lt;&gt;0, ROUND(I365/Source!I208, 2), 0)</f>
        <v>81824.33</v>
      </c>
      <c r="P365" s="41">
        <f>I365</f>
        <v>7364.19</v>
      </c>
    </row>
    <row r="366" spans="1:22" ht="28.5" x14ac:dyDescent="0.2">
      <c r="A366" s="34" t="str">
        <f>Source!E209</f>
        <v>34</v>
      </c>
      <c r="B366" s="35" t="str">
        <f>Source!F209</f>
        <v>2.1-3303-10-1/1</v>
      </c>
      <c r="C366" s="35" t="str">
        <f>Source!G209</f>
        <v>Устройство оснований под тротуары или дорожки из щебня толщиной 12 см</v>
      </c>
      <c r="D366" s="36" t="str">
        <f>Source!H209</f>
        <v>100 м2</v>
      </c>
      <c r="E366" s="9">
        <f>Source!I209</f>
        <v>0.9</v>
      </c>
      <c r="F366" s="38"/>
      <c r="G366" s="37"/>
      <c r="H366" s="9"/>
      <c r="I366" s="9"/>
      <c r="J366" s="39"/>
      <c r="K366" s="39"/>
      <c r="Q366">
        <f>ROUND((Source!BZ209/100)*ROUND((Source!AF209*Source!AV209)*Source!I209, 2), 2)</f>
        <v>3558.46</v>
      </c>
      <c r="R366">
        <f>Source!X209</f>
        <v>3558.46</v>
      </c>
      <c r="S366">
        <f>ROUND((Source!CA209/100)*ROUND((Source!AF209*Source!AV209)*Source!I209, 2), 2)</f>
        <v>508.35</v>
      </c>
      <c r="T366">
        <f>Source!Y209</f>
        <v>508.35</v>
      </c>
      <c r="U366">
        <f>ROUND((175/100)*ROUND((Source!AE209*Source!AV209)*Source!I209, 2), 2)</f>
        <v>1778.46</v>
      </c>
      <c r="V366">
        <f>ROUND((108/100)*ROUND(Source!CS209*Source!I209, 2), 2)</f>
        <v>1097.56</v>
      </c>
    </row>
    <row r="367" spans="1:22" x14ac:dyDescent="0.2">
      <c r="C367" s="48" t="str">
        <f>"Объем: "&amp;Source!I209&amp;"=90/"&amp;"100"</f>
        <v>Объем: 0,9=90/100</v>
      </c>
    </row>
    <row r="368" spans="1:22" ht="14.25" x14ac:dyDescent="0.2">
      <c r="A368" s="34"/>
      <c r="B368" s="35"/>
      <c r="C368" s="35" t="s">
        <v>547</v>
      </c>
      <c r="D368" s="36"/>
      <c r="E368" s="9"/>
      <c r="F368" s="38">
        <f>Source!AO209</f>
        <v>5648.35</v>
      </c>
      <c r="G368" s="37" t="str">
        <f>Source!DG209</f>
        <v/>
      </c>
      <c r="H368" s="9">
        <f>Source!AV209</f>
        <v>1</v>
      </c>
      <c r="I368" s="9">
        <f>IF(Source!BA209&lt;&gt; 0, Source!BA209, 1)</f>
        <v>1</v>
      </c>
      <c r="J368" s="39">
        <f>Source!S209</f>
        <v>5083.5200000000004</v>
      </c>
      <c r="K368" s="39"/>
    </row>
    <row r="369" spans="1:22" ht="14.25" x14ac:dyDescent="0.2">
      <c r="A369" s="34"/>
      <c r="B369" s="35"/>
      <c r="C369" s="35" t="s">
        <v>548</v>
      </c>
      <c r="D369" s="36"/>
      <c r="E369" s="9"/>
      <c r="F369" s="38">
        <f>Source!AM209</f>
        <v>3236.38</v>
      </c>
      <c r="G369" s="37" t="str">
        <f>Source!DE209</f>
        <v/>
      </c>
      <c r="H369" s="9">
        <f>Source!AV209</f>
        <v>1</v>
      </c>
      <c r="I369" s="9">
        <f>IF(Source!BB209&lt;&gt; 0, Source!BB209, 1)</f>
        <v>1</v>
      </c>
      <c r="J369" s="39">
        <f>Source!Q209</f>
        <v>2912.74</v>
      </c>
      <c r="K369" s="39"/>
    </row>
    <row r="370" spans="1:22" ht="14.25" x14ac:dyDescent="0.2">
      <c r="A370" s="34"/>
      <c r="B370" s="35"/>
      <c r="C370" s="35" t="s">
        <v>549</v>
      </c>
      <c r="D370" s="36"/>
      <c r="E370" s="9"/>
      <c r="F370" s="38">
        <f>Source!AN209</f>
        <v>1129.18</v>
      </c>
      <c r="G370" s="37" t="str">
        <f>Source!DF209</f>
        <v/>
      </c>
      <c r="H370" s="9">
        <f>Source!AV209</f>
        <v>1</v>
      </c>
      <c r="I370" s="9">
        <f>IF(Source!BS209&lt;&gt; 0, Source!BS209, 1)</f>
        <v>1</v>
      </c>
      <c r="J370" s="40">
        <f>Source!R209</f>
        <v>1016.26</v>
      </c>
      <c r="K370" s="39"/>
    </row>
    <row r="371" spans="1:22" ht="14.25" x14ac:dyDescent="0.2">
      <c r="A371" s="34"/>
      <c r="B371" s="35"/>
      <c r="C371" s="35" t="s">
        <v>556</v>
      </c>
      <c r="D371" s="36"/>
      <c r="E371" s="9"/>
      <c r="F371" s="38">
        <f>Source!AL209</f>
        <v>25065.599999999999</v>
      </c>
      <c r="G371" s="37" t="str">
        <f>Source!DD209</f>
        <v/>
      </c>
      <c r="H371" s="9">
        <f>Source!AW209</f>
        <v>1</v>
      </c>
      <c r="I371" s="9">
        <f>IF(Source!BC209&lt;&gt; 0, Source!BC209, 1)</f>
        <v>1</v>
      </c>
      <c r="J371" s="39">
        <f>Source!P209</f>
        <v>22559.040000000001</v>
      </c>
      <c r="K371" s="39"/>
    </row>
    <row r="372" spans="1:22" ht="42.75" x14ac:dyDescent="0.2">
      <c r="A372" s="34" t="str">
        <f>Source!E210</f>
        <v>34,1</v>
      </c>
      <c r="B372" s="35" t="str">
        <f>Source!F210</f>
        <v>21.1-12-36</v>
      </c>
      <c r="C372" s="35" t="str">
        <f>Source!G210</f>
        <v>Щебень из естественного камня для строительных работ, марка 1200-800, фракция 20-40 мм</v>
      </c>
      <c r="D372" s="36" t="str">
        <f>Source!H210</f>
        <v>м3</v>
      </c>
      <c r="E372" s="9">
        <f>Source!I210</f>
        <v>15.659999999999998</v>
      </c>
      <c r="F372" s="38">
        <f>Source!AK210</f>
        <v>1763.75</v>
      </c>
      <c r="G372" s="49" t="s">
        <v>3</v>
      </c>
      <c r="H372" s="9">
        <f>Source!AW210</f>
        <v>1</v>
      </c>
      <c r="I372" s="9">
        <f>IF(Source!BC210&lt;&gt; 0, Source!BC210, 1)</f>
        <v>1</v>
      </c>
      <c r="J372" s="39">
        <f>Source!O210</f>
        <v>27620.33</v>
      </c>
      <c r="K372" s="39"/>
      <c r="Q372">
        <f>ROUND((Source!BZ210/100)*ROUND((Source!AF210*Source!AV210)*Source!I210, 2), 2)</f>
        <v>0</v>
      </c>
      <c r="R372">
        <f>Source!X210</f>
        <v>0</v>
      </c>
      <c r="S372">
        <f>ROUND((Source!CA210/100)*ROUND((Source!AF210*Source!AV210)*Source!I210, 2), 2)</f>
        <v>0</v>
      </c>
      <c r="T372">
        <f>Source!Y210</f>
        <v>0</v>
      </c>
      <c r="U372">
        <f>ROUND((175/100)*ROUND((Source!AE210*Source!AV210)*Source!I210, 2), 2)</f>
        <v>0</v>
      </c>
      <c r="V372">
        <f>ROUND((108/100)*ROUND(Source!CS210*Source!I210, 2), 2)</f>
        <v>0</v>
      </c>
    </row>
    <row r="373" spans="1:22" ht="42.75" x14ac:dyDescent="0.2">
      <c r="A373" s="34" t="str">
        <f>Source!E211</f>
        <v>34,2</v>
      </c>
      <c r="B373" s="35" t="str">
        <f>Source!F211</f>
        <v>21.1-12-50</v>
      </c>
      <c r="C373" s="35" t="str">
        <f>Source!G211</f>
        <v>Щебень из естественного камня, декоративный, фракционированный известняковый</v>
      </c>
      <c r="D373" s="36" t="str">
        <f>Source!H211</f>
        <v>м3</v>
      </c>
      <c r="E373" s="9">
        <f>Source!I211</f>
        <v>-15.659999999999998</v>
      </c>
      <c r="F373" s="38">
        <f>Source!AK211</f>
        <v>1436.5</v>
      </c>
      <c r="G373" s="49" t="s">
        <v>3</v>
      </c>
      <c r="H373" s="9">
        <f>Source!AW211</f>
        <v>1</v>
      </c>
      <c r="I373" s="9">
        <f>IF(Source!BC211&lt;&gt; 0, Source!BC211, 1)</f>
        <v>1</v>
      </c>
      <c r="J373" s="39">
        <f>Source!O211</f>
        <v>-22495.59</v>
      </c>
      <c r="K373" s="39"/>
      <c r="Q373">
        <f>ROUND((Source!BZ211/100)*ROUND((Source!AF211*Source!AV211)*Source!I211, 2), 2)</f>
        <v>0</v>
      </c>
      <c r="R373">
        <f>Source!X211</f>
        <v>0</v>
      </c>
      <c r="S373">
        <f>ROUND((Source!CA211/100)*ROUND((Source!AF211*Source!AV211)*Source!I211, 2), 2)</f>
        <v>0</v>
      </c>
      <c r="T373">
        <f>Source!Y211</f>
        <v>0</v>
      </c>
      <c r="U373">
        <f>ROUND((175/100)*ROUND((Source!AE211*Source!AV211)*Source!I211, 2), 2)</f>
        <v>0</v>
      </c>
      <c r="V373">
        <f>ROUND((108/100)*ROUND(Source!CS211*Source!I211, 2), 2)</f>
        <v>0</v>
      </c>
    </row>
    <row r="374" spans="1:22" ht="14.25" x14ac:dyDescent="0.2">
      <c r="A374" s="34"/>
      <c r="B374" s="35"/>
      <c r="C374" s="35" t="s">
        <v>550</v>
      </c>
      <c r="D374" s="36" t="s">
        <v>551</v>
      </c>
      <c r="E374" s="9">
        <f>Source!AT209</f>
        <v>70</v>
      </c>
      <c r="F374" s="38"/>
      <c r="G374" s="37"/>
      <c r="H374" s="9"/>
      <c r="I374" s="9"/>
      <c r="J374" s="39">
        <f>SUM(R366:R373)</f>
        <v>3558.46</v>
      </c>
      <c r="K374" s="39"/>
    </row>
    <row r="375" spans="1:22" ht="14.25" x14ac:dyDescent="0.2">
      <c r="A375" s="34"/>
      <c r="B375" s="35"/>
      <c r="C375" s="35" t="s">
        <v>552</v>
      </c>
      <c r="D375" s="36" t="s">
        <v>551</v>
      </c>
      <c r="E375" s="9">
        <f>Source!AU209</f>
        <v>10</v>
      </c>
      <c r="F375" s="38"/>
      <c r="G375" s="37"/>
      <c r="H375" s="9"/>
      <c r="I375" s="9"/>
      <c r="J375" s="39">
        <f>SUM(T366:T374)</f>
        <v>508.35</v>
      </c>
      <c r="K375" s="39"/>
    </row>
    <row r="376" spans="1:22" ht="14.25" x14ac:dyDescent="0.2">
      <c r="A376" s="34"/>
      <c r="B376" s="35"/>
      <c r="C376" s="35" t="s">
        <v>553</v>
      </c>
      <c r="D376" s="36" t="s">
        <v>551</v>
      </c>
      <c r="E376" s="9">
        <f>108</f>
        <v>108</v>
      </c>
      <c r="F376" s="38"/>
      <c r="G376" s="37"/>
      <c r="H376" s="9"/>
      <c r="I376" s="9"/>
      <c r="J376" s="39">
        <f>SUM(V366:V375)</f>
        <v>1097.56</v>
      </c>
      <c r="K376" s="39"/>
    </row>
    <row r="377" spans="1:22" ht="14.25" x14ac:dyDescent="0.2">
      <c r="A377" s="34"/>
      <c r="B377" s="35"/>
      <c r="C377" s="35" t="s">
        <v>554</v>
      </c>
      <c r="D377" s="36" t="s">
        <v>555</v>
      </c>
      <c r="E377" s="9">
        <f>Source!AQ209</f>
        <v>27.94</v>
      </c>
      <c r="F377" s="38"/>
      <c r="G377" s="37" t="str">
        <f>Source!DI209</f>
        <v/>
      </c>
      <c r="H377" s="9">
        <f>Source!AV209</f>
        <v>1</v>
      </c>
      <c r="I377" s="9"/>
      <c r="J377" s="39"/>
      <c r="K377" s="39">
        <f>Source!U209</f>
        <v>25.146000000000001</v>
      </c>
    </row>
    <row r="378" spans="1:22" ht="15" x14ac:dyDescent="0.25">
      <c r="A378" s="45"/>
      <c r="B378" s="45"/>
      <c r="C378" s="45"/>
      <c r="D378" s="45"/>
      <c r="E378" s="45"/>
      <c r="F378" s="45"/>
      <c r="G378" s="45"/>
      <c r="H378" s="45"/>
      <c r="I378" s="46">
        <f>J368+J369+J371+J374+J375+J376+SUM(J372:J373)</f>
        <v>40844.410000000003</v>
      </c>
      <c r="J378" s="46"/>
      <c r="K378" s="47">
        <f>IF(Source!I209&lt;&gt;0, ROUND(I378/Source!I209, 2), 0)</f>
        <v>45382.68</v>
      </c>
      <c r="P378" s="41">
        <f>I378</f>
        <v>40844.410000000003</v>
      </c>
    </row>
    <row r="379" spans="1:22" ht="71.25" x14ac:dyDescent="0.2">
      <c r="A379" s="34" t="str">
        <f>Source!E212</f>
        <v>35</v>
      </c>
      <c r="B379" s="35" t="str">
        <f>Source!F212</f>
        <v>2.1-3103-19-4/1</v>
      </c>
      <c r="C379" s="35" t="str">
        <f>Source!G212</f>
        <v>Устройство асфальтобетонных покрытий дорожек и тротуаров двухслойных, верхний слой из песчаной асфальтобетонной смеси толщиной 3 см</v>
      </c>
      <c r="D379" s="36" t="str">
        <f>Source!H212</f>
        <v>100 м2</v>
      </c>
      <c r="E379" s="9">
        <f>Source!I212</f>
        <v>0.9</v>
      </c>
      <c r="F379" s="38"/>
      <c r="G379" s="37"/>
      <c r="H379" s="9"/>
      <c r="I379" s="9"/>
      <c r="J379" s="39"/>
      <c r="K379" s="39"/>
      <c r="Q379">
        <f>ROUND((Source!BZ212/100)*ROUND((Source!AF212*Source!AV212)*Source!I212, 2), 2)</f>
        <v>1483.64</v>
      </c>
      <c r="R379">
        <f>Source!X212</f>
        <v>1483.64</v>
      </c>
      <c r="S379">
        <f>ROUND((Source!CA212/100)*ROUND((Source!AF212*Source!AV212)*Source!I212, 2), 2)</f>
        <v>211.95</v>
      </c>
      <c r="T379">
        <f>Source!Y212</f>
        <v>211.95</v>
      </c>
      <c r="U379">
        <f>ROUND((175/100)*ROUND((Source!AE212*Source!AV212)*Source!I212, 2), 2)</f>
        <v>742.96</v>
      </c>
      <c r="V379">
        <f>ROUND((108/100)*ROUND(Source!CS212*Source!I212, 2), 2)</f>
        <v>458.51</v>
      </c>
    </row>
    <row r="380" spans="1:22" x14ac:dyDescent="0.2">
      <c r="C380" s="48" t="str">
        <f>"Объем: "&amp;Source!I212&amp;"=90/"&amp;"100"</f>
        <v>Объем: 0,9=90/100</v>
      </c>
    </row>
    <row r="381" spans="1:22" ht="14.25" x14ac:dyDescent="0.2">
      <c r="A381" s="34"/>
      <c r="B381" s="35"/>
      <c r="C381" s="35" t="s">
        <v>547</v>
      </c>
      <c r="D381" s="36"/>
      <c r="E381" s="9"/>
      <c r="F381" s="38">
        <f>Source!AO212</f>
        <v>2354.9899999999998</v>
      </c>
      <c r="G381" s="37" t="str">
        <f>Source!DG212</f>
        <v/>
      </c>
      <c r="H381" s="9">
        <f>Source!AV212</f>
        <v>1</v>
      </c>
      <c r="I381" s="9">
        <f>IF(Source!BA212&lt;&gt; 0, Source!BA212, 1)</f>
        <v>1</v>
      </c>
      <c r="J381" s="39">
        <f>Source!S212</f>
        <v>2119.4899999999998</v>
      </c>
      <c r="K381" s="39"/>
    </row>
    <row r="382" spans="1:22" ht="14.25" x14ac:dyDescent="0.2">
      <c r="A382" s="34"/>
      <c r="B382" s="35"/>
      <c r="C382" s="35" t="s">
        <v>548</v>
      </c>
      <c r="D382" s="36"/>
      <c r="E382" s="9"/>
      <c r="F382" s="38">
        <f>Source!AM212</f>
        <v>1123.06</v>
      </c>
      <c r="G382" s="37" t="str">
        <f>Source!DE212</f>
        <v/>
      </c>
      <c r="H382" s="9">
        <f>Source!AV212</f>
        <v>1</v>
      </c>
      <c r="I382" s="9">
        <f>IF(Source!BB212&lt;&gt; 0, Source!BB212, 1)</f>
        <v>1</v>
      </c>
      <c r="J382" s="39">
        <f>Source!Q212</f>
        <v>1010.75</v>
      </c>
      <c r="K382" s="39"/>
    </row>
    <row r="383" spans="1:22" ht="14.25" x14ac:dyDescent="0.2">
      <c r="A383" s="34"/>
      <c r="B383" s="35"/>
      <c r="C383" s="35" t="s">
        <v>549</v>
      </c>
      <c r="D383" s="36"/>
      <c r="E383" s="9"/>
      <c r="F383" s="38">
        <f>Source!AN212</f>
        <v>471.72</v>
      </c>
      <c r="G383" s="37" t="str">
        <f>Source!DF212</f>
        <v/>
      </c>
      <c r="H383" s="9">
        <f>Source!AV212</f>
        <v>1</v>
      </c>
      <c r="I383" s="9">
        <f>IF(Source!BS212&lt;&gt; 0, Source!BS212, 1)</f>
        <v>1</v>
      </c>
      <c r="J383" s="40">
        <f>Source!R212</f>
        <v>424.55</v>
      </c>
      <c r="K383" s="39"/>
    </row>
    <row r="384" spans="1:22" ht="14.25" x14ac:dyDescent="0.2">
      <c r="A384" s="34"/>
      <c r="B384" s="35"/>
      <c r="C384" s="35" t="s">
        <v>556</v>
      </c>
      <c r="D384" s="36"/>
      <c r="E384" s="9"/>
      <c r="F384" s="38">
        <f>Source!AL212</f>
        <v>20488.849999999999</v>
      </c>
      <c r="G384" s="37" t="str">
        <f>Source!DD212</f>
        <v/>
      </c>
      <c r="H384" s="9">
        <f>Source!AW212</f>
        <v>1</v>
      </c>
      <c r="I384" s="9">
        <f>IF(Source!BC212&lt;&gt; 0, Source!BC212, 1)</f>
        <v>1</v>
      </c>
      <c r="J384" s="39">
        <f>Source!P212</f>
        <v>18439.97</v>
      </c>
      <c r="K384" s="39"/>
    </row>
    <row r="385" spans="1:22" ht="14.25" x14ac:dyDescent="0.2">
      <c r="A385" s="34"/>
      <c r="B385" s="35"/>
      <c r="C385" s="35" t="s">
        <v>550</v>
      </c>
      <c r="D385" s="36" t="s">
        <v>551</v>
      </c>
      <c r="E385" s="9">
        <f>Source!AT212</f>
        <v>70</v>
      </c>
      <c r="F385" s="38"/>
      <c r="G385" s="37"/>
      <c r="H385" s="9"/>
      <c r="I385" s="9"/>
      <c r="J385" s="39">
        <f>SUM(R379:R384)</f>
        <v>1483.64</v>
      </c>
      <c r="K385" s="39"/>
    </row>
    <row r="386" spans="1:22" ht="14.25" x14ac:dyDescent="0.2">
      <c r="A386" s="34"/>
      <c r="B386" s="35"/>
      <c r="C386" s="35" t="s">
        <v>552</v>
      </c>
      <c r="D386" s="36" t="s">
        <v>551</v>
      </c>
      <c r="E386" s="9">
        <f>Source!AU212</f>
        <v>10</v>
      </c>
      <c r="F386" s="38"/>
      <c r="G386" s="37"/>
      <c r="H386" s="9"/>
      <c r="I386" s="9"/>
      <c r="J386" s="39">
        <f>SUM(T379:T385)</f>
        <v>211.95</v>
      </c>
      <c r="K386" s="39"/>
    </row>
    <row r="387" spans="1:22" ht="14.25" x14ac:dyDescent="0.2">
      <c r="A387" s="34"/>
      <c r="B387" s="35"/>
      <c r="C387" s="35" t="s">
        <v>553</v>
      </c>
      <c r="D387" s="36" t="s">
        <v>551</v>
      </c>
      <c r="E387" s="9">
        <f>108</f>
        <v>108</v>
      </c>
      <c r="F387" s="38"/>
      <c r="G387" s="37"/>
      <c r="H387" s="9"/>
      <c r="I387" s="9"/>
      <c r="J387" s="39">
        <f>SUM(V379:V386)</f>
        <v>458.51</v>
      </c>
      <c r="K387" s="39"/>
    </row>
    <row r="388" spans="1:22" ht="14.25" x14ac:dyDescent="0.2">
      <c r="A388" s="34"/>
      <c r="B388" s="35"/>
      <c r="C388" s="35" t="s">
        <v>554</v>
      </c>
      <c r="D388" s="36" t="s">
        <v>555</v>
      </c>
      <c r="E388" s="9">
        <f>Source!AQ212</f>
        <v>10.3</v>
      </c>
      <c r="F388" s="38"/>
      <c r="G388" s="37" t="str">
        <f>Source!DI212</f>
        <v/>
      </c>
      <c r="H388" s="9">
        <f>Source!AV212</f>
        <v>1</v>
      </c>
      <c r="I388" s="9"/>
      <c r="J388" s="39"/>
      <c r="K388" s="39">
        <f>Source!U212</f>
        <v>9.2700000000000014</v>
      </c>
    </row>
    <row r="389" spans="1:22" ht="15" x14ac:dyDescent="0.25">
      <c r="A389" s="45"/>
      <c r="B389" s="45"/>
      <c r="C389" s="45"/>
      <c r="D389" s="45"/>
      <c r="E389" s="45"/>
      <c r="F389" s="45"/>
      <c r="G389" s="45"/>
      <c r="H389" s="45"/>
      <c r="I389" s="46">
        <f>J381+J382+J384+J385+J386+J387</f>
        <v>23724.309999999998</v>
      </c>
      <c r="J389" s="46"/>
      <c r="K389" s="47">
        <f>IF(Source!I212&lt;&gt;0, ROUND(I389/Source!I212, 2), 0)</f>
        <v>26360.34</v>
      </c>
      <c r="P389" s="41">
        <f>I389</f>
        <v>23724.309999999998</v>
      </c>
    </row>
    <row r="390" spans="1:22" ht="57" x14ac:dyDescent="0.2">
      <c r="A390" s="34" t="str">
        <f>Source!E213</f>
        <v>36</v>
      </c>
      <c r="B390" s="35" t="str">
        <f>Source!F213</f>
        <v>5.3-3103-11-1/1</v>
      </c>
      <c r="C390" s="35" t="str">
        <f>Source!G213</f>
        <v>Устройство наливного полиуретанового покрытия спортивных площадок и беговых дорожек толщиной 10 мм</v>
      </c>
      <c r="D390" s="36" t="str">
        <f>Source!H213</f>
        <v>100 м2</v>
      </c>
      <c r="E390" s="9">
        <f>Source!I213</f>
        <v>0.9</v>
      </c>
      <c r="F390" s="38"/>
      <c r="G390" s="37"/>
      <c r="H390" s="9"/>
      <c r="I390" s="9"/>
      <c r="J390" s="39"/>
      <c r="K390" s="39"/>
      <c r="Q390">
        <f>ROUND((Source!BZ213/100)*ROUND((Source!AF213*Source!AV213)*Source!I213, 2), 2)</f>
        <v>2568.2800000000002</v>
      </c>
      <c r="R390">
        <f>Source!X213</f>
        <v>2568.2800000000002</v>
      </c>
      <c r="S390">
        <f>ROUND((Source!CA213/100)*ROUND((Source!AF213*Source!AV213)*Source!I213, 2), 2)</f>
        <v>366.9</v>
      </c>
      <c r="T390">
        <f>Source!Y213</f>
        <v>366.9</v>
      </c>
      <c r="U390">
        <f>ROUND((175/100)*ROUND((Source!AE213*Source!AV213)*Source!I213, 2), 2)</f>
        <v>3249.94</v>
      </c>
      <c r="V390">
        <f>ROUND((108/100)*ROUND(Source!CS213*Source!I213, 2), 2)</f>
        <v>2005.68</v>
      </c>
    </row>
    <row r="391" spans="1:22" x14ac:dyDescent="0.2">
      <c r="C391" s="48" t="str">
        <f>"Объем: "&amp;Source!I213&amp;"=90/"&amp;"100"</f>
        <v>Объем: 0,9=90/100</v>
      </c>
    </row>
    <row r="392" spans="1:22" ht="14.25" x14ac:dyDescent="0.2">
      <c r="A392" s="34"/>
      <c r="B392" s="35"/>
      <c r="C392" s="35" t="s">
        <v>547</v>
      </c>
      <c r="D392" s="36"/>
      <c r="E392" s="9"/>
      <c r="F392" s="38">
        <f>Source!AO213</f>
        <v>4076.63</v>
      </c>
      <c r="G392" s="37" t="str">
        <f>Source!DG213</f>
        <v/>
      </c>
      <c r="H392" s="9">
        <f>Source!AV213</f>
        <v>1</v>
      </c>
      <c r="I392" s="9">
        <f>IF(Source!BA213&lt;&gt; 0, Source!BA213, 1)</f>
        <v>1</v>
      </c>
      <c r="J392" s="39">
        <f>Source!S213</f>
        <v>3668.97</v>
      </c>
      <c r="K392" s="39"/>
    </row>
    <row r="393" spans="1:22" ht="14.25" x14ac:dyDescent="0.2">
      <c r="A393" s="34"/>
      <c r="B393" s="35"/>
      <c r="C393" s="35" t="s">
        <v>548</v>
      </c>
      <c r="D393" s="36"/>
      <c r="E393" s="9"/>
      <c r="F393" s="38">
        <f>Source!AM213</f>
        <v>2617.25</v>
      </c>
      <c r="G393" s="37" t="str">
        <f>Source!DE213</f>
        <v/>
      </c>
      <c r="H393" s="9">
        <f>Source!AV213</f>
        <v>1</v>
      </c>
      <c r="I393" s="9">
        <f>IF(Source!BB213&lt;&gt; 0, Source!BB213, 1)</f>
        <v>1</v>
      </c>
      <c r="J393" s="39">
        <f>Source!Q213</f>
        <v>2355.5300000000002</v>
      </c>
      <c r="K393" s="39"/>
    </row>
    <row r="394" spans="1:22" ht="14.25" x14ac:dyDescent="0.2">
      <c r="A394" s="34"/>
      <c r="B394" s="35"/>
      <c r="C394" s="35" t="s">
        <v>549</v>
      </c>
      <c r="D394" s="36"/>
      <c r="E394" s="9"/>
      <c r="F394" s="38">
        <f>Source!AN213</f>
        <v>2063.46</v>
      </c>
      <c r="G394" s="37" t="str">
        <f>Source!DF213</f>
        <v/>
      </c>
      <c r="H394" s="9">
        <f>Source!AV213</f>
        <v>1</v>
      </c>
      <c r="I394" s="9">
        <f>IF(Source!BS213&lt;&gt; 0, Source!BS213, 1)</f>
        <v>1</v>
      </c>
      <c r="J394" s="40">
        <f>Source!R213</f>
        <v>1857.11</v>
      </c>
      <c r="K394" s="39"/>
    </row>
    <row r="395" spans="1:22" ht="14.25" x14ac:dyDescent="0.2">
      <c r="A395" s="34"/>
      <c r="B395" s="35"/>
      <c r="C395" s="35" t="s">
        <v>556</v>
      </c>
      <c r="D395" s="36"/>
      <c r="E395" s="9"/>
      <c r="F395" s="38">
        <f>Source!AL213</f>
        <v>102359.62</v>
      </c>
      <c r="G395" s="37" t="str">
        <f>Source!DD213</f>
        <v/>
      </c>
      <c r="H395" s="9">
        <f>Source!AW213</f>
        <v>1</v>
      </c>
      <c r="I395" s="9">
        <f>IF(Source!BC213&lt;&gt; 0, Source!BC213, 1)</f>
        <v>1</v>
      </c>
      <c r="J395" s="39">
        <f>Source!P213</f>
        <v>92123.66</v>
      </c>
      <c r="K395" s="39"/>
    </row>
    <row r="396" spans="1:22" ht="14.25" x14ac:dyDescent="0.2">
      <c r="A396" s="34"/>
      <c r="B396" s="35"/>
      <c r="C396" s="35" t="s">
        <v>550</v>
      </c>
      <c r="D396" s="36" t="s">
        <v>551</v>
      </c>
      <c r="E396" s="9">
        <f>Source!AT213</f>
        <v>70</v>
      </c>
      <c r="F396" s="38"/>
      <c r="G396" s="37"/>
      <c r="H396" s="9"/>
      <c r="I396" s="9"/>
      <c r="J396" s="39">
        <f>SUM(R390:R395)</f>
        <v>2568.2800000000002</v>
      </c>
      <c r="K396" s="39"/>
    </row>
    <row r="397" spans="1:22" ht="14.25" x14ac:dyDescent="0.2">
      <c r="A397" s="34"/>
      <c r="B397" s="35"/>
      <c r="C397" s="35" t="s">
        <v>552</v>
      </c>
      <c r="D397" s="36" t="s">
        <v>551</v>
      </c>
      <c r="E397" s="9">
        <f>Source!AU213</f>
        <v>10</v>
      </c>
      <c r="F397" s="38"/>
      <c r="G397" s="37"/>
      <c r="H397" s="9"/>
      <c r="I397" s="9"/>
      <c r="J397" s="39">
        <f>SUM(T390:T396)</f>
        <v>366.9</v>
      </c>
      <c r="K397" s="39"/>
    </row>
    <row r="398" spans="1:22" ht="14.25" x14ac:dyDescent="0.2">
      <c r="A398" s="34"/>
      <c r="B398" s="35"/>
      <c r="C398" s="35" t="s">
        <v>553</v>
      </c>
      <c r="D398" s="36" t="s">
        <v>551</v>
      </c>
      <c r="E398" s="9">
        <f>108</f>
        <v>108</v>
      </c>
      <c r="F398" s="38"/>
      <c r="G398" s="37"/>
      <c r="H398" s="9"/>
      <c r="I398" s="9"/>
      <c r="J398" s="39">
        <f>SUM(V390:V397)</f>
        <v>2005.68</v>
      </c>
      <c r="K398" s="39"/>
    </row>
    <row r="399" spans="1:22" ht="14.25" x14ac:dyDescent="0.2">
      <c r="A399" s="34"/>
      <c r="B399" s="35"/>
      <c r="C399" s="35" t="s">
        <v>554</v>
      </c>
      <c r="D399" s="36" t="s">
        <v>555</v>
      </c>
      <c r="E399" s="9">
        <f>Source!AQ213</f>
        <v>18.440000000000001</v>
      </c>
      <c r="F399" s="38"/>
      <c r="G399" s="37" t="str">
        <f>Source!DI213</f>
        <v/>
      </c>
      <c r="H399" s="9">
        <f>Source!AV213</f>
        <v>1</v>
      </c>
      <c r="I399" s="9"/>
      <c r="J399" s="39"/>
      <c r="K399" s="39">
        <f>Source!U213</f>
        <v>16.596</v>
      </c>
    </row>
    <row r="400" spans="1:22" ht="15" x14ac:dyDescent="0.25">
      <c r="A400" s="45"/>
      <c r="B400" s="45"/>
      <c r="C400" s="45"/>
      <c r="D400" s="45"/>
      <c r="E400" s="45"/>
      <c r="F400" s="45"/>
      <c r="G400" s="45"/>
      <c r="H400" s="45"/>
      <c r="I400" s="46">
        <f>J392+J393+J395+J396+J397+J398</f>
        <v>103089.01999999999</v>
      </c>
      <c r="J400" s="46"/>
      <c r="K400" s="47">
        <f>IF(Source!I213&lt;&gt;0, ROUND(I400/Source!I213, 2), 0)</f>
        <v>114543.36</v>
      </c>
      <c r="P400" s="41">
        <f>I400</f>
        <v>103089.01999999999</v>
      </c>
    </row>
    <row r="401" spans="1:22" ht="71.25" x14ac:dyDescent="0.2">
      <c r="A401" s="34" t="str">
        <f>Source!E214</f>
        <v>37</v>
      </c>
      <c r="B401" s="35" t="str">
        <f>Source!F214</f>
        <v>5.3-3103-11-2/1</v>
      </c>
      <c r="C401" s="35" t="str">
        <f>Source!G214</f>
        <v>Устройство наливного полиуретанового покрытия спортивных площадок и беговых дорожек, добавляется на 2 мм толщины покрытия</v>
      </c>
      <c r="D401" s="36" t="str">
        <f>Source!H214</f>
        <v>100 м2</v>
      </c>
      <c r="E401" s="9">
        <f>Source!I214</f>
        <v>0.9</v>
      </c>
      <c r="F401" s="38"/>
      <c r="G401" s="37"/>
      <c r="H401" s="9"/>
      <c r="I401" s="9"/>
      <c r="J401" s="39"/>
      <c r="K401" s="39"/>
      <c r="Q401">
        <f>ROUND((Source!BZ214/100)*ROUND((Source!AF214*Source!AV214)*Source!I214, 2), 2)</f>
        <v>379.67</v>
      </c>
      <c r="R401">
        <f>Source!X214</f>
        <v>379.67</v>
      </c>
      <c r="S401">
        <f>ROUND((Source!CA214/100)*ROUND((Source!AF214*Source!AV214)*Source!I214, 2), 2)</f>
        <v>54.24</v>
      </c>
      <c r="T401">
        <f>Source!Y214</f>
        <v>54.24</v>
      </c>
      <c r="U401">
        <f>ROUND((175/100)*ROUND((Source!AE214*Source!AV214)*Source!I214, 2), 2)</f>
        <v>613.66</v>
      </c>
      <c r="V401">
        <f>ROUND((108/100)*ROUND(Source!CS214*Source!I214, 2), 2)</f>
        <v>378.71</v>
      </c>
    </row>
    <row r="402" spans="1:22" x14ac:dyDescent="0.2">
      <c r="C402" s="48" t="str">
        <f>"Объем: "&amp;Source!I214&amp;"=90/"&amp;"100"</f>
        <v>Объем: 0,9=90/100</v>
      </c>
    </row>
    <row r="403" spans="1:22" ht="14.25" x14ac:dyDescent="0.2">
      <c r="A403" s="34"/>
      <c r="B403" s="35"/>
      <c r="C403" s="35" t="s">
        <v>547</v>
      </c>
      <c r="D403" s="36"/>
      <c r="E403" s="9"/>
      <c r="F403" s="38">
        <f>Source!AO214</f>
        <v>602.64</v>
      </c>
      <c r="G403" s="37" t="str">
        <f>Source!DG214</f>
        <v/>
      </c>
      <c r="H403" s="9">
        <f>Source!AV214</f>
        <v>1</v>
      </c>
      <c r="I403" s="9">
        <f>IF(Source!BA214&lt;&gt; 0, Source!BA214, 1)</f>
        <v>1</v>
      </c>
      <c r="J403" s="39">
        <f>Source!S214</f>
        <v>542.38</v>
      </c>
      <c r="K403" s="39"/>
    </row>
    <row r="404" spans="1:22" ht="14.25" x14ac:dyDescent="0.2">
      <c r="A404" s="34"/>
      <c r="B404" s="35"/>
      <c r="C404" s="35" t="s">
        <v>548</v>
      </c>
      <c r="D404" s="36"/>
      <c r="E404" s="9"/>
      <c r="F404" s="38">
        <f>Source!AM214</f>
        <v>492.86</v>
      </c>
      <c r="G404" s="37" t="str">
        <f>Source!DE214</f>
        <v/>
      </c>
      <c r="H404" s="9">
        <f>Source!AV214</f>
        <v>1</v>
      </c>
      <c r="I404" s="9">
        <f>IF(Source!BB214&lt;&gt; 0, Source!BB214, 1)</f>
        <v>1</v>
      </c>
      <c r="J404" s="39">
        <f>Source!Q214</f>
        <v>443.57</v>
      </c>
      <c r="K404" s="39"/>
    </row>
    <row r="405" spans="1:22" ht="14.25" x14ac:dyDescent="0.2">
      <c r="A405" s="34"/>
      <c r="B405" s="35"/>
      <c r="C405" s="35" t="s">
        <v>549</v>
      </c>
      <c r="D405" s="36"/>
      <c r="E405" s="9"/>
      <c r="F405" s="38">
        <f>Source!AN214</f>
        <v>389.62</v>
      </c>
      <c r="G405" s="37" t="str">
        <f>Source!DF214</f>
        <v/>
      </c>
      <c r="H405" s="9">
        <f>Source!AV214</f>
        <v>1</v>
      </c>
      <c r="I405" s="9">
        <f>IF(Source!BS214&lt;&gt; 0, Source!BS214, 1)</f>
        <v>1</v>
      </c>
      <c r="J405" s="40">
        <f>Source!R214</f>
        <v>350.66</v>
      </c>
      <c r="K405" s="39"/>
    </row>
    <row r="406" spans="1:22" ht="14.25" x14ac:dyDescent="0.2">
      <c r="A406" s="34"/>
      <c r="B406" s="35"/>
      <c r="C406" s="35" t="s">
        <v>556</v>
      </c>
      <c r="D406" s="36"/>
      <c r="E406" s="9"/>
      <c r="F406" s="38">
        <f>Source!AL214</f>
        <v>18967.62</v>
      </c>
      <c r="G406" s="37" t="str">
        <f>Source!DD214</f>
        <v/>
      </c>
      <c r="H406" s="9">
        <f>Source!AW214</f>
        <v>1</v>
      </c>
      <c r="I406" s="9">
        <f>IF(Source!BC214&lt;&gt; 0, Source!BC214, 1)</f>
        <v>1</v>
      </c>
      <c r="J406" s="39">
        <f>Source!P214</f>
        <v>17070.86</v>
      </c>
      <c r="K406" s="39"/>
    </row>
    <row r="407" spans="1:22" ht="14.25" x14ac:dyDescent="0.2">
      <c r="A407" s="34"/>
      <c r="B407" s="35"/>
      <c r="C407" s="35" t="s">
        <v>550</v>
      </c>
      <c r="D407" s="36" t="s">
        <v>551</v>
      </c>
      <c r="E407" s="9">
        <f>Source!AT214</f>
        <v>70</v>
      </c>
      <c r="F407" s="38"/>
      <c r="G407" s="37"/>
      <c r="H407" s="9"/>
      <c r="I407" s="9"/>
      <c r="J407" s="39">
        <f>SUM(R401:R406)</f>
        <v>379.67</v>
      </c>
      <c r="K407" s="39"/>
    </row>
    <row r="408" spans="1:22" ht="14.25" x14ac:dyDescent="0.2">
      <c r="A408" s="34"/>
      <c r="B408" s="35"/>
      <c r="C408" s="35" t="s">
        <v>552</v>
      </c>
      <c r="D408" s="36" t="s">
        <v>551</v>
      </c>
      <c r="E408" s="9">
        <f>Source!AU214</f>
        <v>10</v>
      </c>
      <c r="F408" s="38"/>
      <c r="G408" s="37"/>
      <c r="H408" s="9"/>
      <c r="I408" s="9"/>
      <c r="J408" s="39">
        <f>SUM(T401:T407)</f>
        <v>54.24</v>
      </c>
      <c r="K408" s="39"/>
    </row>
    <row r="409" spans="1:22" ht="14.25" x14ac:dyDescent="0.2">
      <c r="A409" s="34"/>
      <c r="B409" s="35"/>
      <c r="C409" s="35" t="s">
        <v>553</v>
      </c>
      <c r="D409" s="36" t="s">
        <v>551</v>
      </c>
      <c r="E409" s="9">
        <f>108</f>
        <v>108</v>
      </c>
      <c r="F409" s="38"/>
      <c r="G409" s="37"/>
      <c r="H409" s="9"/>
      <c r="I409" s="9"/>
      <c r="J409" s="39">
        <f>SUM(V401:V408)</f>
        <v>378.71</v>
      </c>
      <c r="K409" s="39"/>
    </row>
    <row r="410" spans="1:22" ht="14.25" x14ac:dyDescent="0.2">
      <c r="A410" s="34"/>
      <c r="B410" s="35"/>
      <c r="C410" s="35" t="s">
        <v>554</v>
      </c>
      <c r="D410" s="36" t="s">
        <v>555</v>
      </c>
      <c r="E410" s="9">
        <f>Source!AQ214</f>
        <v>2.65</v>
      </c>
      <c r="F410" s="38"/>
      <c r="G410" s="37" t="str">
        <f>Source!DI214</f>
        <v/>
      </c>
      <c r="H410" s="9">
        <f>Source!AV214</f>
        <v>1</v>
      </c>
      <c r="I410" s="9"/>
      <c r="J410" s="39"/>
      <c r="K410" s="39">
        <f>Source!U214</f>
        <v>2.3849999999999998</v>
      </c>
    </row>
    <row r="411" spans="1:22" ht="15" x14ac:dyDescent="0.25">
      <c r="A411" s="45"/>
      <c r="B411" s="45"/>
      <c r="C411" s="45"/>
      <c r="D411" s="45"/>
      <c r="E411" s="45"/>
      <c r="F411" s="45"/>
      <c r="G411" s="45"/>
      <c r="H411" s="45"/>
      <c r="I411" s="46">
        <f>J403+J404+J406+J407+J408+J409</f>
        <v>18869.43</v>
      </c>
      <c r="J411" s="46"/>
      <c r="K411" s="47">
        <f>IF(Source!I214&lt;&gt;0, ROUND(I411/Source!I214, 2), 0)</f>
        <v>20966.03</v>
      </c>
      <c r="P411" s="41">
        <f>I411</f>
        <v>18869.43</v>
      </c>
    </row>
    <row r="412" spans="1:22" ht="57" x14ac:dyDescent="0.2">
      <c r="A412" s="34" t="str">
        <f>Source!E217</f>
        <v>40</v>
      </c>
      <c r="B412" s="35" t="str">
        <f>Source!F217</f>
        <v>2.1-3203-1-5/1</v>
      </c>
      <c r="C412" s="35" t="str">
        <f>Source!G217</f>
        <v>Установка бортовых камней бетонных газонных и садовых марка 2ГБ 60.8.20, цвет серый, при цементобетонных покрытиях</v>
      </c>
      <c r="D412" s="36" t="str">
        <f>Source!H217</f>
        <v>100 м</v>
      </c>
      <c r="E412" s="9">
        <f>Source!I217</f>
        <v>0.38</v>
      </c>
      <c r="F412" s="38"/>
      <c r="G412" s="37"/>
      <c r="H412" s="9"/>
      <c r="I412" s="9"/>
      <c r="J412" s="39"/>
      <c r="K412" s="39"/>
      <c r="Q412">
        <f>ROUND((Source!BZ217/100)*ROUND((Source!AF217*Source!AV217)*Source!I217, 2), 2)</f>
        <v>3932.23</v>
      </c>
      <c r="R412">
        <f>Source!X217</f>
        <v>3932.23</v>
      </c>
      <c r="S412">
        <f>ROUND((Source!CA217/100)*ROUND((Source!AF217*Source!AV217)*Source!I217, 2), 2)</f>
        <v>561.75</v>
      </c>
      <c r="T412">
        <f>Source!Y217</f>
        <v>561.75</v>
      </c>
      <c r="U412">
        <f>ROUND((175/100)*ROUND((Source!AE217*Source!AV217)*Source!I217, 2), 2)</f>
        <v>64.19</v>
      </c>
      <c r="V412">
        <f>ROUND((108/100)*ROUND(Source!CS217*Source!I217, 2), 2)</f>
        <v>39.61</v>
      </c>
    </row>
    <row r="413" spans="1:22" x14ac:dyDescent="0.2">
      <c r="C413" s="48" t="str">
        <f>"Объем: "&amp;Source!I217&amp;"=38/"&amp;"100"</f>
        <v>Объем: 0,38=38/100</v>
      </c>
    </row>
    <row r="414" spans="1:22" ht="14.25" x14ac:dyDescent="0.2">
      <c r="A414" s="34"/>
      <c r="B414" s="35"/>
      <c r="C414" s="35" t="s">
        <v>547</v>
      </c>
      <c r="D414" s="36"/>
      <c r="E414" s="9"/>
      <c r="F414" s="38">
        <f>Source!AO217</f>
        <v>14782.81</v>
      </c>
      <c r="G414" s="37" t="str">
        <f>Source!DG217</f>
        <v/>
      </c>
      <c r="H414" s="9">
        <f>Source!AV217</f>
        <v>1</v>
      </c>
      <c r="I414" s="9">
        <f>IF(Source!BA217&lt;&gt; 0, Source!BA217, 1)</f>
        <v>1</v>
      </c>
      <c r="J414" s="39">
        <f>Source!S217</f>
        <v>5617.47</v>
      </c>
      <c r="K414" s="39"/>
    </row>
    <row r="415" spans="1:22" ht="14.25" x14ac:dyDescent="0.2">
      <c r="A415" s="34"/>
      <c r="B415" s="35"/>
      <c r="C415" s="35" t="s">
        <v>548</v>
      </c>
      <c r="D415" s="36"/>
      <c r="E415" s="9"/>
      <c r="F415" s="38">
        <f>Source!AM217</f>
        <v>177.81</v>
      </c>
      <c r="G415" s="37" t="str">
        <f>Source!DE217</f>
        <v/>
      </c>
      <c r="H415" s="9">
        <f>Source!AV217</f>
        <v>1</v>
      </c>
      <c r="I415" s="9">
        <f>IF(Source!BB217&lt;&gt; 0, Source!BB217, 1)</f>
        <v>1</v>
      </c>
      <c r="J415" s="39">
        <f>Source!Q217</f>
        <v>67.569999999999993</v>
      </c>
      <c r="K415" s="39"/>
    </row>
    <row r="416" spans="1:22" ht="14.25" x14ac:dyDescent="0.2">
      <c r="A416" s="34"/>
      <c r="B416" s="35"/>
      <c r="C416" s="35" t="s">
        <v>549</v>
      </c>
      <c r="D416" s="36"/>
      <c r="E416" s="9"/>
      <c r="F416" s="38">
        <f>Source!AN217</f>
        <v>96.53</v>
      </c>
      <c r="G416" s="37" t="str">
        <f>Source!DF217</f>
        <v/>
      </c>
      <c r="H416" s="9">
        <f>Source!AV217</f>
        <v>1</v>
      </c>
      <c r="I416" s="9">
        <f>IF(Source!BS217&lt;&gt; 0, Source!BS217, 1)</f>
        <v>1</v>
      </c>
      <c r="J416" s="40">
        <f>Source!R217</f>
        <v>36.68</v>
      </c>
      <c r="K416" s="39"/>
    </row>
    <row r="417" spans="1:22" ht="14.25" x14ac:dyDescent="0.2">
      <c r="A417" s="34"/>
      <c r="B417" s="35"/>
      <c r="C417" s="35" t="s">
        <v>556</v>
      </c>
      <c r="D417" s="36"/>
      <c r="E417" s="9"/>
      <c r="F417" s="38">
        <f>Source!AL217</f>
        <v>34547.699999999997</v>
      </c>
      <c r="G417" s="37" t="str">
        <f>Source!DD217</f>
        <v/>
      </c>
      <c r="H417" s="9">
        <f>Source!AW217</f>
        <v>1</v>
      </c>
      <c r="I417" s="9">
        <f>IF(Source!BC217&lt;&gt; 0, Source!BC217, 1)</f>
        <v>1</v>
      </c>
      <c r="J417" s="39">
        <f>Source!P217</f>
        <v>13128.13</v>
      </c>
      <c r="K417" s="39"/>
    </row>
    <row r="418" spans="1:22" ht="14.25" x14ac:dyDescent="0.2">
      <c r="A418" s="34"/>
      <c r="B418" s="35"/>
      <c r="C418" s="35" t="s">
        <v>550</v>
      </c>
      <c r="D418" s="36" t="s">
        <v>551</v>
      </c>
      <c r="E418" s="9">
        <f>Source!AT217</f>
        <v>70</v>
      </c>
      <c r="F418" s="38"/>
      <c r="G418" s="37"/>
      <c r="H418" s="9"/>
      <c r="I418" s="9"/>
      <c r="J418" s="39">
        <f>SUM(R412:R417)</f>
        <v>3932.23</v>
      </c>
      <c r="K418" s="39"/>
    </row>
    <row r="419" spans="1:22" ht="14.25" x14ac:dyDescent="0.2">
      <c r="A419" s="34"/>
      <c r="B419" s="35"/>
      <c r="C419" s="35" t="s">
        <v>552</v>
      </c>
      <c r="D419" s="36" t="s">
        <v>551</v>
      </c>
      <c r="E419" s="9">
        <f>Source!AU217</f>
        <v>10</v>
      </c>
      <c r="F419" s="38"/>
      <c r="G419" s="37"/>
      <c r="H419" s="9"/>
      <c r="I419" s="9"/>
      <c r="J419" s="39">
        <f>SUM(T412:T418)</f>
        <v>561.75</v>
      </c>
      <c r="K419" s="39"/>
    </row>
    <row r="420" spans="1:22" ht="14.25" x14ac:dyDescent="0.2">
      <c r="A420" s="34"/>
      <c r="B420" s="35"/>
      <c r="C420" s="35" t="s">
        <v>553</v>
      </c>
      <c r="D420" s="36" t="s">
        <v>551</v>
      </c>
      <c r="E420" s="9">
        <f>108</f>
        <v>108</v>
      </c>
      <c r="F420" s="38"/>
      <c r="G420" s="37"/>
      <c r="H420" s="9"/>
      <c r="I420" s="9"/>
      <c r="J420" s="39">
        <f>SUM(V412:V419)</f>
        <v>39.61</v>
      </c>
      <c r="K420" s="39"/>
    </row>
    <row r="421" spans="1:22" ht="14.25" x14ac:dyDescent="0.2">
      <c r="A421" s="34"/>
      <c r="B421" s="35"/>
      <c r="C421" s="35" t="s">
        <v>554</v>
      </c>
      <c r="D421" s="36" t="s">
        <v>555</v>
      </c>
      <c r="E421" s="9">
        <f>Source!AQ217</f>
        <v>72.95</v>
      </c>
      <c r="F421" s="38"/>
      <c r="G421" s="37" t="str">
        <f>Source!DI217</f>
        <v/>
      </c>
      <c r="H421" s="9">
        <f>Source!AV217</f>
        <v>1</v>
      </c>
      <c r="I421" s="9"/>
      <c r="J421" s="39"/>
      <c r="K421" s="39">
        <f>Source!U217</f>
        <v>27.721</v>
      </c>
    </row>
    <row r="422" spans="1:22" ht="15" x14ac:dyDescent="0.25">
      <c r="A422" s="45"/>
      <c r="B422" s="45"/>
      <c r="C422" s="45"/>
      <c r="D422" s="45"/>
      <c r="E422" s="45"/>
      <c r="F422" s="45"/>
      <c r="G422" s="45"/>
      <c r="H422" s="45"/>
      <c r="I422" s="46">
        <f>J414+J415+J417+J418+J419+J420</f>
        <v>23346.76</v>
      </c>
      <c r="J422" s="46"/>
      <c r="K422" s="47">
        <f>IF(Source!I217&lt;&gt;0, ROUND(I422/Source!I217, 2), 0)</f>
        <v>61438.84</v>
      </c>
      <c r="P422" s="41">
        <f>I422</f>
        <v>23346.76</v>
      </c>
    </row>
    <row r="423" spans="1:22" ht="71.25" x14ac:dyDescent="0.2">
      <c r="A423" s="34" t="str">
        <f>Source!E218</f>
        <v>41</v>
      </c>
      <c r="B423" s="35" t="str">
        <f>Source!F218</f>
        <v>5.3-3203-7-5/1</v>
      </c>
      <c r="C423" s="35" t="str">
        <f>Source!G218</f>
        <v>Устройство калиток с установкой столбов металлических (без стоимости металлических изделий полотен калиток и стоек опорных) (установка МАФов)</v>
      </c>
      <c r="D423" s="36" t="str">
        <f>Source!H218</f>
        <v>100 шт.</v>
      </c>
      <c r="E423" s="9">
        <f>Source!I218</f>
        <v>0.03</v>
      </c>
      <c r="F423" s="38"/>
      <c r="G423" s="37"/>
      <c r="H423" s="9"/>
      <c r="I423" s="9"/>
      <c r="J423" s="39"/>
      <c r="K423" s="39"/>
      <c r="Q423">
        <f>ROUND((Source!BZ218/100)*ROUND((Source!AF218*Source!AV218)*Source!I218, 2), 2)</f>
        <v>4808.6400000000003</v>
      </c>
      <c r="R423">
        <f>Source!X218</f>
        <v>4808.6400000000003</v>
      </c>
      <c r="S423">
        <f>ROUND((Source!CA218/100)*ROUND((Source!AF218*Source!AV218)*Source!I218, 2), 2)</f>
        <v>686.95</v>
      </c>
      <c r="T423">
        <f>Source!Y218</f>
        <v>686.95</v>
      </c>
      <c r="U423">
        <f>ROUND((175/100)*ROUND((Source!AE218*Source!AV218)*Source!I218, 2), 2)</f>
        <v>3.57</v>
      </c>
      <c r="V423">
        <f>ROUND((108/100)*ROUND(Source!CS218*Source!I218, 2), 2)</f>
        <v>2.2000000000000002</v>
      </c>
    </row>
    <row r="424" spans="1:22" x14ac:dyDescent="0.2">
      <c r="C424" s="48" t="str">
        <f>"Объем: "&amp;Source!I218&amp;"=3/"&amp;"100"</f>
        <v>Объем: 0,03=3/100</v>
      </c>
    </row>
    <row r="425" spans="1:22" ht="14.25" x14ac:dyDescent="0.2">
      <c r="A425" s="34"/>
      <c r="B425" s="35"/>
      <c r="C425" s="35" t="s">
        <v>547</v>
      </c>
      <c r="D425" s="36"/>
      <c r="E425" s="9"/>
      <c r="F425" s="38">
        <f>Source!AO218</f>
        <v>228982.53</v>
      </c>
      <c r="G425" s="37" t="str">
        <f>Source!DG218</f>
        <v/>
      </c>
      <c r="H425" s="9">
        <f>Source!AV218</f>
        <v>1</v>
      </c>
      <c r="I425" s="9">
        <f>IF(Source!BA218&lt;&gt; 0, Source!BA218, 1)</f>
        <v>1</v>
      </c>
      <c r="J425" s="39">
        <f>Source!S218</f>
        <v>6869.48</v>
      </c>
      <c r="K425" s="39"/>
    </row>
    <row r="426" spans="1:22" ht="14.25" x14ac:dyDescent="0.2">
      <c r="A426" s="34"/>
      <c r="B426" s="35"/>
      <c r="C426" s="35" t="s">
        <v>548</v>
      </c>
      <c r="D426" s="36"/>
      <c r="E426" s="9"/>
      <c r="F426" s="38">
        <f>Source!AM218</f>
        <v>544.27</v>
      </c>
      <c r="G426" s="37" t="str">
        <f>Source!DE218</f>
        <v/>
      </c>
      <c r="H426" s="9">
        <f>Source!AV218</f>
        <v>1</v>
      </c>
      <c r="I426" s="9">
        <f>IF(Source!BB218&lt;&gt; 0, Source!BB218, 1)</f>
        <v>1</v>
      </c>
      <c r="J426" s="39">
        <f>Source!Q218</f>
        <v>16.329999999999998</v>
      </c>
      <c r="K426" s="39"/>
    </row>
    <row r="427" spans="1:22" ht="14.25" x14ac:dyDescent="0.2">
      <c r="A427" s="34"/>
      <c r="B427" s="35"/>
      <c r="C427" s="35" t="s">
        <v>549</v>
      </c>
      <c r="D427" s="36"/>
      <c r="E427" s="9"/>
      <c r="F427" s="38">
        <f>Source!AN218</f>
        <v>67.94</v>
      </c>
      <c r="G427" s="37" t="str">
        <f>Source!DF218</f>
        <v/>
      </c>
      <c r="H427" s="9">
        <f>Source!AV218</f>
        <v>1</v>
      </c>
      <c r="I427" s="9">
        <f>IF(Source!BS218&lt;&gt; 0, Source!BS218, 1)</f>
        <v>1</v>
      </c>
      <c r="J427" s="40">
        <f>Source!R218</f>
        <v>2.04</v>
      </c>
      <c r="K427" s="39"/>
    </row>
    <row r="428" spans="1:22" ht="14.25" x14ac:dyDescent="0.2">
      <c r="A428" s="34"/>
      <c r="B428" s="35"/>
      <c r="C428" s="35" t="s">
        <v>556</v>
      </c>
      <c r="D428" s="36"/>
      <c r="E428" s="9"/>
      <c r="F428" s="38">
        <f>Source!AL218</f>
        <v>17852.89</v>
      </c>
      <c r="G428" s="37" t="str">
        <f>Source!DD218</f>
        <v/>
      </c>
      <c r="H428" s="9">
        <f>Source!AW218</f>
        <v>1</v>
      </c>
      <c r="I428" s="9">
        <f>IF(Source!BC218&lt;&gt; 0, Source!BC218, 1)</f>
        <v>1</v>
      </c>
      <c r="J428" s="39">
        <f>Source!P218</f>
        <v>535.59</v>
      </c>
      <c r="K428" s="39"/>
    </row>
    <row r="429" spans="1:22" ht="28.5" x14ac:dyDescent="0.2">
      <c r="A429" s="34" t="str">
        <f>Source!E219</f>
        <v>41,1</v>
      </c>
      <c r="B429" s="35" t="str">
        <f>Source!F219</f>
        <v>21.1-5-5</v>
      </c>
      <c r="C429" s="35" t="str">
        <f>Source!G219</f>
        <v>Кирпич керамический обыкновенный, размер 250х120х65 мм, марка 100</v>
      </c>
      <c r="D429" s="36" t="str">
        <f>Source!H219</f>
        <v>1000 шт.</v>
      </c>
      <c r="E429" s="9">
        <f>Source!I219</f>
        <v>-1.1100000000000001E-3</v>
      </c>
      <c r="F429" s="38">
        <f>Source!AK219</f>
        <v>10419.43</v>
      </c>
      <c r="G429" s="49" t="s">
        <v>3</v>
      </c>
      <c r="H429" s="9">
        <f>Source!AW219</f>
        <v>1</v>
      </c>
      <c r="I429" s="9">
        <f>IF(Source!BC219&lt;&gt; 0, Source!BC219, 1)</f>
        <v>1</v>
      </c>
      <c r="J429" s="39">
        <f>Source!O219</f>
        <v>-11.57</v>
      </c>
      <c r="K429" s="39"/>
      <c r="Q429">
        <f>ROUND((Source!BZ219/100)*ROUND((Source!AF219*Source!AV219)*Source!I219, 2), 2)</f>
        <v>0</v>
      </c>
      <c r="R429">
        <f>Source!X219</f>
        <v>0</v>
      </c>
      <c r="S429">
        <f>ROUND((Source!CA219/100)*ROUND((Source!AF219*Source!AV219)*Source!I219, 2), 2)</f>
        <v>0</v>
      </c>
      <c r="T429">
        <f>Source!Y219</f>
        <v>0</v>
      </c>
      <c r="U429">
        <f>ROUND((175/100)*ROUND((Source!AE219*Source!AV219)*Source!I219, 2), 2)</f>
        <v>0</v>
      </c>
      <c r="V429">
        <f>ROUND((108/100)*ROUND(Source!CS219*Source!I219, 2), 2)</f>
        <v>0</v>
      </c>
    </row>
    <row r="430" spans="1:22" ht="14.25" x14ac:dyDescent="0.2">
      <c r="A430" s="34" t="str">
        <f>Source!E220</f>
        <v>41,2</v>
      </c>
      <c r="B430" s="35" t="str">
        <f>Source!F220</f>
        <v>22.1-6-52</v>
      </c>
      <c r="C430" s="35" t="str">
        <f>Source!G220</f>
        <v>Вибраторы глубинные</v>
      </c>
      <c r="D430" s="36" t="str">
        <f>Source!H220</f>
        <v>маш.-ч</v>
      </c>
      <c r="E430" s="9">
        <f>Source!I220</f>
        <v>-0.16320000000000001</v>
      </c>
      <c r="F430" s="38">
        <f>Source!AK220</f>
        <v>10.82</v>
      </c>
      <c r="G430" s="49" t="s">
        <v>3</v>
      </c>
      <c r="H430" s="9">
        <f>Source!AV220</f>
        <v>1</v>
      </c>
      <c r="I430" s="9">
        <f>IF(Source!BB220&lt;&gt; 0, Source!BB220, 1)</f>
        <v>1</v>
      </c>
      <c r="J430" s="39">
        <f>Source!O220</f>
        <v>-1.77</v>
      </c>
      <c r="K430" s="39"/>
      <c r="Q430">
        <f>ROUND((Source!BZ220/100)*ROUND((Source!AF220*Source!AV220)*Source!I220, 2), 2)</f>
        <v>0</v>
      </c>
      <c r="R430">
        <f>Source!X220</f>
        <v>0</v>
      </c>
      <c r="S430">
        <f>ROUND((Source!CA220/100)*ROUND((Source!AF220*Source!AV220)*Source!I220, 2), 2)</f>
        <v>0</v>
      </c>
      <c r="T430">
        <f>Source!Y220</f>
        <v>0</v>
      </c>
      <c r="U430">
        <f>ROUND((175/100)*ROUND((Source!AE220*Source!AV220)*Source!I220, 2), 2)</f>
        <v>-0.84</v>
      </c>
      <c r="V430">
        <f>ROUND((108/100)*ROUND(Source!CS220*Source!I220, 2), 2)</f>
        <v>-0.52</v>
      </c>
    </row>
    <row r="431" spans="1:22" ht="28.5" x14ac:dyDescent="0.2">
      <c r="A431" s="34" t="str">
        <f>Source!E221</f>
        <v>41,3</v>
      </c>
      <c r="B431" s="35" t="str">
        <f>Source!F221</f>
        <v>22.1-13-14</v>
      </c>
      <c r="C431" s="35" t="str">
        <f>Source!G221</f>
        <v>Установки для сварки ручной дуговой (постоянного тока)</v>
      </c>
      <c r="D431" s="36" t="str">
        <f>Source!H221</f>
        <v>маш.-ч</v>
      </c>
      <c r="E431" s="9">
        <f>Source!I221</f>
        <v>-0.435</v>
      </c>
      <c r="F431" s="38">
        <f>Source!AK221</f>
        <v>27.21</v>
      </c>
      <c r="G431" s="49" t="s">
        <v>3</v>
      </c>
      <c r="H431" s="9">
        <f>Source!AV221</f>
        <v>1</v>
      </c>
      <c r="I431" s="9">
        <f>IF(Source!BB221&lt;&gt; 0, Source!BB221, 1)</f>
        <v>1</v>
      </c>
      <c r="J431" s="39">
        <f>Source!O221</f>
        <v>-11.84</v>
      </c>
      <c r="K431" s="39"/>
      <c r="Q431">
        <f>ROUND((Source!BZ221/100)*ROUND((Source!AF221*Source!AV221)*Source!I221, 2), 2)</f>
        <v>0</v>
      </c>
      <c r="R431">
        <f>Source!X221</f>
        <v>0</v>
      </c>
      <c r="S431">
        <f>ROUND((Source!CA221/100)*ROUND((Source!AF221*Source!AV221)*Source!I221, 2), 2)</f>
        <v>0</v>
      </c>
      <c r="T431">
        <f>Source!Y221</f>
        <v>0</v>
      </c>
      <c r="U431">
        <f>ROUND((175/100)*ROUND((Source!AE221*Source!AV221)*Source!I221, 2), 2)</f>
        <v>-0.11</v>
      </c>
      <c r="V431">
        <f>ROUND((108/100)*ROUND(Source!CS221*Source!I221, 2), 2)</f>
        <v>-0.06</v>
      </c>
    </row>
    <row r="432" spans="1:22" ht="42.75" x14ac:dyDescent="0.2">
      <c r="A432" s="34" t="str">
        <f>Source!E222</f>
        <v>41,4</v>
      </c>
      <c r="B432" s="35" t="str">
        <f>Source!F222</f>
        <v>22.1-1-1</v>
      </c>
      <c r="C432" s="35" t="str">
        <f>Source!G222</f>
        <v>Экскаваторы на гусеничном ходу гидравлические, объем ковша до 0,25 м3</v>
      </c>
      <c r="D432" s="36" t="str">
        <f>Source!H222</f>
        <v>маш.-ч</v>
      </c>
      <c r="E432" s="9">
        <f>Source!I222</f>
        <v>-2.7000000000000001E-3</v>
      </c>
      <c r="F432" s="38">
        <f>Source!AK222</f>
        <v>1009.65</v>
      </c>
      <c r="G432" s="49" t="s">
        <v>3</v>
      </c>
      <c r="H432" s="9">
        <f>Source!AV222</f>
        <v>1</v>
      </c>
      <c r="I432" s="9">
        <f>IF(Source!BB222&lt;&gt; 0, Source!BB222, 1)</f>
        <v>1</v>
      </c>
      <c r="J432" s="39">
        <f>Source!O222</f>
        <v>-2.73</v>
      </c>
      <c r="K432" s="39"/>
      <c r="Q432">
        <f>ROUND((Source!BZ222/100)*ROUND((Source!AF222*Source!AV222)*Source!I222, 2), 2)</f>
        <v>0</v>
      </c>
      <c r="R432">
        <f>Source!X222</f>
        <v>0</v>
      </c>
      <c r="S432">
        <f>ROUND((Source!CA222/100)*ROUND((Source!AF222*Source!AV222)*Source!I222, 2), 2)</f>
        <v>0</v>
      </c>
      <c r="T432">
        <f>Source!Y222</f>
        <v>0</v>
      </c>
      <c r="U432">
        <f>ROUND((175/100)*ROUND((Source!AE222*Source!AV222)*Source!I222, 2), 2)</f>
        <v>-2.63</v>
      </c>
      <c r="V432">
        <f>ROUND((108/100)*ROUND(Source!CS222*Source!I222, 2), 2)</f>
        <v>-1.62</v>
      </c>
    </row>
    <row r="433" spans="1:22" ht="42.75" x14ac:dyDescent="0.2">
      <c r="A433" s="34" t="str">
        <f>Source!E223</f>
        <v>41,5</v>
      </c>
      <c r="B433" s="35" t="str">
        <f>Source!F223</f>
        <v>21.3-1-2</v>
      </c>
      <c r="C433" s="35" t="str">
        <f>Source!G223</f>
        <v>Смеси бетонные, БСГ, песчаного бетона на обогащенном песке, класс прочности: В12,5 (М150)</v>
      </c>
      <c r="D433" s="36" t="str">
        <f>Source!H223</f>
        <v>м3</v>
      </c>
      <c r="E433" s="9">
        <f>Source!I223</f>
        <v>-0.15</v>
      </c>
      <c r="F433" s="38">
        <f>Source!AK223</f>
        <v>3040.38</v>
      </c>
      <c r="G433" s="49" t="s">
        <v>3</v>
      </c>
      <c r="H433" s="9">
        <f>Source!AW223</f>
        <v>1</v>
      </c>
      <c r="I433" s="9">
        <f>IF(Source!BC223&lt;&gt; 0, Source!BC223, 1)</f>
        <v>1</v>
      </c>
      <c r="J433" s="39">
        <f>Source!O223</f>
        <v>-456.06</v>
      </c>
      <c r="K433" s="39"/>
      <c r="Q433">
        <f>ROUND((Source!BZ223/100)*ROUND((Source!AF223*Source!AV223)*Source!I223, 2), 2)</f>
        <v>0</v>
      </c>
      <c r="R433">
        <f>Source!X223</f>
        <v>0</v>
      </c>
      <c r="S433">
        <f>ROUND((Source!CA223/100)*ROUND((Source!AF223*Source!AV223)*Source!I223, 2), 2)</f>
        <v>0</v>
      </c>
      <c r="T433">
        <f>Source!Y223</f>
        <v>0</v>
      </c>
      <c r="U433">
        <f>ROUND((175/100)*ROUND((Source!AE223*Source!AV223)*Source!I223, 2), 2)</f>
        <v>0</v>
      </c>
      <c r="V433">
        <f>ROUND((108/100)*ROUND(Source!CS223*Source!I223, 2), 2)</f>
        <v>0</v>
      </c>
    </row>
    <row r="434" spans="1:22" ht="28.5" x14ac:dyDescent="0.2">
      <c r="A434" s="34" t="str">
        <f>Source!E224</f>
        <v>41,6</v>
      </c>
      <c r="B434" s="35" t="str">
        <f>Source!F224</f>
        <v>21.1-23-9</v>
      </c>
      <c r="C434" s="35" t="str">
        <f>Source!G224</f>
        <v>Электроды, тип Э-42, 46, 50, диаметр 4 - 6 мм</v>
      </c>
      <c r="D434" s="36" t="str">
        <f>Source!H224</f>
        <v>т</v>
      </c>
      <c r="E434" s="9">
        <f>Source!I224</f>
        <v>-5.9999999999999995E-4</v>
      </c>
      <c r="F434" s="38">
        <f>Source!AK224</f>
        <v>110781.14</v>
      </c>
      <c r="G434" s="49" t="s">
        <v>3</v>
      </c>
      <c r="H434" s="9">
        <f>Source!AW224</f>
        <v>1</v>
      </c>
      <c r="I434" s="9">
        <f>IF(Source!BC224&lt;&gt; 0, Source!BC224, 1)</f>
        <v>1</v>
      </c>
      <c r="J434" s="39">
        <f>Source!O224</f>
        <v>-66.47</v>
      </c>
      <c r="K434" s="39"/>
      <c r="Q434">
        <f>ROUND((Source!BZ224/100)*ROUND((Source!AF224*Source!AV224)*Source!I224, 2), 2)</f>
        <v>0</v>
      </c>
      <c r="R434">
        <f>Source!X224</f>
        <v>0</v>
      </c>
      <c r="S434">
        <f>ROUND((Source!CA224/100)*ROUND((Source!AF224*Source!AV224)*Source!I224, 2), 2)</f>
        <v>0</v>
      </c>
      <c r="T434">
        <f>Source!Y224</f>
        <v>0</v>
      </c>
      <c r="U434">
        <f>ROUND((175/100)*ROUND((Source!AE224*Source!AV224)*Source!I224, 2), 2)</f>
        <v>0</v>
      </c>
      <c r="V434">
        <f>ROUND((108/100)*ROUND(Source!CS224*Source!I224, 2), 2)</f>
        <v>0</v>
      </c>
    </row>
    <row r="435" spans="1:22" ht="111" x14ac:dyDescent="0.2">
      <c r="A435" s="34" t="str">
        <f>Source!E225</f>
        <v>41,7</v>
      </c>
      <c r="B435" s="35" t="str">
        <f>Source!F225</f>
        <v>по цене поставщика</v>
      </c>
      <c r="C435" s="35" t="s">
        <v>557</v>
      </c>
      <c r="D435" s="36" t="str">
        <f>Source!H225</f>
        <v>шт.</v>
      </c>
      <c r="E435" s="9">
        <f>Source!I225</f>
        <v>1</v>
      </c>
      <c r="F435" s="38">
        <f>Source!AK225</f>
        <v>17250</v>
      </c>
      <c r="G435" s="49" t="s">
        <v>3</v>
      </c>
      <c r="H435" s="9">
        <f>Source!AW225</f>
        <v>1</v>
      </c>
      <c r="I435" s="9">
        <f>IF(Source!BC225&lt;&gt; 0, Source!BC225, 1)</f>
        <v>1</v>
      </c>
      <c r="J435" s="39">
        <f>Source!O225</f>
        <v>17250</v>
      </c>
      <c r="K435" s="39"/>
      <c r="Q435">
        <f>ROUND((Source!BZ225/100)*ROUND((Source!AF225*Source!AV225)*Source!I225, 2), 2)</f>
        <v>0</v>
      </c>
      <c r="R435">
        <f>Source!X225</f>
        <v>0</v>
      </c>
      <c r="S435">
        <f>ROUND((Source!CA225/100)*ROUND((Source!AF225*Source!AV225)*Source!I225, 2), 2)</f>
        <v>0</v>
      </c>
      <c r="T435">
        <f>Source!Y225</f>
        <v>0</v>
      </c>
      <c r="U435">
        <f>ROUND((175/100)*ROUND((Source!AE225*Source!AV225)*Source!I225, 2), 2)</f>
        <v>0</v>
      </c>
      <c r="V435">
        <f>ROUND((108/100)*ROUND(Source!CS225*Source!I225, 2), 2)</f>
        <v>0</v>
      </c>
    </row>
    <row r="436" spans="1:22" ht="96.75" x14ac:dyDescent="0.2">
      <c r="A436" s="34" t="str">
        <f>Source!E226</f>
        <v>41,8</v>
      </c>
      <c r="B436" s="35" t="str">
        <f>Source!F226</f>
        <v>по цене поставщика</v>
      </c>
      <c r="C436" s="35" t="s">
        <v>558</v>
      </c>
      <c r="D436" s="36" t="str">
        <f>Source!H226</f>
        <v>шт.</v>
      </c>
      <c r="E436" s="9">
        <f>Source!I226</f>
        <v>1</v>
      </c>
      <c r="F436" s="38">
        <f>Source!AK226</f>
        <v>44166.67</v>
      </c>
      <c r="G436" s="49" t="s">
        <v>3</v>
      </c>
      <c r="H436" s="9">
        <f>Source!AW226</f>
        <v>1</v>
      </c>
      <c r="I436" s="9">
        <f>IF(Source!BC226&lt;&gt; 0, Source!BC226, 1)</f>
        <v>1</v>
      </c>
      <c r="J436" s="39">
        <f>Source!O226</f>
        <v>44166.67</v>
      </c>
      <c r="K436" s="39"/>
      <c r="Q436">
        <f>ROUND((Source!BZ226/100)*ROUND((Source!AF226*Source!AV226)*Source!I226, 2), 2)</f>
        <v>0</v>
      </c>
      <c r="R436">
        <f>Source!X226</f>
        <v>0</v>
      </c>
      <c r="S436">
        <f>ROUND((Source!CA226/100)*ROUND((Source!AF226*Source!AV226)*Source!I226, 2), 2)</f>
        <v>0</v>
      </c>
      <c r="T436">
        <f>Source!Y226</f>
        <v>0</v>
      </c>
      <c r="U436">
        <f>ROUND((175/100)*ROUND((Source!AE226*Source!AV226)*Source!I226, 2), 2)</f>
        <v>0</v>
      </c>
      <c r="V436">
        <f>ROUND((108/100)*ROUND(Source!CS226*Source!I226, 2), 2)</f>
        <v>0</v>
      </c>
    </row>
    <row r="437" spans="1:22" ht="125.25" x14ac:dyDescent="0.2">
      <c r="A437" s="34" t="str">
        <f>Source!E227</f>
        <v>41,9</v>
      </c>
      <c r="B437" s="35" t="str">
        <f>Source!F227</f>
        <v>по цене поставщика</v>
      </c>
      <c r="C437" s="35" t="s">
        <v>563</v>
      </c>
      <c r="D437" s="36" t="str">
        <f>Source!H227</f>
        <v>шт.</v>
      </c>
      <c r="E437" s="9">
        <f>Source!I227</f>
        <v>1</v>
      </c>
      <c r="F437" s="38">
        <f>Source!AK227</f>
        <v>48916.67</v>
      </c>
      <c r="G437" s="49" t="s">
        <v>3</v>
      </c>
      <c r="H437" s="9">
        <f>Source!AW227</f>
        <v>1</v>
      </c>
      <c r="I437" s="9">
        <f>IF(Source!BC227&lt;&gt; 0, Source!BC227, 1)</f>
        <v>1</v>
      </c>
      <c r="J437" s="39">
        <f>Source!O227</f>
        <v>48916.67</v>
      </c>
      <c r="K437" s="39"/>
      <c r="Q437">
        <f>ROUND((Source!BZ227/100)*ROUND((Source!AF227*Source!AV227)*Source!I227, 2), 2)</f>
        <v>0</v>
      </c>
      <c r="R437">
        <f>Source!X227</f>
        <v>0</v>
      </c>
      <c r="S437">
        <f>ROUND((Source!CA227/100)*ROUND((Source!AF227*Source!AV227)*Source!I227, 2), 2)</f>
        <v>0</v>
      </c>
      <c r="T437">
        <f>Source!Y227</f>
        <v>0</v>
      </c>
      <c r="U437">
        <f>ROUND((175/100)*ROUND((Source!AE227*Source!AV227)*Source!I227, 2), 2)</f>
        <v>0</v>
      </c>
      <c r="V437">
        <f>ROUND((108/100)*ROUND(Source!CS227*Source!I227, 2), 2)</f>
        <v>0</v>
      </c>
    </row>
    <row r="438" spans="1:22" ht="14.25" x14ac:dyDescent="0.2">
      <c r="A438" s="34"/>
      <c r="B438" s="35"/>
      <c r="C438" s="35" t="s">
        <v>550</v>
      </c>
      <c r="D438" s="36" t="s">
        <v>551</v>
      </c>
      <c r="E438" s="9">
        <f>Source!AT218</f>
        <v>70</v>
      </c>
      <c r="F438" s="38"/>
      <c r="G438" s="37"/>
      <c r="H438" s="9"/>
      <c r="I438" s="9"/>
      <c r="J438" s="39">
        <f>SUM(R423:R437)</f>
        <v>4808.6400000000003</v>
      </c>
      <c r="K438" s="39"/>
    </row>
    <row r="439" spans="1:22" ht="14.25" x14ac:dyDescent="0.2">
      <c r="A439" s="34"/>
      <c r="B439" s="35"/>
      <c r="C439" s="35" t="s">
        <v>552</v>
      </c>
      <c r="D439" s="36" t="s">
        <v>551</v>
      </c>
      <c r="E439" s="9">
        <f>Source!AU218</f>
        <v>10</v>
      </c>
      <c r="F439" s="38"/>
      <c r="G439" s="37"/>
      <c r="H439" s="9"/>
      <c r="I439" s="9"/>
      <c r="J439" s="39">
        <f>SUM(T423:T438)</f>
        <v>686.95</v>
      </c>
      <c r="K439" s="39"/>
    </row>
    <row r="440" spans="1:22" ht="14.25" x14ac:dyDescent="0.2">
      <c r="A440" s="34"/>
      <c r="B440" s="35"/>
      <c r="C440" s="35" t="s">
        <v>553</v>
      </c>
      <c r="D440" s="36" t="s">
        <v>551</v>
      </c>
      <c r="E440" s="9">
        <f>108</f>
        <v>108</v>
      </c>
      <c r="F440" s="38"/>
      <c r="G440" s="37"/>
      <c r="H440" s="9"/>
      <c r="I440" s="9"/>
      <c r="J440" s="39">
        <f>SUM(V423:V439)</f>
        <v>0</v>
      </c>
      <c r="K440" s="39"/>
    </row>
    <row r="441" spans="1:22" ht="14.25" x14ac:dyDescent="0.2">
      <c r="A441" s="34"/>
      <c r="B441" s="35"/>
      <c r="C441" s="35" t="s">
        <v>554</v>
      </c>
      <c r="D441" s="36" t="s">
        <v>555</v>
      </c>
      <c r="E441" s="9">
        <f>Source!AQ218</f>
        <v>902.75</v>
      </c>
      <c r="F441" s="38"/>
      <c r="G441" s="37" t="str">
        <f>Source!DI218</f>
        <v/>
      </c>
      <c r="H441" s="9">
        <f>Source!AV218</f>
        <v>1</v>
      </c>
      <c r="I441" s="9"/>
      <c r="J441" s="39"/>
      <c r="K441" s="39">
        <f>Source!U218</f>
        <v>27.0825</v>
      </c>
    </row>
    <row r="442" spans="1:22" ht="15" x14ac:dyDescent="0.25">
      <c r="A442" s="45"/>
      <c r="B442" s="45"/>
      <c r="C442" s="45"/>
      <c r="D442" s="45"/>
      <c r="E442" s="45"/>
      <c r="F442" s="45"/>
      <c r="G442" s="45"/>
      <c r="H442" s="45"/>
      <c r="I442" s="46">
        <f>J425+J426+J428+J438+J439+J440+SUM(J429:J437)</f>
        <v>122699.89</v>
      </c>
      <c r="J442" s="46"/>
      <c r="K442" s="47">
        <f>IF(Source!I218&lt;&gt;0, ROUND(I442/Source!I218, 2), 0)</f>
        <v>4089996.33</v>
      </c>
      <c r="P442" s="41">
        <f>I442</f>
        <v>122699.89</v>
      </c>
    </row>
    <row r="444" spans="1:22" ht="15" x14ac:dyDescent="0.25">
      <c r="A444" s="52" t="str">
        <f>CONCATENATE("Итого по подразделу: ",IF(Source!G229&lt;&gt;"Новый подраздел", Source!G229, ""))</f>
        <v>Итого по подразделу: Игровая площадка группы № 8</v>
      </c>
      <c r="B444" s="52"/>
      <c r="C444" s="52"/>
      <c r="D444" s="52"/>
      <c r="E444" s="52"/>
      <c r="F444" s="52"/>
      <c r="G444" s="52"/>
      <c r="H444" s="52"/>
      <c r="I444" s="43">
        <f>SUM(P348:P443)</f>
        <v>363296.14</v>
      </c>
      <c r="J444" s="51"/>
      <c r="K444" s="50"/>
    </row>
    <row r="447" spans="1:22" ht="16.5" x14ac:dyDescent="0.25">
      <c r="A447" s="33" t="str">
        <f>CONCATENATE("Подраздел: ",IF(Source!G259&lt;&gt;"Новый подраздел", Source!G259, ""))</f>
        <v>Подраздел: Игровая площадка группы № 10</v>
      </c>
      <c r="B447" s="33"/>
      <c r="C447" s="33"/>
      <c r="D447" s="33"/>
      <c r="E447" s="33"/>
      <c r="F447" s="33"/>
      <c r="G447" s="33"/>
      <c r="H447" s="33"/>
      <c r="I447" s="33"/>
      <c r="J447" s="33"/>
      <c r="K447" s="33"/>
    </row>
    <row r="448" spans="1:22" ht="57" x14ac:dyDescent="0.2">
      <c r="A448" s="34" t="str">
        <f>Source!E263</f>
        <v>42</v>
      </c>
      <c r="B448" s="35" t="str">
        <f>Source!F263</f>
        <v>5.3-3104-1-1/1</v>
      </c>
      <c r="C448" s="35" t="str">
        <f>Source!G263</f>
        <v>Разборка полиуретанового покрытия игровых площадок, спортивных дорожек и площадок - на асфальтобетонном основании</v>
      </c>
      <c r="D448" s="36" t="str">
        <f>Source!H263</f>
        <v>100 м2</v>
      </c>
      <c r="E448" s="9">
        <f>Source!I263</f>
        <v>0.57689999999999997</v>
      </c>
      <c r="F448" s="38"/>
      <c r="G448" s="37"/>
      <c r="H448" s="9"/>
      <c r="I448" s="9"/>
      <c r="J448" s="39"/>
      <c r="K448" s="39"/>
      <c r="Q448">
        <f>ROUND((Source!BZ263/100)*ROUND((Source!AF263*Source!AV263)*Source!I263, 2), 2)</f>
        <v>245.1</v>
      </c>
      <c r="R448">
        <f>Source!X263</f>
        <v>245.1</v>
      </c>
      <c r="S448">
        <f>ROUND((Source!CA263/100)*ROUND((Source!AF263*Source!AV263)*Source!I263, 2), 2)</f>
        <v>35.01</v>
      </c>
      <c r="T448">
        <f>Source!Y263</f>
        <v>35.01</v>
      </c>
      <c r="U448">
        <f>ROUND((175/100)*ROUND((Source!AE263*Source!AV263)*Source!I263, 2), 2)</f>
        <v>0</v>
      </c>
      <c r="V448">
        <f>ROUND((108/100)*ROUND(Source!CS263*Source!I263, 2), 2)</f>
        <v>0</v>
      </c>
    </row>
    <row r="449" spans="1:22" x14ac:dyDescent="0.2">
      <c r="C449" s="48" t="str">
        <f>"Объем: "&amp;Source!I263&amp;"=57,69/"&amp;"100"</f>
        <v>Объем: 0,5769=57,69/100</v>
      </c>
    </row>
    <row r="450" spans="1:22" ht="14.25" x14ac:dyDescent="0.2">
      <c r="A450" s="34"/>
      <c r="B450" s="35"/>
      <c r="C450" s="35" t="s">
        <v>547</v>
      </c>
      <c r="D450" s="36"/>
      <c r="E450" s="9"/>
      <c r="F450" s="38">
        <f>Source!AO263</f>
        <v>606.94000000000005</v>
      </c>
      <c r="G450" s="37" t="str">
        <f>Source!DG263</f>
        <v/>
      </c>
      <c r="H450" s="9">
        <f>Source!AV263</f>
        <v>1</v>
      </c>
      <c r="I450" s="9">
        <f>IF(Source!BA263&lt;&gt; 0, Source!BA263, 1)</f>
        <v>1</v>
      </c>
      <c r="J450" s="39">
        <f>Source!S263</f>
        <v>350.14</v>
      </c>
      <c r="K450" s="39"/>
    </row>
    <row r="451" spans="1:22" ht="14.25" x14ac:dyDescent="0.2">
      <c r="A451" s="34"/>
      <c r="B451" s="35"/>
      <c r="C451" s="35" t="s">
        <v>550</v>
      </c>
      <c r="D451" s="36" t="s">
        <v>551</v>
      </c>
      <c r="E451" s="9">
        <f>Source!AT263</f>
        <v>70</v>
      </c>
      <c r="F451" s="38"/>
      <c r="G451" s="37"/>
      <c r="H451" s="9"/>
      <c r="I451" s="9"/>
      <c r="J451" s="39">
        <f>SUM(R448:R450)</f>
        <v>245.1</v>
      </c>
      <c r="K451" s="39"/>
    </row>
    <row r="452" spans="1:22" ht="14.25" x14ac:dyDescent="0.2">
      <c r="A452" s="34"/>
      <c r="B452" s="35"/>
      <c r="C452" s="35" t="s">
        <v>552</v>
      </c>
      <c r="D452" s="36" t="s">
        <v>551</v>
      </c>
      <c r="E452" s="9">
        <f>Source!AU263</f>
        <v>10</v>
      </c>
      <c r="F452" s="38"/>
      <c r="G452" s="37"/>
      <c r="H452" s="9"/>
      <c r="I452" s="9"/>
      <c r="J452" s="39">
        <f>SUM(T448:T451)</f>
        <v>35.01</v>
      </c>
      <c r="K452" s="39"/>
    </row>
    <row r="453" spans="1:22" ht="14.25" x14ac:dyDescent="0.2">
      <c r="A453" s="34"/>
      <c r="B453" s="35"/>
      <c r="C453" s="35" t="s">
        <v>554</v>
      </c>
      <c r="D453" s="36" t="s">
        <v>555</v>
      </c>
      <c r="E453" s="9">
        <f>Source!AQ263</f>
        <v>3.3</v>
      </c>
      <c r="F453" s="38"/>
      <c r="G453" s="37" t="str">
        <f>Source!DI263</f>
        <v/>
      </c>
      <c r="H453" s="9">
        <f>Source!AV263</f>
        <v>1</v>
      </c>
      <c r="I453" s="9"/>
      <c r="J453" s="39"/>
      <c r="K453" s="39">
        <f>Source!U263</f>
        <v>1.9037699999999997</v>
      </c>
    </row>
    <row r="454" spans="1:22" ht="15" x14ac:dyDescent="0.25">
      <c r="A454" s="45"/>
      <c r="B454" s="45"/>
      <c r="C454" s="45"/>
      <c r="D454" s="45"/>
      <c r="E454" s="45"/>
      <c r="F454" s="45"/>
      <c r="G454" s="45"/>
      <c r="H454" s="45"/>
      <c r="I454" s="46">
        <f>J450+J451+J452</f>
        <v>630.25</v>
      </c>
      <c r="J454" s="46"/>
      <c r="K454" s="47">
        <f>IF(Source!I263&lt;&gt;0, ROUND(I454/Source!I263, 2), 0)</f>
        <v>1092.48</v>
      </c>
      <c r="P454" s="41">
        <f>I454</f>
        <v>630.25</v>
      </c>
    </row>
    <row r="455" spans="1:22" ht="28.5" x14ac:dyDescent="0.2">
      <c r="A455" s="34" t="str">
        <f>Source!E264</f>
        <v>43</v>
      </c>
      <c r="B455" s="35" t="str">
        <f>Source!F264</f>
        <v>2.1-3104-1-4/1</v>
      </c>
      <c r="C455" s="35" t="str">
        <f>Source!G264</f>
        <v>Разборка покрытий и оснований асфальтобетонных</v>
      </c>
      <c r="D455" s="36" t="str">
        <f>Source!H264</f>
        <v>100 м3</v>
      </c>
      <c r="E455" s="9">
        <f>Source!I264</f>
        <v>2.8799999999999999E-2</v>
      </c>
      <c r="F455" s="38"/>
      <c r="G455" s="37"/>
      <c r="H455" s="9"/>
      <c r="I455" s="9"/>
      <c r="J455" s="39"/>
      <c r="K455" s="39"/>
      <c r="Q455">
        <f>ROUND((Source!BZ264/100)*ROUND((Source!AF264*Source!AV264)*Source!I264, 2), 2)</f>
        <v>611.62</v>
      </c>
      <c r="R455">
        <f>Source!X264</f>
        <v>611.62</v>
      </c>
      <c r="S455">
        <f>ROUND((Source!CA264/100)*ROUND((Source!AF264*Source!AV264)*Source!I264, 2), 2)</f>
        <v>87.37</v>
      </c>
      <c r="T455">
        <f>Source!Y264</f>
        <v>87.37</v>
      </c>
      <c r="U455">
        <f>ROUND((175/100)*ROUND((Source!AE264*Source!AV264)*Source!I264, 2), 2)</f>
        <v>849.98</v>
      </c>
      <c r="V455">
        <f>ROUND((108/100)*ROUND(Source!CS264*Source!I264, 2), 2)</f>
        <v>524.55999999999995</v>
      </c>
    </row>
    <row r="456" spans="1:22" x14ac:dyDescent="0.2">
      <c r="C456" s="48" t="str">
        <f>"Объем: "&amp;Source!I264&amp;"=2,88/"&amp;"100"</f>
        <v>Объем: 0,0288=2,88/100</v>
      </c>
    </row>
    <row r="457" spans="1:22" ht="14.25" x14ac:dyDescent="0.2">
      <c r="A457" s="34"/>
      <c r="B457" s="35"/>
      <c r="C457" s="35" t="s">
        <v>547</v>
      </c>
      <c r="D457" s="36"/>
      <c r="E457" s="9"/>
      <c r="F457" s="38">
        <f>Source!AO264</f>
        <v>30338.15</v>
      </c>
      <c r="G457" s="37" t="str">
        <f>Source!DG264</f>
        <v/>
      </c>
      <c r="H457" s="9">
        <f>Source!AV264</f>
        <v>1</v>
      </c>
      <c r="I457" s="9">
        <f>IF(Source!BA264&lt;&gt; 0, Source!BA264, 1)</f>
        <v>1</v>
      </c>
      <c r="J457" s="39">
        <f>Source!S264</f>
        <v>873.74</v>
      </c>
      <c r="K457" s="39"/>
    </row>
    <row r="458" spans="1:22" ht="14.25" x14ac:dyDescent="0.2">
      <c r="A458" s="34"/>
      <c r="B458" s="35"/>
      <c r="C458" s="35" t="s">
        <v>548</v>
      </c>
      <c r="D458" s="36"/>
      <c r="E458" s="9"/>
      <c r="F458" s="38">
        <f>Source!AM264</f>
        <v>30548.7</v>
      </c>
      <c r="G458" s="37" t="str">
        <f>Source!DE264</f>
        <v/>
      </c>
      <c r="H458" s="9">
        <f>Source!AV264</f>
        <v>1</v>
      </c>
      <c r="I458" s="9">
        <f>IF(Source!BB264&lt;&gt; 0, Source!BB264, 1)</f>
        <v>1</v>
      </c>
      <c r="J458" s="39">
        <f>Source!Q264</f>
        <v>879.8</v>
      </c>
      <c r="K458" s="39"/>
    </row>
    <row r="459" spans="1:22" ht="14.25" x14ac:dyDescent="0.2">
      <c r="A459" s="34"/>
      <c r="B459" s="35"/>
      <c r="C459" s="35" t="s">
        <v>549</v>
      </c>
      <c r="D459" s="36"/>
      <c r="E459" s="9"/>
      <c r="F459" s="38">
        <f>Source!AN264</f>
        <v>16864.419999999998</v>
      </c>
      <c r="G459" s="37" t="str">
        <f>Source!DF264</f>
        <v/>
      </c>
      <c r="H459" s="9">
        <f>Source!AV264</f>
        <v>1</v>
      </c>
      <c r="I459" s="9">
        <f>IF(Source!BS264&lt;&gt; 0, Source!BS264, 1)</f>
        <v>1</v>
      </c>
      <c r="J459" s="40">
        <f>Source!R264</f>
        <v>485.7</v>
      </c>
      <c r="K459" s="39"/>
    </row>
    <row r="460" spans="1:22" ht="14.25" x14ac:dyDescent="0.2">
      <c r="A460" s="34"/>
      <c r="B460" s="35"/>
      <c r="C460" s="35" t="s">
        <v>550</v>
      </c>
      <c r="D460" s="36" t="s">
        <v>551</v>
      </c>
      <c r="E460" s="9">
        <f>Source!AT264</f>
        <v>70</v>
      </c>
      <c r="F460" s="38"/>
      <c r="G460" s="37"/>
      <c r="H460" s="9"/>
      <c r="I460" s="9"/>
      <c r="J460" s="39">
        <f>SUM(R455:R459)</f>
        <v>611.62</v>
      </c>
      <c r="K460" s="39"/>
    </row>
    <row r="461" spans="1:22" ht="14.25" x14ac:dyDescent="0.2">
      <c r="A461" s="34"/>
      <c r="B461" s="35"/>
      <c r="C461" s="35" t="s">
        <v>552</v>
      </c>
      <c r="D461" s="36" t="s">
        <v>551</v>
      </c>
      <c r="E461" s="9">
        <f>Source!AU264</f>
        <v>10</v>
      </c>
      <c r="F461" s="38"/>
      <c r="G461" s="37"/>
      <c r="H461" s="9"/>
      <c r="I461" s="9"/>
      <c r="J461" s="39">
        <f>SUM(T455:T460)</f>
        <v>87.37</v>
      </c>
      <c r="K461" s="39"/>
    </row>
    <row r="462" spans="1:22" ht="14.25" x14ac:dyDescent="0.2">
      <c r="A462" s="34"/>
      <c r="B462" s="35"/>
      <c r="C462" s="35" t="s">
        <v>553</v>
      </c>
      <c r="D462" s="36" t="s">
        <v>551</v>
      </c>
      <c r="E462" s="9">
        <f>108</f>
        <v>108</v>
      </c>
      <c r="F462" s="38"/>
      <c r="G462" s="37"/>
      <c r="H462" s="9"/>
      <c r="I462" s="9"/>
      <c r="J462" s="39">
        <f>SUM(V455:V461)</f>
        <v>524.55999999999995</v>
      </c>
      <c r="K462" s="39"/>
    </row>
    <row r="463" spans="1:22" ht="14.25" x14ac:dyDescent="0.2">
      <c r="A463" s="34"/>
      <c r="B463" s="35"/>
      <c r="C463" s="35" t="s">
        <v>554</v>
      </c>
      <c r="D463" s="36" t="s">
        <v>555</v>
      </c>
      <c r="E463" s="9">
        <f>Source!AQ264</f>
        <v>155</v>
      </c>
      <c r="F463" s="38"/>
      <c r="G463" s="37" t="str">
        <f>Source!DI264</f>
        <v/>
      </c>
      <c r="H463" s="9">
        <f>Source!AV264</f>
        <v>1</v>
      </c>
      <c r="I463" s="9"/>
      <c r="J463" s="39"/>
      <c r="K463" s="39">
        <f>Source!U264</f>
        <v>4.4639999999999995</v>
      </c>
    </row>
    <row r="464" spans="1:22" ht="15" x14ac:dyDescent="0.25">
      <c r="A464" s="45"/>
      <c r="B464" s="45"/>
      <c r="C464" s="45"/>
      <c r="D464" s="45"/>
      <c r="E464" s="45"/>
      <c r="F464" s="45"/>
      <c r="G464" s="45"/>
      <c r="H464" s="45"/>
      <c r="I464" s="46">
        <f>J457+J458+J460+J461+J462</f>
        <v>2977.0899999999997</v>
      </c>
      <c r="J464" s="46"/>
      <c r="K464" s="47">
        <f>IF(Source!I264&lt;&gt;0, ROUND(I464/Source!I264, 2), 0)</f>
        <v>103371.18</v>
      </c>
      <c r="P464" s="41">
        <f>I464</f>
        <v>2977.0899999999997</v>
      </c>
    </row>
    <row r="465" spans="1:22" ht="28.5" x14ac:dyDescent="0.2">
      <c r="A465" s="34" t="str">
        <f>Source!E265</f>
        <v>44</v>
      </c>
      <c r="B465" s="35" t="str">
        <f>Source!F265</f>
        <v>2.1-3104-1-2/1</v>
      </c>
      <c r="C465" s="35" t="str">
        <f>Source!G265</f>
        <v>Разборка покрытий и оснований щебеночных</v>
      </c>
      <c r="D465" s="36" t="str">
        <f>Source!H265</f>
        <v>100 м3</v>
      </c>
      <c r="E465" s="9">
        <f>Source!I265</f>
        <v>6.9199999999999998E-2</v>
      </c>
      <c r="F465" s="38"/>
      <c r="G465" s="37"/>
      <c r="H465" s="9"/>
      <c r="I465" s="9"/>
      <c r="J465" s="39"/>
      <c r="K465" s="39"/>
      <c r="Q465">
        <f>ROUND((Source!BZ265/100)*ROUND((Source!AF265*Source!AV265)*Source!I265, 2), 2)</f>
        <v>69.400000000000006</v>
      </c>
      <c r="R465">
        <f>Source!X265</f>
        <v>69.400000000000006</v>
      </c>
      <c r="S465">
        <f>ROUND((Source!CA265/100)*ROUND((Source!AF265*Source!AV265)*Source!I265, 2), 2)</f>
        <v>9.91</v>
      </c>
      <c r="T465">
        <f>Source!Y265</f>
        <v>9.91</v>
      </c>
      <c r="U465">
        <f>ROUND((175/100)*ROUND((Source!AE265*Source!AV265)*Source!I265, 2), 2)</f>
        <v>195.07</v>
      </c>
      <c r="V465">
        <f>ROUND((108/100)*ROUND(Source!CS265*Source!I265, 2), 2)</f>
        <v>120.39</v>
      </c>
    </row>
    <row r="466" spans="1:22" x14ac:dyDescent="0.2">
      <c r="C466" s="48" t="str">
        <f>"Объем: "&amp;Source!I265&amp;"=6,92/"&amp;"100"</f>
        <v>Объем: 0,0692=6,92/100</v>
      </c>
    </row>
    <row r="467" spans="1:22" ht="14.25" x14ac:dyDescent="0.2">
      <c r="A467" s="34"/>
      <c r="B467" s="35"/>
      <c r="C467" s="35" t="s">
        <v>547</v>
      </c>
      <c r="D467" s="36"/>
      <c r="E467" s="9"/>
      <c r="F467" s="38">
        <f>Source!AO265</f>
        <v>1432.66</v>
      </c>
      <c r="G467" s="37" t="str">
        <f>Source!DG265</f>
        <v/>
      </c>
      <c r="H467" s="9">
        <f>Source!AV265</f>
        <v>1</v>
      </c>
      <c r="I467" s="9">
        <f>IF(Source!BA265&lt;&gt; 0, Source!BA265, 1)</f>
        <v>1</v>
      </c>
      <c r="J467" s="39">
        <f>Source!S265</f>
        <v>99.14</v>
      </c>
      <c r="K467" s="39"/>
    </row>
    <row r="468" spans="1:22" ht="14.25" x14ac:dyDescent="0.2">
      <c r="A468" s="34"/>
      <c r="B468" s="35"/>
      <c r="C468" s="35" t="s">
        <v>548</v>
      </c>
      <c r="D468" s="36"/>
      <c r="E468" s="9"/>
      <c r="F468" s="38">
        <f>Source!AM265</f>
        <v>3335.19</v>
      </c>
      <c r="G468" s="37" t="str">
        <f>Source!DE265</f>
        <v/>
      </c>
      <c r="H468" s="9">
        <f>Source!AV265</f>
        <v>1</v>
      </c>
      <c r="I468" s="9">
        <f>IF(Source!BB265&lt;&gt; 0, Source!BB265, 1)</f>
        <v>1</v>
      </c>
      <c r="J468" s="39">
        <f>Source!Q265</f>
        <v>230.8</v>
      </c>
      <c r="K468" s="39"/>
    </row>
    <row r="469" spans="1:22" ht="14.25" x14ac:dyDescent="0.2">
      <c r="A469" s="34"/>
      <c r="B469" s="35"/>
      <c r="C469" s="35" t="s">
        <v>549</v>
      </c>
      <c r="D469" s="36"/>
      <c r="E469" s="9"/>
      <c r="F469" s="38">
        <f>Source!AN265</f>
        <v>1610.9</v>
      </c>
      <c r="G469" s="37" t="str">
        <f>Source!DF265</f>
        <v/>
      </c>
      <c r="H469" s="9">
        <f>Source!AV265</f>
        <v>1</v>
      </c>
      <c r="I469" s="9">
        <f>IF(Source!BS265&lt;&gt; 0, Source!BS265, 1)</f>
        <v>1</v>
      </c>
      <c r="J469" s="40">
        <f>Source!R265</f>
        <v>111.47</v>
      </c>
      <c r="K469" s="39"/>
    </row>
    <row r="470" spans="1:22" ht="14.25" x14ac:dyDescent="0.2">
      <c r="A470" s="34"/>
      <c r="B470" s="35"/>
      <c r="C470" s="35" t="s">
        <v>550</v>
      </c>
      <c r="D470" s="36" t="s">
        <v>551</v>
      </c>
      <c r="E470" s="9">
        <f>Source!AT265</f>
        <v>70</v>
      </c>
      <c r="F470" s="38"/>
      <c r="G470" s="37"/>
      <c r="H470" s="9"/>
      <c r="I470" s="9"/>
      <c r="J470" s="39">
        <f>SUM(R465:R469)</f>
        <v>69.400000000000006</v>
      </c>
      <c r="K470" s="39"/>
    </row>
    <row r="471" spans="1:22" ht="14.25" x14ac:dyDescent="0.2">
      <c r="A471" s="34"/>
      <c r="B471" s="35"/>
      <c r="C471" s="35" t="s">
        <v>552</v>
      </c>
      <c r="D471" s="36" t="s">
        <v>551</v>
      </c>
      <c r="E471" s="9">
        <f>Source!AU265</f>
        <v>10</v>
      </c>
      <c r="F471" s="38"/>
      <c r="G471" s="37"/>
      <c r="H471" s="9"/>
      <c r="I471" s="9"/>
      <c r="J471" s="39">
        <f>SUM(T465:T470)</f>
        <v>9.91</v>
      </c>
      <c r="K471" s="39"/>
    </row>
    <row r="472" spans="1:22" ht="14.25" x14ac:dyDescent="0.2">
      <c r="A472" s="34"/>
      <c r="B472" s="35"/>
      <c r="C472" s="35" t="s">
        <v>553</v>
      </c>
      <c r="D472" s="36" t="s">
        <v>551</v>
      </c>
      <c r="E472" s="9">
        <f>108</f>
        <v>108</v>
      </c>
      <c r="F472" s="38"/>
      <c r="G472" s="37"/>
      <c r="H472" s="9"/>
      <c r="I472" s="9"/>
      <c r="J472" s="39">
        <f>SUM(V465:V471)</f>
        <v>120.39</v>
      </c>
      <c r="K472" s="39"/>
    </row>
    <row r="473" spans="1:22" ht="14.25" x14ac:dyDescent="0.2">
      <c r="A473" s="34"/>
      <c r="B473" s="35"/>
      <c r="C473" s="35" t="s">
        <v>554</v>
      </c>
      <c r="D473" s="36" t="s">
        <v>555</v>
      </c>
      <c r="E473" s="9">
        <f>Source!AQ265</f>
        <v>11.7</v>
      </c>
      <c r="F473" s="38"/>
      <c r="G473" s="37" t="str">
        <f>Source!DI265</f>
        <v/>
      </c>
      <c r="H473" s="9">
        <f>Source!AV265</f>
        <v>1</v>
      </c>
      <c r="I473" s="9"/>
      <c r="J473" s="39"/>
      <c r="K473" s="39">
        <f>Source!U265</f>
        <v>0.80963999999999992</v>
      </c>
    </row>
    <row r="474" spans="1:22" ht="15" x14ac:dyDescent="0.25">
      <c r="A474" s="45"/>
      <c r="B474" s="45"/>
      <c r="C474" s="45"/>
      <c r="D474" s="45"/>
      <c r="E474" s="45"/>
      <c r="F474" s="45"/>
      <c r="G474" s="45"/>
      <c r="H474" s="45"/>
      <c r="I474" s="46">
        <f>J467+J468+J470+J471+J472</f>
        <v>529.6400000000001</v>
      </c>
      <c r="J474" s="46"/>
      <c r="K474" s="47">
        <f>IF(Source!I265&lt;&gt;0, ROUND(I474/Source!I265, 2), 0)</f>
        <v>7653.76</v>
      </c>
      <c r="P474" s="41">
        <f>I474</f>
        <v>529.6400000000001</v>
      </c>
    </row>
    <row r="475" spans="1:22" ht="57" x14ac:dyDescent="0.2">
      <c r="A475" s="34" t="str">
        <f>Source!E266</f>
        <v>45</v>
      </c>
      <c r="B475" s="35" t="str">
        <f>Source!F266</f>
        <v>2.49-3101-4-1/1</v>
      </c>
      <c r="C475" s="35" t="str">
        <f>Source!G266</f>
        <v>Разработка грунта с погрузкой на автомобили-самосвалы экскаваторами с ковшом вместимостью 0,4 м3, группа грунтов 1-3</v>
      </c>
      <c r="D475" s="36" t="str">
        <f>Source!H266</f>
        <v>100 м3</v>
      </c>
      <c r="E475" s="9">
        <f>Source!I266</f>
        <v>0.253</v>
      </c>
      <c r="F475" s="38"/>
      <c r="G475" s="37"/>
      <c r="H475" s="9"/>
      <c r="I475" s="9"/>
      <c r="J475" s="39"/>
      <c r="K475" s="39"/>
      <c r="Q475">
        <f>ROUND((Source!BZ266/100)*ROUND((Source!AF266*Source!AV266)*Source!I266, 2), 2)</f>
        <v>71.06</v>
      </c>
      <c r="R475">
        <f>Source!X266</f>
        <v>71.06</v>
      </c>
      <c r="S475">
        <f>ROUND((Source!CA266/100)*ROUND((Source!AF266*Source!AV266)*Source!I266, 2), 2)</f>
        <v>10.15</v>
      </c>
      <c r="T475">
        <f>Source!Y266</f>
        <v>10.15</v>
      </c>
      <c r="U475">
        <f>ROUND((175/100)*ROUND((Source!AE266*Source!AV266)*Source!I266, 2), 2)</f>
        <v>1785.19</v>
      </c>
      <c r="V475">
        <f>ROUND((108/100)*ROUND(Source!CS266*Source!I266, 2), 2)</f>
        <v>1101.72</v>
      </c>
    </row>
    <row r="476" spans="1:22" x14ac:dyDescent="0.2">
      <c r="C476" s="48" t="str">
        <f>"Объем: "&amp;Source!I266&amp;"=25,3/"&amp;"100"</f>
        <v>Объем: 0,253=25,3/100</v>
      </c>
    </row>
    <row r="477" spans="1:22" ht="14.25" x14ac:dyDescent="0.2">
      <c r="A477" s="34"/>
      <c r="B477" s="35"/>
      <c r="C477" s="35" t="s">
        <v>547</v>
      </c>
      <c r="D477" s="36"/>
      <c r="E477" s="9"/>
      <c r="F477" s="38">
        <f>Source!AO266</f>
        <v>401.24</v>
      </c>
      <c r="G477" s="37" t="str">
        <f>Source!DG266</f>
        <v/>
      </c>
      <c r="H477" s="9">
        <f>Source!AV266</f>
        <v>1</v>
      </c>
      <c r="I477" s="9">
        <f>IF(Source!BA266&lt;&gt; 0, Source!BA266, 1)</f>
        <v>1</v>
      </c>
      <c r="J477" s="39">
        <f>Source!S266</f>
        <v>101.51</v>
      </c>
      <c r="K477" s="39"/>
    </row>
    <row r="478" spans="1:22" ht="14.25" x14ac:dyDescent="0.2">
      <c r="A478" s="34"/>
      <c r="B478" s="35"/>
      <c r="C478" s="35" t="s">
        <v>548</v>
      </c>
      <c r="D478" s="36"/>
      <c r="E478" s="9"/>
      <c r="F478" s="38">
        <f>Source!AM266</f>
        <v>9081.39</v>
      </c>
      <c r="G478" s="37" t="str">
        <f>Source!DE266</f>
        <v/>
      </c>
      <c r="H478" s="9">
        <f>Source!AV266</f>
        <v>1</v>
      </c>
      <c r="I478" s="9">
        <f>IF(Source!BB266&lt;&gt; 0, Source!BB266, 1)</f>
        <v>1</v>
      </c>
      <c r="J478" s="39">
        <f>Source!Q266</f>
        <v>2297.59</v>
      </c>
      <c r="K478" s="39"/>
    </row>
    <row r="479" spans="1:22" ht="14.25" x14ac:dyDescent="0.2">
      <c r="A479" s="34"/>
      <c r="B479" s="35"/>
      <c r="C479" s="35" t="s">
        <v>549</v>
      </c>
      <c r="D479" s="36"/>
      <c r="E479" s="9"/>
      <c r="F479" s="38">
        <f>Source!AN266</f>
        <v>4032.07</v>
      </c>
      <c r="G479" s="37" t="str">
        <f>Source!DF266</f>
        <v/>
      </c>
      <c r="H479" s="9">
        <f>Source!AV266</f>
        <v>1</v>
      </c>
      <c r="I479" s="9">
        <f>IF(Source!BS266&lt;&gt; 0, Source!BS266, 1)</f>
        <v>1</v>
      </c>
      <c r="J479" s="40">
        <f>Source!R266</f>
        <v>1020.11</v>
      </c>
      <c r="K479" s="39"/>
    </row>
    <row r="480" spans="1:22" ht="14.25" x14ac:dyDescent="0.2">
      <c r="A480" s="34"/>
      <c r="B480" s="35"/>
      <c r="C480" s="35" t="s">
        <v>550</v>
      </c>
      <c r="D480" s="36" t="s">
        <v>551</v>
      </c>
      <c r="E480" s="9">
        <f>Source!AT266</f>
        <v>70</v>
      </c>
      <c r="F480" s="38"/>
      <c r="G480" s="37"/>
      <c r="H480" s="9"/>
      <c r="I480" s="9"/>
      <c r="J480" s="39">
        <f>SUM(R475:R479)</f>
        <v>71.06</v>
      </c>
      <c r="K480" s="39"/>
    </row>
    <row r="481" spans="1:22" ht="14.25" x14ac:dyDescent="0.2">
      <c r="A481" s="34"/>
      <c r="B481" s="35"/>
      <c r="C481" s="35" t="s">
        <v>552</v>
      </c>
      <c r="D481" s="36" t="s">
        <v>551</v>
      </c>
      <c r="E481" s="9">
        <f>Source!AU266</f>
        <v>10</v>
      </c>
      <c r="F481" s="38"/>
      <c r="G481" s="37"/>
      <c r="H481" s="9"/>
      <c r="I481" s="9"/>
      <c r="J481" s="39">
        <f>SUM(T475:T480)</f>
        <v>10.15</v>
      </c>
      <c r="K481" s="39"/>
    </row>
    <row r="482" spans="1:22" ht="14.25" x14ac:dyDescent="0.2">
      <c r="A482" s="34"/>
      <c r="B482" s="35"/>
      <c r="C482" s="35" t="s">
        <v>553</v>
      </c>
      <c r="D482" s="36" t="s">
        <v>551</v>
      </c>
      <c r="E482" s="9">
        <f>108</f>
        <v>108</v>
      </c>
      <c r="F482" s="38"/>
      <c r="G482" s="37"/>
      <c r="H482" s="9"/>
      <c r="I482" s="9"/>
      <c r="J482" s="39">
        <f>SUM(V475:V481)</f>
        <v>1101.72</v>
      </c>
      <c r="K482" s="39"/>
    </row>
    <row r="483" spans="1:22" ht="14.25" x14ac:dyDescent="0.2">
      <c r="A483" s="34"/>
      <c r="B483" s="35"/>
      <c r="C483" s="35" t="s">
        <v>554</v>
      </c>
      <c r="D483" s="36" t="s">
        <v>555</v>
      </c>
      <c r="E483" s="9">
        <f>Source!AQ266</f>
        <v>2.2200000000000002</v>
      </c>
      <c r="F483" s="38"/>
      <c r="G483" s="37" t="str">
        <f>Source!DI266</f>
        <v/>
      </c>
      <c r="H483" s="9">
        <f>Source!AV266</f>
        <v>1</v>
      </c>
      <c r="I483" s="9"/>
      <c r="J483" s="39"/>
      <c r="K483" s="39">
        <f>Source!U266</f>
        <v>0.56166000000000005</v>
      </c>
    </row>
    <row r="484" spans="1:22" ht="15" x14ac:dyDescent="0.25">
      <c r="A484" s="45"/>
      <c r="B484" s="45"/>
      <c r="C484" s="45"/>
      <c r="D484" s="45"/>
      <c r="E484" s="45"/>
      <c r="F484" s="45"/>
      <c r="G484" s="45"/>
      <c r="H484" s="45"/>
      <c r="I484" s="46">
        <f>J477+J478+J480+J481+J482</f>
        <v>3582.0300000000007</v>
      </c>
      <c r="J484" s="46"/>
      <c r="K484" s="47">
        <f>IF(Source!I266&lt;&gt;0, ROUND(I484/Source!I266, 2), 0)</f>
        <v>14158.22</v>
      </c>
      <c r="P484" s="41">
        <f>I484</f>
        <v>3582.0300000000007</v>
      </c>
    </row>
    <row r="485" spans="1:22" ht="42.75" x14ac:dyDescent="0.2">
      <c r="A485" s="34" t="str">
        <f>Source!E267</f>
        <v>46</v>
      </c>
      <c r="B485" s="35" t="str">
        <f>Source!F267</f>
        <v>2.1-3303-1-1/1</v>
      </c>
      <c r="C485" s="35" t="str">
        <f>Source!G267</f>
        <v>Устройство подстилающих и выравнивающих слоев оснований из песка</v>
      </c>
      <c r="D485" s="36" t="str">
        <f>Source!H267</f>
        <v>100 м3</v>
      </c>
      <c r="E485" s="9">
        <f>Source!I267</f>
        <v>0.1012</v>
      </c>
      <c r="F485" s="38"/>
      <c r="G485" s="37"/>
      <c r="H485" s="9"/>
      <c r="I485" s="9"/>
      <c r="J485" s="39"/>
      <c r="K485" s="39"/>
      <c r="Q485">
        <f>ROUND((Source!BZ267/100)*ROUND((Source!AF267*Source!AV267)*Source!I267, 2), 2)</f>
        <v>219.57</v>
      </c>
      <c r="R485">
        <f>Source!X267</f>
        <v>219.57</v>
      </c>
      <c r="S485">
        <f>ROUND((Source!CA267/100)*ROUND((Source!AF267*Source!AV267)*Source!I267, 2), 2)</f>
        <v>31.37</v>
      </c>
      <c r="T485">
        <f>Source!Y267</f>
        <v>31.37</v>
      </c>
      <c r="U485">
        <f>ROUND((175/100)*ROUND((Source!AE267*Source!AV267)*Source!I267, 2), 2)</f>
        <v>570.79999999999995</v>
      </c>
      <c r="V485">
        <f>ROUND((108/100)*ROUND(Source!CS267*Source!I267, 2), 2)</f>
        <v>352.26</v>
      </c>
    </row>
    <row r="486" spans="1:22" x14ac:dyDescent="0.2">
      <c r="C486" s="48" t="str">
        <f>"Объем: "&amp;Source!I267&amp;"=10,12/"&amp;"100"</f>
        <v>Объем: 0,1012=10,12/100</v>
      </c>
    </row>
    <row r="487" spans="1:22" ht="14.25" x14ac:dyDescent="0.2">
      <c r="A487" s="34"/>
      <c r="B487" s="35"/>
      <c r="C487" s="35" t="s">
        <v>547</v>
      </c>
      <c r="D487" s="36"/>
      <c r="E487" s="9"/>
      <c r="F487" s="38">
        <f>Source!AO267</f>
        <v>3099.54</v>
      </c>
      <c r="G487" s="37" t="str">
        <f>Source!DG267</f>
        <v/>
      </c>
      <c r="H487" s="9">
        <f>Source!AV267</f>
        <v>1</v>
      </c>
      <c r="I487" s="9">
        <f>IF(Source!BA267&lt;&gt; 0, Source!BA267, 1)</f>
        <v>1</v>
      </c>
      <c r="J487" s="39">
        <f>Source!S267</f>
        <v>313.67</v>
      </c>
      <c r="K487" s="39"/>
    </row>
    <row r="488" spans="1:22" ht="14.25" x14ac:dyDescent="0.2">
      <c r="A488" s="34"/>
      <c r="B488" s="35"/>
      <c r="C488" s="35" t="s">
        <v>548</v>
      </c>
      <c r="D488" s="36"/>
      <c r="E488" s="9"/>
      <c r="F488" s="38">
        <f>Source!AM267</f>
        <v>7602.23</v>
      </c>
      <c r="G488" s="37" t="str">
        <f>Source!DE267</f>
        <v/>
      </c>
      <c r="H488" s="9">
        <f>Source!AV267</f>
        <v>1</v>
      </c>
      <c r="I488" s="9">
        <f>IF(Source!BB267&lt;&gt; 0, Source!BB267, 1)</f>
        <v>1</v>
      </c>
      <c r="J488" s="39">
        <f>Source!Q267</f>
        <v>769.35</v>
      </c>
      <c r="K488" s="39"/>
    </row>
    <row r="489" spans="1:22" ht="14.25" x14ac:dyDescent="0.2">
      <c r="A489" s="34"/>
      <c r="B489" s="35"/>
      <c r="C489" s="35" t="s">
        <v>549</v>
      </c>
      <c r="D489" s="36"/>
      <c r="E489" s="9"/>
      <c r="F489" s="38">
        <f>Source!AN267</f>
        <v>3222.98</v>
      </c>
      <c r="G489" s="37" t="str">
        <f>Source!DF267</f>
        <v/>
      </c>
      <c r="H489" s="9">
        <f>Source!AV267</f>
        <v>1</v>
      </c>
      <c r="I489" s="9">
        <f>IF(Source!BS267&lt;&gt; 0, Source!BS267, 1)</f>
        <v>1</v>
      </c>
      <c r="J489" s="40">
        <f>Source!R267</f>
        <v>326.17</v>
      </c>
      <c r="K489" s="39"/>
    </row>
    <row r="490" spans="1:22" ht="14.25" x14ac:dyDescent="0.2">
      <c r="A490" s="34"/>
      <c r="B490" s="35"/>
      <c r="C490" s="35" t="s">
        <v>556</v>
      </c>
      <c r="D490" s="36"/>
      <c r="E490" s="9"/>
      <c r="F490" s="38">
        <f>Source!AL267</f>
        <v>65162.05</v>
      </c>
      <c r="G490" s="37" t="str">
        <f>Source!DD267</f>
        <v/>
      </c>
      <c r="H490" s="9">
        <f>Source!AW267</f>
        <v>1</v>
      </c>
      <c r="I490" s="9">
        <f>IF(Source!BC267&lt;&gt; 0, Source!BC267, 1)</f>
        <v>1</v>
      </c>
      <c r="J490" s="39">
        <f>Source!P267</f>
        <v>6594.4</v>
      </c>
      <c r="K490" s="39"/>
    </row>
    <row r="491" spans="1:22" ht="14.25" x14ac:dyDescent="0.2">
      <c r="A491" s="34"/>
      <c r="B491" s="35"/>
      <c r="C491" s="35" t="s">
        <v>550</v>
      </c>
      <c r="D491" s="36" t="s">
        <v>551</v>
      </c>
      <c r="E491" s="9">
        <f>Source!AT267</f>
        <v>70</v>
      </c>
      <c r="F491" s="38"/>
      <c r="G491" s="37"/>
      <c r="H491" s="9"/>
      <c r="I491" s="9"/>
      <c r="J491" s="39">
        <f>SUM(R485:R490)</f>
        <v>219.57</v>
      </c>
      <c r="K491" s="39"/>
    </row>
    <row r="492" spans="1:22" ht="14.25" x14ac:dyDescent="0.2">
      <c r="A492" s="34"/>
      <c r="B492" s="35"/>
      <c r="C492" s="35" t="s">
        <v>552</v>
      </c>
      <c r="D492" s="36" t="s">
        <v>551</v>
      </c>
      <c r="E492" s="9">
        <f>Source!AU267</f>
        <v>10</v>
      </c>
      <c r="F492" s="38"/>
      <c r="G492" s="37"/>
      <c r="H492" s="9"/>
      <c r="I492" s="9"/>
      <c r="J492" s="39">
        <f>SUM(T485:T491)</f>
        <v>31.37</v>
      </c>
      <c r="K492" s="39"/>
    </row>
    <row r="493" spans="1:22" ht="14.25" x14ac:dyDescent="0.2">
      <c r="A493" s="34"/>
      <c r="B493" s="35"/>
      <c r="C493" s="35" t="s">
        <v>553</v>
      </c>
      <c r="D493" s="36" t="s">
        <v>551</v>
      </c>
      <c r="E493" s="9">
        <f>108</f>
        <v>108</v>
      </c>
      <c r="F493" s="38"/>
      <c r="G493" s="37"/>
      <c r="H493" s="9"/>
      <c r="I493" s="9"/>
      <c r="J493" s="39">
        <f>SUM(V485:V492)</f>
        <v>352.26</v>
      </c>
      <c r="K493" s="39"/>
    </row>
    <row r="494" spans="1:22" ht="14.25" x14ac:dyDescent="0.2">
      <c r="A494" s="34"/>
      <c r="B494" s="35"/>
      <c r="C494" s="35" t="s">
        <v>554</v>
      </c>
      <c r="D494" s="36" t="s">
        <v>555</v>
      </c>
      <c r="E494" s="9">
        <f>Source!AQ267</f>
        <v>16.559999999999999</v>
      </c>
      <c r="F494" s="38"/>
      <c r="G494" s="37" t="str">
        <f>Source!DI267</f>
        <v/>
      </c>
      <c r="H494" s="9">
        <f>Source!AV267</f>
        <v>1</v>
      </c>
      <c r="I494" s="9"/>
      <c r="J494" s="39"/>
      <c r="K494" s="39">
        <f>Source!U267</f>
        <v>1.6758719999999998</v>
      </c>
    </row>
    <row r="495" spans="1:22" ht="15" x14ac:dyDescent="0.25">
      <c r="A495" s="45"/>
      <c r="B495" s="45"/>
      <c r="C495" s="45"/>
      <c r="D495" s="45"/>
      <c r="E495" s="45"/>
      <c r="F495" s="45"/>
      <c r="G495" s="45"/>
      <c r="H495" s="45"/>
      <c r="I495" s="46">
        <f>J487+J488+J490+J491+J492+J493</f>
        <v>8280.619999999999</v>
      </c>
      <c r="J495" s="46"/>
      <c r="K495" s="47">
        <f>IF(Source!I267&lt;&gt;0, ROUND(I495/Source!I267, 2), 0)</f>
        <v>81824.31</v>
      </c>
      <c r="P495" s="41">
        <f>I495</f>
        <v>8280.619999999999</v>
      </c>
    </row>
    <row r="496" spans="1:22" ht="28.5" x14ac:dyDescent="0.2">
      <c r="A496" s="34" t="str">
        <f>Source!E268</f>
        <v>47</v>
      </c>
      <c r="B496" s="35" t="str">
        <f>Source!F268</f>
        <v>2.1-3303-10-1/1</v>
      </c>
      <c r="C496" s="35" t="str">
        <f>Source!G268</f>
        <v>Устройство оснований под тротуары или дорожки из щебня толщиной 12 см</v>
      </c>
      <c r="D496" s="36" t="str">
        <f>Source!H268</f>
        <v>100 м2</v>
      </c>
      <c r="E496" s="9">
        <f>Source!I268</f>
        <v>1.012</v>
      </c>
      <c r="F496" s="38"/>
      <c r="G496" s="37"/>
      <c r="H496" s="9"/>
      <c r="I496" s="9"/>
      <c r="J496" s="39"/>
      <c r="K496" s="39"/>
      <c r="Q496">
        <f>ROUND((Source!BZ268/100)*ROUND((Source!AF268*Source!AV268)*Source!I268, 2), 2)</f>
        <v>4001.29</v>
      </c>
      <c r="R496">
        <f>Source!X268</f>
        <v>4001.29</v>
      </c>
      <c r="S496">
        <f>ROUND((Source!CA268/100)*ROUND((Source!AF268*Source!AV268)*Source!I268, 2), 2)</f>
        <v>571.61</v>
      </c>
      <c r="T496">
        <f>Source!Y268</f>
        <v>571.61</v>
      </c>
      <c r="U496">
        <f>ROUND((175/100)*ROUND((Source!AE268*Source!AV268)*Source!I268, 2), 2)</f>
        <v>1999.78</v>
      </c>
      <c r="V496">
        <f>ROUND((108/100)*ROUND(Source!CS268*Source!I268, 2), 2)</f>
        <v>1234.1500000000001</v>
      </c>
    </row>
    <row r="497" spans="1:22" x14ac:dyDescent="0.2">
      <c r="C497" s="48" t="str">
        <f>"Объем: "&amp;Source!I268&amp;"=101,2/"&amp;"100"</f>
        <v>Объем: 1,012=101,2/100</v>
      </c>
    </row>
    <row r="498" spans="1:22" ht="14.25" x14ac:dyDescent="0.2">
      <c r="A498" s="34"/>
      <c r="B498" s="35"/>
      <c r="C498" s="35" t="s">
        <v>547</v>
      </c>
      <c r="D498" s="36"/>
      <c r="E498" s="9"/>
      <c r="F498" s="38">
        <f>Source!AO268</f>
        <v>5648.35</v>
      </c>
      <c r="G498" s="37" t="str">
        <f>Source!DG268</f>
        <v/>
      </c>
      <c r="H498" s="9">
        <f>Source!AV268</f>
        <v>1</v>
      </c>
      <c r="I498" s="9">
        <f>IF(Source!BA268&lt;&gt; 0, Source!BA268, 1)</f>
        <v>1</v>
      </c>
      <c r="J498" s="39">
        <f>Source!S268</f>
        <v>5716.13</v>
      </c>
      <c r="K498" s="39"/>
    </row>
    <row r="499" spans="1:22" ht="14.25" x14ac:dyDescent="0.2">
      <c r="A499" s="34"/>
      <c r="B499" s="35"/>
      <c r="C499" s="35" t="s">
        <v>548</v>
      </c>
      <c r="D499" s="36"/>
      <c r="E499" s="9"/>
      <c r="F499" s="38">
        <f>Source!AM268</f>
        <v>3236.38</v>
      </c>
      <c r="G499" s="37" t="str">
        <f>Source!DE268</f>
        <v/>
      </c>
      <c r="H499" s="9">
        <f>Source!AV268</f>
        <v>1</v>
      </c>
      <c r="I499" s="9">
        <f>IF(Source!BB268&lt;&gt; 0, Source!BB268, 1)</f>
        <v>1</v>
      </c>
      <c r="J499" s="39">
        <f>Source!Q268</f>
        <v>3275.22</v>
      </c>
      <c r="K499" s="39"/>
    </row>
    <row r="500" spans="1:22" ht="14.25" x14ac:dyDescent="0.2">
      <c r="A500" s="34"/>
      <c r="B500" s="35"/>
      <c r="C500" s="35" t="s">
        <v>549</v>
      </c>
      <c r="D500" s="36"/>
      <c r="E500" s="9"/>
      <c r="F500" s="38">
        <f>Source!AN268</f>
        <v>1129.18</v>
      </c>
      <c r="G500" s="37" t="str">
        <f>Source!DF268</f>
        <v/>
      </c>
      <c r="H500" s="9">
        <f>Source!AV268</f>
        <v>1</v>
      </c>
      <c r="I500" s="9">
        <f>IF(Source!BS268&lt;&gt; 0, Source!BS268, 1)</f>
        <v>1</v>
      </c>
      <c r="J500" s="40">
        <f>Source!R268</f>
        <v>1142.73</v>
      </c>
      <c r="K500" s="39"/>
    </row>
    <row r="501" spans="1:22" ht="14.25" x14ac:dyDescent="0.2">
      <c r="A501" s="34"/>
      <c r="B501" s="35"/>
      <c r="C501" s="35" t="s">
        <v>556</v>
      </c>
      <c r="D501" s="36"/>
      <c r="E501" s="9"/>
      <c r="F501" s="38">
        <f>Source!AL268</f>
        <v>25065.599999999999</v>
      </c>
      <c r="G501" s="37" t="str">
        <f>Source!DD268</f>
        <v/>
      </c>
      <c r="H501" s="9">
        <f>Source!AW268</f>
        <v>1</v>
      </c>
      <c r="I501" s="9">
        <f>IF(Source!BC268&lt;&gt; 0, Source!BC268, 1)</f>
        <v>1</v>
      </c>
      <c r="J501" s="39">
        <f>Source!P268</f>
        <v>25366.39</v>
      </c>
      <c r="K501" s="39"/>
    </row>
    <row r="502" spans="1:22" ht="42.75" x14ac:dyDescent="0.2">
      <c r="A502" s="34" t="str">
        <f>Source!E269</f>
        <v>47,1</v>
      </c>
      <c r="B502" s="35" t="str">
        <f>Source!F269</f>
        <v>21.1-12-36</v>
      </c>
      <c r="C502" s="35" t="str">
        <f>Source!G269</f>
        <v>Щебень из естественного камня для строительных работ, марка 1200-800, фракция 20-40 мм</v>
      </c>
      <c r="D502" s="36" t="str">
        <f>Source!H269</f>
        <v>м3</v>
      </c>
      <c r="E502" s="9">
        <f>Source!I269</f>
        <v>17.608000000000001</v>
      </c>
      <c r="F502" s="38">
        <f>Source!AK269</f>
        <v>1763.75</v>
      </c>
      <c r="G502" s="49" t="s">
        <v>3</v>
      </c>
      <c r="H502" s="9">
        <f>Source!AW269</f>
        <v>1</v>
      </c>
      <c r="I502" s="9">
        <f>IF(Source!BC269&lt;&gt; 0, Source!BC269, 1)</f>
        <v>1</v>
      </c>
      <c r="J502" s="39">
        <f>Source!O269</f>
        <v>31056.11</v>
      </c>
      <c r="K502" s="39"/>
      <c r="Q502">
        <f>ROUND((Source!BZ269/100)*ROUND((Source!AF269*Source!AV269)*Source!I269, 2), 2)</f>
        <v>0</v>
      </c>
      <c r="R502">
        <f>Source!X269</f>
        <v>0</v>
      </c>
      <c r="S502">
        <f>ROUND((Source!CA269/100)*ROUND((Source!AF269*Source!AV269)*Source!I269, 2), 2)</f>
        <v>0</v>
      </c>
      <c r="T502">
        <f>Source!Y269</f>
        <v>0</v>
      </c>
      <c r="U502">
        <f>ROUND((175/100)*ROUND((Source!AE269*Source!AV269)*Source!I269, 2), 2)</f>
        <v>0</v>
      </c>
      <c r="V502">
        <f>ROUND((108/100)*ROUND(Source!CS269*Source!I269, 2), 2)</f>
        <v>0</v>
      </c>
    </row>
    <row r="503" spans="1:22" ht="42.75" x14ac:dyDescent="0.2">
      <c r="A503" s="34" t="str">
        <f>Source!E270</f>
        <v>47,2</v>
      </c>
      <c r="B503" s="35" t="str">
        <f>Source!F270</f>
        <v>21.1-12-50</v>
      </c>
      <c r="C503" s="35" t="str">
        <f>Source!G270</f>
        <v>Щебень из естественного камня, декоративный, фракционированный известняковый</v>
      </c>
      <c r="D503" s="36" t="str">
        <f>Source!H270</f>
        <v>м3</v>
      </c>
      <c r="E503" s="9">
        <f>Source!I270</f>
        <v>-17.608799999999999</v>
      </c>
      <c r="F503" s="38">
        <f>Source!AK270</f>
        <v>1436.5</v>
      </c>
      <c r="G503" s="49" t="s">
        <v>3</v>
      </c>
      <c r="H503" s="9">
        <f>Source!AW270</f>
        <v>1</v>
      </c>
      <c r="I503" s="9">
        <f>IF(Source!BC270&lt;&gt; 0, Source!BC270, 1)</f>
        <v>1</v>
      </c>
      <c r="J503" s="39">
        <f>Source!O270</f>
        <v>-25295.040000000001</v>
      </c>
      <c r="K503" s="39"/>
      <c r="Q503">
        <f>ROUND((Source!BZ270/100)*ROUND((Source!AF270*Source!AV270)*Source!I270, 2), 2)</f>
        <v>0</v>
      </c>
      <c r="R503">
        <f>Source!X270</f>
        <v>0</v>
      </c>
      <c r="S503">
        <f>ROUND((Source!CA270/100)*ROUND((Source!AF270*Source!AV270)*Source!I270, 2), 2)</f>
        <v>0</v>
      </c>
      <c r="T503">
        <f>Source!Y270</f>
        <v>0</v>
      </c>
      <c r="U503">
        <f>ROUND((175/100)*ROUND((Source!AE270*Source!AV270)*Source!I270, 2), 2)</f>
        <v>0</v>
      </c>
      <c r="V503">
        <f>ROUND((108/100)*ROUND(Source!CS270*Source!I270, 2), 2)</f>
        <v>0</v>
      </c>
    </row>
    <row r="504" spans="1:22" ht="14.25" x14ac:dyDescent="0.2">
      <c r="A504" s="34"/>
      <c r="B504" s="35"/>
      <c r="C504" s="35" t="s">
        <v>550</v>
      </c>
      <c r="D504" s="36" t="s">
        <v>551</v>
      </c>
      <c r="E504" s="9">
        <f>Source!AT268</f>
        <v>70</v>
      </c>
      <c r="F504" s="38"/>
      <c r="G504" s="37"/>
      <c r="H504" s="9"/>
      <c r="I504" s="9"/>
      <c r="J504" s="39">
        <f>SUM(R496:R503)</f>
        <v>4001.29</v>
      </c>
      <c r="K504" s="39"/>
    </row>
    <row r="505" spans="1:22" ht="14.25" x14ac:dyDescent="0.2">
      <c r="A505" s="34"/>
      <c r="B505" s="35"/>
      <c r="C505" s="35" t="s">
        <v>552</v>
      </c>
      <c r="D505" s="36" t="s">
        <v>551</v>
      </c>
      <c r="E505" s="9">
        <f>Source!AU268</f>
        <v>10</v>
      </c>
      <c r="F505" s="38"/>
      <c r="G505" s="37"/>
      <c r="H505" s="9"/>
      <c r="I505" s="9"/>
      <c r="J505" s="39">
        <f>SUM(T496:T504)</f>
        <v>571.61</v>
      </c>
      <c r="K505" s="39"/>
    </row>
    <row r="506" spans="1:22" ht="14.25" x14ac:dyDescent="0.2">
      <c r="A506" s="34"/>
      <c r="B506" s="35"/>
      <c r="C506" s="35" t="s">
        <v>553</v>
      </c>
      <c r="D506" s="36" t="s">
        <v>551</v>
      </c>
      <c r="E506" s="9">
        <f>108</f>
        <v>108</v>
      </c>
      <c r="F506" s="38"/>
      <c r="G506" s="37"/>
      <c r="H506" s="9"/>
      <c r="I506" s="9"/>
      <c r="J506" s="39">
        <f>SUM(V496:V505)</f>
        <v>1234.1500000000001</v>
      </c>
      <c r="K506" s="39"/>
    </row>
    <row r="507" spans="1:22" ht="14.25" x14ac:dyDescent="0.2">
      <c r="A507" s="34"/>
      <c r="B507" s="35"/>
      <c r="C507" s="35" t="s">
        <v>554</v>
      </c>
      <c r="D507" s="36" t="s">
        <v>555</v>
      </c>
      <c r="E507" s="9">
        <f>Source!AQ268</f>
        <v>27.94</v>
      </c>
      <c r="F507" s="38"/>
      <c r="G507" s="37" t="str">
        <f>Source!DI268</f>
        <v/>
      </c>
      <c r="H507" s="9">
        <f>Source!AV268</f>
        <v>1</v>
      </c>
      <c r="I507" s="9"/>
      <c r="J507" s="39"/>
      <c r="K507" s="39">
        <f>Source!U268</f>
        <v>28.275280000000002</v>
      </c>
    </row>
    <row r="508" spans="1:22" ht="15" x14ac:dyDescent="0.25">
      <c r="A508" s="45"/>
      <c r="B508" s="45"/>
      <c r="C508" s="45"/>
      <c r="D508" s="45"/>
      <c r="E508" s="45"/>
      <c r="F508" s="45"/>
      <c r="G508" s="45"/>
      <c r="H508" s="45"/>
      <c r="I508" s="46">
        <f>J498+J499+J501+J504+J505+J506+SUM(J502:J503)</f>
        <v>45925.86</v>
      </c>
      <c r="J508" s="46"/>
      <c r="K508" s="47">
        <f>IF(Source!I268&lt;&gt;0, ROUND(I508/Source!I268, 2), 0)</f>
        <v>45381.279999999999</v>
      </c>
      <c r="P508" s="41">
        <f>I508</f>
        <v>45925.86</v>
      </c>
    </row>
    <row r="509" spans="1:22" ht="71.25" x14ac:dyDescent="0.2">
      <c r="A509" s="34" t="str">
        <f>Source!E271</f>
        <v>48</v>
      </c>
      <c r="B509" s="35" t="str">
        <f>Source!F271</f>
        <v>2.1-3103-19-4/1</v>
      </c>
      <c r="C509" s="35" t="str">
        <f>Source!G271</f>
        <v>Устройство асфальтобетонных покрытий дорожек и тротуаров двухслойных, верхний слой из песчаной асфальтобетонной смеси толщиной 3 см</v>
      </c>
      <c r="D509" s="36" t="str">
        <f>Source!H271</f>
        <v>100 м2</v>
      </c>
      <c r="E509" s="9">
        <f>Source!I271</f>
        <v>1.012</v>
      </c>
      <c r="F509" s="38"/>
      <c r="G509" s="37"/>
      <c r="H509" s="9"/>
      <c r="I509" s="9"/>
      <c r="J509" s="39"/>
      <c r="K509" s="39"/>
      <c r="Q509">
        <f>ROUND((Source!BZ271/100)*ROUND((Source!AF271*Source!AV271)*Source!I271, 2), 2)</f>
        <v>1668.28</v>
      </c>
      <c r="R509">
        <f>Source!X271</f>
        <v>1668.28</v>
      </c>
      <c r="S509">
        <f>ROUND((Source!CA271/100)*ROUND((Source!AF271*Source!AV271)*Source!I271, 2), 2)</f>
        <v>238.33</v>
      </c>
      <c r="T509">
        <f>Source!Y271</f>
        <v>238.33</v>
      </c>
      <c r="U509">
        <f>ROUND((175/100)*ROUND((Source!AE271*Source!AV271)*Source!I271, 2), 2)</f>
        <v>835.42</v>
      </c>
      <c r="V509">
        <f>ROUND((108/100)*ROUND(Source!CS271*Source!I271, 2), 2)</f>
        <v>515.57000000000005</v>
      </c>
    </row>
    <row r="510" spans="1:22" x14ac:dyDescent="0.2">
      <c r="C510" s="48" t="str">
        <f>"Объем: "&amp;Source!I271&amp;"=101,2/"&amp;"100"</f>
        <v>Объем: 1,012=101,2/100</v>
      </c>
    </row>
    <row r="511" spans="1:22" ht="14.25" x14ac:dyDescent="0.2">
      <c r="A511" s="34"/>
      <c r="B511" s="35"/>
      <c r="C511" s="35" t="s">
        <v>547</v>
      </c>
      <c r="D511" s="36"/>
      <c r="E511" s="9"/>
      <c r="F511" s="38">
        <f>Source!AO271</f>
        <v>2354.9899999999998</v>
      </c>
      <c r="G511" s="37" t="str">
        <f>Source!DG271</f>
        <v/>
      </c>
      <c r="H511" s="9">
        <f>Source!AV271</f>
        <v>1</v>
      </c>
      <c r="I511" s="9">
        <f>IF(Source!BA271&lt;&gt; 0, Source!BA271, 1)</f>
        <v>1</v>
      </c>
      <c r="J511" s="39">
        <f>Source!S271</f>
        <v>2383.25</v>
      </c>
      <c r="K511" s="39"/>
    </row>
    <row r="512" spans="1:22" ht="14.25" x14ac:dyDescent="0.2">
      <c r="A512" s="34"/>
      <c r="B512" s="35"/>
      <c r="C512" s="35" t="s">
        <v>548</v>
      </c>
      <c r="D512" s="36"/>
      <c r="E512" s="9"/>
      <c r="F512" s="38">
        <f>Source!AM271</f>
        <v>1123.06</v>
      </c>
      <c r="G512" s="37" t="str">
        <f>Source!DE271</f>
        <v/>
      </c>
      <c r="H512" s="9">
        <f>Source!AV271</f>
        <v>1</v>
      </c>
      <c r="I512" s="9">
        <f>IF(Source!BB271&lt;&gt; 0, Source!BB271, 1)</f>
        <v>1</v>
      </c>
      <c r="J512" s="39">
        <f>Source!Q271</f>
        <v>1136.54</v>
      </c>
      <c r="K512" s="39"/>
    </row>
    <row r="513" spans="1:22" ht="14.25" x14ac:dyDescent="0.2">
      <c r="A513" s="34"/>
      <c r="B513" s="35"/>
      <c r="C513" s="35" t="s">
        <v>549</v>
      </c>
      <c r="D513" s="36"/>
      <c r="E513" s="9"/>
      <c r="F513" s="38">
        <f>Source!AN271</f>
        <v>471.72</v>
      </c>
      <c r="G513" s="37" t="str">
        <f>Source!DF271</f>
        <v/>
      </c>
      <c r="H513" s="9">
        <f>Source!AV271</f>
        <v>1</v>
      </c>
      <c r="I513" s="9">
        <f>IF(Source!BS271&lt;&gt; 0, Source!BS271, 1)</f>
        <v>1</v>
      </c>
      <c r="J513" s="40">
        <f>Source!R271</f>
        <v>477.38</v>
      </c>
      <c r="K513" s="39"/>
    </row>
    <row r="514" spans="1:22" ht="14.25" x14ac:dyDescent="0.2">
      <c r="A514" s="34"/>
      <c r="B514" s="35"/>
      <c r="C514" s="35" t="s">
        <v>556</v>
      </c>
      <c r="D514" s="36"/>
      <c r="E514" s="9"/>
      <c r="F514" s="38">
        <f>Source!AL271</f>
        <v>20488.849999999999</v>
      </c>
      <c r="G514" s="37" t="str">
        <f>Source!DD271</f>
        <v/>
      </c>
      <c r="H514" s="9">
        <f>Source!AW271</f>
        <v>1</v>
      </c>
      <c r="I514" s="9">
        <f>IF(Source!BC271&lt;&gt; 0, Source!BC271, 1)</f>
        <v>1</v>
      </c>
      <c r="J514" s="39">
        <f>Source!P271</f>
        <v>20734.72</v>
      </c>
      <c r="K514" s="39"/>
    </row>
    <row r="515" spans="1:22" ht="14.25" x14ac:dyDescent="0.2">
      <c r="A515" s="34"/>
      <c r="B515" s="35"/>
      <c r="C515" s="35" t="s">
        <v>550</v>
      </c>
      <c r="D515" s="36" t="s">
        <v>551</v>
      </c>
      <c r="E515" s="9">
        <f>Source!AT271</f>
        <v>70</v>
      </c>
      <c r="F515" s="38"/>
      <c r="G515" s="37"/>
      <c r="H515" s="9"/>
      <c r="I515" s="9"/>
      <c r="J515" s="39">
        <f>SUM(R509:R514)</f>
        <v>1668.28</v>
      </c>
      <c r="K515" s="39"/>
    </row>
    <row r="516" spans="1:22" ht="14.25" x14ac:dyDescent="0.2">
      <c r="A516" s="34"/>
      <c r="B516" s="35"/>
      <c r="C516" s="35" t="s">
        <v>552</v>
      </c>
      <c r="D516" s="36" t="s">
        <v>551</v>
      </c>
      <c r="E516" s="9">
        <f>Source!AU271</f>
        <v>10</v>
      </c>
      <c r="F516" s="38"/>
      <c r="G516" s="37"/>
      <c r="H516" s="9"/>
      <c r="I516" s="9"/>
      <c r="J516" s="39">
        <f>SUM(T509:T515)</f>
        <v>238.33</v>
      </c>
      <c r="K516" s="39"/>
    </row>
    <row r="517" spans="1:22" ht="14.25" x14ac:dyDescent="0.2">
      <c r="A517" s="34"/>
      <c r="B517" s="35"/>
      <c r="C517" s="35" t="s">
        <v>553</v>
      </c>
      <c r="D517" s="36" t="s">
        <v>551</v>
      </c>
      <c r="E517" s="9">
        <f>108</f>
        <v>108</v>
      </c>
      <c r="F517" s="38"/>
      <c r="G517" s="37"/>
      <c r="H517" s="9"/>
      <c r="I517" s="9"/>
      <c r="J517" s="39">
        <f>SUM(V509:V516)</f>
        <v>515.57000000000005</v>
      </c>
      <c r="K517" s="39"/>
    </row>
    <row r="518" spans="1:22" ht="14.25" x14ac:dyDescent="0.2">
      <c r="A518" s="34"/>
      <c r="B518" s="35"/>
      <c r="C518" s="35" t="s">
        <v>554</v>
      </c>
      <c r="D518" s="36" t="s">
        <v>555</v>
      </c>
      <c r="E518" s="9">
        <f>Source!AQ271</f>
        <v>10.3</v>
      </c>
      <c r="F518" s="38"/>
      <c r="G518" s="37" t="str">
        <f>Source!DI271</f>
        <v/>
      </c>
      <c r="H518" s="9">
        <f>Source!AV271</f>
        <v>1</v>
      </c>
      <c r="I518" s="9"/>
      <c r="J518" s="39"/>
      <c r="K518" s="39">
        <f>Source!U271</f>
        <v>10.4236</v>
      </c>
    </row>
    <row r="519" spans="1:22" ht="15" x14ac:dyDescent="0.25">
      <c r="A519" s="45"/>
      <c r="B519" s="45"/>
      <c r="C519" s="45"/>
      <c r="D519" s="45"/>
      <c r="E519" s="45"/>
      <c r="F519" s="45"/>
      <c r="G519" s="45"/>
      <c r="H519" s="45"/>
      <c r="I519" s="46">
        <f>J511+J512+J514+J515+J516+J517</f>
        <v>26676.690000000002</v>
      </c>
      <c r="J519" s="46"/>
      <c r="K519" s="47">
        <f>IF(Source!I271&lt;&gt;0, ROUND(I519/Source!I271, 2), 0)</f>
        <v>26360.37</v>
      </c>
      <c r="P519" s="41">
        <f>I519</f>
        <v>26676.690000000002</v>
      </c>
    </row>
    <row r="520" spans="1:22" ht="57" x14ac:dyDescent="0.2">
      <c r="A520" s="34" t="str">
        <f>Source!E272</f>
        <v>49</v>
      </c>
      <c r="B520" s="35" t="str">
        <f>Source!F272</f>
        <v>5.3-3103-11-1/1</v>
      </c>
      <c r="C520" s="35" t="str">
        <f>Source!G272</f>
        <v>Устройство наливного полиуретанового покрытия спортивных площадок и беговых дорожек толщиной 10 мм</v>
      </c>
      <c r="D520" s="36" t="str">
        <f>Source!H272</f>
        <v>100 м2</v>
      </c>
      <c r="E520" s="9">
        <f>Source!I272</f>
        <v>1.012</v>
      </c>
      <c r="F520" s="38"/>
      <c r="G520" s="37"/>
      <c r="H520" s="9"/>
      <c r="I520" s="9"/>
      <c r="J520" s="39"/>
      <c r="K520" s="39"/>
      <c r="Q520">
        <f>ROUND((Source!BZ272/100)*ROUND((Source!AF272*Source!AV272)*Source!I272, 2), 2)</f>
        <v>2887.89</v>
      </c>
      <c r="R520">
        <f>Source!X272</f>
        <v>2887.89</v>
      </c>
      <c r="S520">
        <f>ROUND((Source!CA272/100)*ROUND((Source!AF272*Source!AV272)*Source!I272, 2), 2)</f>
        <v>412.56</v>
      </c>
      <c r="T520">
        <f>Source!Y272</f>
        <v>412.56</v>
      </c>
      <c r="U520">
        <f>ROUND((175/100)*ROUND((Source!AE272*Source!AV272)*Source!I272, 2), 2)</f>
        <v>3654.39</v>
      </c>
      <c r="V520">
        <f>ROUND((108/100)*ROUND(Source!CS272*Source!I272, 2), 2)</f>
        <v>2255.2800000000002</v>
      </c>
    </row>
    <row r="521" spans="1:22" x14ac:dyDescent="0.2">
      <c r="C521" s="48" t="str">
        <f>"Объем: "&amp;Source!I272&amp;"=101,2/"&amp;"100"</f>
        <v>Объем: 1,012=101,2/100</v>
      </c>
    </row>
    <row r="522" spans="1:22" ht="14.25" x14ac:dyDescent="0.2">
      <c r="A522" s="34"/>
      <c r="B522" s="35"/>
      <c r="C522" s="35" t="s">
        <v>547</v>
      </c>
      <c r="D522" s="36"/>
      <c r="E522" s="9"/>
      <c r="F522" s="38">
        <f>Source!AO272</f>
        <v>4076.63</v>
      </c>
      <c r="G522" s="37" t="str">
        <f>Source!DG272</f>
        <v/>
      </c>
      <c r="H522" s="9">
        <f>Source!AV272</f>
        <v>1</v>
      </c>
      <c r="I522" s="9">
        <f>IF(Source!BA272&lt;&gt; 0, Source!BA272, 1)</f>
        <v>1</v>
      </c>
      <c r="J522" s="39">
        <f>Source!S272</f>
        <v>4125.55</v>
      </c>
      <c r="K522" s="39"/>
    </row>
    <row r="523" spans="1:22" ht="14.25" x14ac:dyDescent="0.2">
      <c r="A523" s="34"/>
      <c r="B523" s="35"/>
      <c r="C523" s="35" t="s">
        <v>548</v>
      </c>
      <c r="D523" s="36"/>
      <c r="E523" s="9"/>
      <c r="F523" s="38">
        <f>Source!AM272</f>
        <v>2617.25</v>
      </c>
      <c r="G523" s="37" t="str">
        <f>Source!DE272</f>
        <v/>
      </c>
      <c r="H523" s="9">
        <f>Source!AV272</f>
        <v>1</v>
      </c>
      <c r="I523" s="9">
        <f>IF(Source!BB272&lt;&gt; 0, Source!BB272, 1)</f>
        <v>1</v>
      </c>
      <c r="J523" s="39">
        <f>Source!Q272</f>
        <v>2648.66</v>
      </c>
      <c r="K523" s="39"/>
    </row>
    <row r="524" spans="1:22" ht="14.25" x14ac:dyDescent="0.2">
      <c r="A524" s="34"/>
      <c r="B524" s="35"/>
      <c r="C524" s="35" t="s">
        <v>549</v>
      </c>
      <c r="D524" s="36"/>
      <c r="E524" s="9"/>
      <c r="F524" s="38">
        <f>Source!AN272</f>
        <v>2063.46</v>
      </c>
      <c r="G524" s="37" t="str">
        <f>Source!DF272</f>
        <v/>
      </c>
      <c r="H524" s="9">
        <f>Source!AV272</f>
        <v>1</v>
      </c>
      <c r="I524" s="9">
        <f>IF(Source!BS272&lt;&gt; 0, Source!BS272, 1)</f>
        <v>1</v>
      </c>
      <c r="J524" s="40">
        <f>Source!R272</f>
        <v>2088.2199999999998</v>
      </c>
      <c r="K524" s="39"/>
    </row>
    <row r="525" spans="1:22" ht="14.25" x14ac:dyDescent="0.2">
      <c r="A525" s="34"/>
      <c r="B525" s="35"/>
      <c r="C525" s="35" t="s">
        <v>556</v>
      </c>
      <c r="D525" s="36"/>
      <c r="E525" s="9"/>
      <c r="F525" s="38">
        <f>Source!AL272</f>
        <v>102359.62</v>
      </c>
      <c r="G525" s="37" t="str">
        <f>Source!DD272</f>
        <v/>
      </c>
      <c r="H525" s="9">
        <f>Source!AW272</f>
        <v>1</v>
      </c>
      <c r="I525" s="9">
        <f>IF(Source!BC272&lt;&gt; 0, Source!BC272, 1)</f>
        <v>1</v>
      </c>
      <c r="J525" s="39">
        <f>Source!P272</f>
        <v>103587.94</v>
      </c>
      <c r="K525" s="39"/>
    </row>
    <row r="526" spans="1:22" ht="14.25" x14ac:dyDescent="0.2">
      <c r="A526" s="34"/>
      <c r="B526" s="35"/>
      <c r="C526" s="35" t="s">
        <v>550</v>
      </c>
      <c r="D526" s="36" t="s">
        <v>551</v>
      </c>
      <c r="E526" s="9">
        <f>Source!AT272</f>
        <v>70</v>
      </c>
      <c r="F526" s="38"/>
      <c r="G526" s="37"/>
      <c r="H526" s="9"/>
      <c r="I526" s="9"/>
      <c r="J526" s="39">
        <f>SUM(R520:R525)</f>
        <v>2887.89</v>
      </c>
      <c r="K526" s="39"/>
    </row>
    <row r="527" spans="1:22" ht="14.25" x14ac:dyDescent="0.2">
      <c r="A527" s="34"/>
      <c r="B527" s="35"/>
      <c r="C527" s="35" t="s">
        <v>552</v>
      </c>
      <c r="D527" s="36" t="s">
        <v>551</v>
      </c>
      <c r="E527" s="9">
        <f>Source!AU272</f>
        <v>10</v>
      </c>
      <c r="F527" s="38"/>
      <c r="G527" s="37"/>
      <c r="H527" s="9"/>
      <c r="I527" s="9"/>
      <c r="J527" s="39">
        <f>SUM(T520:T526)</f>
        <v>412.56</v>
      </c>
      <c r="K527" s="39"/>
    </row>
    <row r="528" spans="1:22" ht="14.25" x14ac:dyDescent="0.2">
      <c r="A528" s="34"/>
      <c r="B528" s="35"/>
      <c r="C528" s="35" t="s">
        <v>553</v>
      </c>
      <c r="D528" s="36" t="s">
        <v>551</v>
      </c>
      <c r="E528" s="9">
        <f>108</f>
        <v>108</v>
      </c>
      <c r="F528" s="38"/>
      <c r="G528" s="37"/>
      <c r="H528" s="9"/>
      <c r="I528" s="9"/>
      <c r="J528" s="39">
        <f>SUM(V520:V527)</f>
        <v>2255.2800000000002</v>
      </c>
      <c r="K528" s="39"/>
    </row>
    <row r="529" spans="1:22" ht="14.25" x14ac:dyDescent="0.2">
      <c r="A529" s="34"/>
      <c r="B529" s="35"/>
      <c r="C529" s="35" t="s">
        <v>554</v>
      </c>
      <c r="D529" s="36" t="s">
        <v>555</v>
      </c>
      <c r="E529" s="9">
        <f>Source!AQ272</f>
        <v>18.440000000000001</v>
      </c>
      <c r="F529" s="38"/>
      <c r="G529" s="37" t="str">
        <f>Source!DI272</f>
        <v/>
      </c>
      <c r="H529" s="9">
        <f>Source!AV272</f>
        <v>1</v>
      </c>
      <c r="I529" s="9"/>
      <c r="J529" s="39"/>
      <c r="K529" s="39">
        <f>Source!U272</f>
        <v>18.661280000000001</v>
      </c>
    </row>
    <row r="530" spans="1:22" ht="15" x14ac:dyDescent="0.25">
      <c r="A530" s="45"/>
      <c r="B530" s="45"/>
      <c r="C530" s="45"/>
      <c r="D530" s="45"/>
      <c r="E530" s="45"/>
      <c r="F530" s="45"/>
      <c r="G530" s="45"/>
      <c r="H530" s="45"/>
      <c r="I530" s="46">
        <f>J522+J523+J525+J526+J527+J528</f>
        <v>115917.88</v>
      </c>
      <c r="J530" s="46"/>
      <c r="K530" s="47">
        <f>IF(Source!I272&lt;&gt;0, ROUND(I530/Source!I272, 2), 0)</f>
        <v>114543.36</v>
      </c>
      <c r="P530" s="41">
        <f>I530</f>
        <v>115917.88</v>
      </c>
    </row>
    <row r="531" spans="1:22" ht="71.25" x14ac:dyDescent="0.2">
      <c r="A531" s="34" t="str">
        <f>Source!E273</f>
        <v>50</v>
      </c>
      <c r="B531" s="35" t="str">
        <f>Source!F273</f>
        <v>5.3-3103-11-2/1</v>
      </c>
      <c r="C531" s="35" t="str">
        <f>Source!G273</f>
        <v>Устройство наливного полиуретанового покрытия спортивных площадок и беговых дорожек, добавляется на 2 мм толщины покрытия</v>
      </c>
      <c r="D531" s="36" t="str">
        <f>Source!H273</f>
        <v>100 м2</v>
      </c>
      <c r="E531" s="9">
        <f>Source!I273</f>
        <v>1.012</v>
      </c>
      <c r="F531" s="38"/>
      <c r="G531" s="37"/>
      <c r="H531" s="9"/>
      <c r="I531" s="9"/>
      <c r="J531" s="39"/>
      <c r="K531" s="39"/>
      <c r="Q531">
        <f>ROUND((Source!BZ273/100)*ROUND((Source!AF273*Source!AV273)*Source!I273, 2), 2)</f>
        <v>426.91</v>
      </c>
      <c r="R531">
        <f>Source!X273</f>
        <v>426.91</v>
      </c>
      <c r="S531">
        <f>ROUND((Source!CA273/100)*ROUND((Source!AF273*Source!AV273)*Source!I273, 2), 2)</f>
        <v>60.99</v>
      </c>
      <c r="T531">
        <f>Source!Y273</f>
        <v>60.99</v>
      </c>
      <c r="U531">
        <f>ROUND((175/100)*ROUND((Source!AE273*Source!AV273)*Source!I273, 2), 2)</f>
        <v>690.03</v>
      </c>
      <c r="V531">
        <f>ROUND((108/100)*ROUND(Source!CS273*Source!I273, 2), 2)</f>
        <v>425.84</v>
      </c>
    </row>
    <row r="532" spans="1:22" x14ac:dyDescent="0.2">
      <c r="C532" s="48" t="str">
        <f>"Объем: "&amp;Source!I273&amp;"=101,2/"&amp;"100"</f>
        <v>Объем: 1,012=101,2/100</v>
      </c>
    </row>
    <row r="533" spans="1:22" ht="14.25" x14ac:dyDescent="0.2">
      <c r="A533" s="34"/>
      <c r="B533" s="35"/>
      <c r="C533" s="35" t="s">
        <v>547</v>
      </c>
      <c r="D533" s="36"/>
      <c r="E533" s="9"/>
      <c r="F533" s="38">
        <f>Source!AO273</f>
        <v>602.64</v>
      </c>
      <c r="G533" s="37" t="str">
        <f>Source!DG273</f>
        <v/>
      </c>
      <c r="H533" s="9">
        <f>Source!AV273</f>
        <v>1</v>
      </c>
      <c r="I533" s="9">
        <f>IF(Source!BA273&lt;&gt; 0, Source!BA273, 1)</f>
        <v>1</v>
      </c>
      <c r="J533" s="39">
        <f>Source!S273</f>
        <v>609.87</v>
      </c>
      <c r="K533" s="39"/>
    </row>
    <row r="534" spans="1:22" ht="14.25" x14ac:dyDescent="0.2">
      <c r="A534" s="34"/>
      <c r="B534" s="35"/>
      <c r="C534" s="35" t="s">
        <v>548</v>
      </c>
      <c r="D534" s="36"/>
      <c r="E534" s="9"/>
      <c r="F534" s="38">
        <f>Source!AM273</f>
        <v>492.86</v>
      </c>
      <c r="G534" s="37" t="str">
        <f>Source!DE273</f>
        <v/>
      </c>
      <c r="H534" s="9">
        <f>Source!AV273</f>
        <v>1</v>
      </c>
      <c r="I534" s="9">
        <f>IF(Source!BB273&lt;&gt; 0, Source!BB273, 1)</f>
        <v>1</v>
      </c>
      <c r="J534" s="39">
        <f>Source!Q273</f>
        <v>498.77</v>
      </c>
      <c r="K534" s="39"/>
    </row>
    <row r="535" spans="1:22" ht="14.25" x14ac:dyDescent="0.2">
      <c r="A535" s="34"/>
      <c r="B535" s="35"/>
      <c r="C535" s="35" t="s">
        <v>549</v>
      </c>
      <c r="D535" s="36"/>
      <c r="E535" s="9"/>
      <c r="F535" s="38">
        <f>Source!AN273</f>
        <v>389.62</v>
      </c>
      <c r="G535" s="37" t="str">
        <f>Source!DF273</f>
        <v/>
      </c>
      <c r="H535" s="9">
        <f>Source!AV273</f>
        <v>1</v>
      </c>
      <c r="I535" s="9">
        <f>IF(Source!BS273&lt;&gt; 0, Source!BS273, 1)</f>
        <v>1</v>
      </c>
      <c r="J535" s="40">
        <f>Source!R273</f>
        <v>394.3</v>
      </c>
      <c r="K535" s="39"/>
    </row>
    <row r="536" spans="1:22" ht="14.25" x14ac:dyDescent="0.2">
      <c r="A536" s="34"/>
      <c r="B536" s="35"/>
      <c r="C536" s="35" t="s">
        <v>556</v>
      </c>
      <c r="D536" s="36"/>
      <c r="E536" s="9"/>
      <c r="F536" s="38">
        <f>Source!AL273</f>
        <v>18967.62</v>
      </c>
      <c r="G536" s="37" t="str">
        <f>Source!DD273</f>
        <v/>
      </c>
      <c r="H536" s="9">
        <f>Source!AW273</f>
        <v>1</v>
      </c>
      <c r="I536" s="9">
        <f>IF(Source!BC273&lt;&gt; 0, Source!BC273, 1)</f>
        <v>1</v>
      </c>
      <c r="J536" s="39">
        <f>Source!P273</f>
        <v>19195.23</v>
      </c>
      <c r="K536" s="39"/>
    </row>
    <row r="537" spans="1:22" ht="14.25" x14ac:dyDescent="0.2">
      <c r="A537" s="34"/>
      <c r="B537" s="35"/>
      <c r="C537" s="35" t="s">
        <v>550</v>
      </c>
      <c r="D537" s="36" t="s">
        <v>551</v>
      </c>
      <c r="E537" s="9">
        <f>Source!AT273</f>
        <v>70</v>
      </c>
      <c r="F537" s="38"/>
      <c r="G537" s="37"/>
      <c r="H537" s="9"/>
      <c r="I537" s="9"/>
      <c r="J537" s="39">
        <f>SUM(R531:R536)</f>
        <v>426.91</v>
      </c>
      <c r="K537" s="39"/>
    </row>
    <row r="538" spans="1:22" ht="14.25" x14ac:dyDescent="0.2">
      <c r="A538" s="34"/>
      <c r="B538" s="35"/>
      <c r="C538" s="35" t="s">
        <v>552</v>
      </c>
      <c r="D538" s="36" t="s">
        <v>551</v>
      </c>
      <c r="E538" s="9">
        <f>Source!AU273</f>
        <v>10</v>
      </c>
      <c r="F538" s="38"/>
      <c r="G538" s="37"/>
      <c r="H538" s="9"/>
      <c r="I538" s="9"/>
      <c r="J538" s="39">
        <f>SUM(T531:T537)</f>
        <v>60.99</v>
      </c>
      <c r="K538" s="39"/>
    </row>
    <row r="539" spans="1:22" ht="14.25" x14ac:dyDescent="0.2">
      <c r="A539" s="34"/>
      <c r="B539" s="35"/>
      <c r="C539" s="35" t="s">
        <v>553</v>
      </c>
      <c r="D539" s="36" t="s">
        <v>551</v>
      </c>
      <c r="E539" s="9">
        <f>108</f>
        <v>108</v>
      </c>
      <c r="F539" s="38"/>
      <c r="G539" s="37"/>
      <c r="H539" s="9"/>
      <c r="I539" s="9"/>
      <c r="J539" s="39">
        <f>SUM(V531:V538)</f>
        <v>425.84</v>
      </c>
      <c r="K539" s="39"/>
    </row>
    <row r="540" spans="1:22" ht="14.25" x14ac:dyDescent="0.2">
      <c r="A540" s="34"/>
      <c r="B540" s="35"/>
      <c r="C540" s="35" t="s">
        <v>554</v>
      </c>
      <c r="D540" s="36" t="s">
        <v>555</v>
      </c>
      <c r="E540" s="9">
        <f>Source!AQ273</f>
        <v>2.65</v>
      </c>
      <c r="F540" s="38"/>
      <c r="G540" s="37" t="str">
        <f>Source!DI273</f>
        <v/>
      </c>
      <c r="H540" s="9">
        <f>Source!AV273</f>
        <v>1</v>
      </c>
      <c r="I540" s="9"/>
      <c r="J540" s="39"/>
      <c r="K540" s="39">
        <f>Source!U273</f>
        <v>2.6818</v>
      </c>
    </row>
    <row r="541" spans="1:22" ht="15" x14ac:dyDescent="0.25">
      <c r="A541" s="45"/>
      <c r="B541" s="45"/>
      <c r="C541" s="45"/>
      <c r="D541" s="45"/>
      <c r="E541" s="45"/>
      <c r="F541" s="45"/>
      <c r="G541" s="45"/>
      <c r="H541" s="45"/>
      <c r="I541" s="46">
        <f>J533+J534+J536+J537+J538+J539</f>
        <v>21217.61</v>
      </c>
      <c r="J541" s="46"/>
      <c r="K541" s="47">
        <f>IF(Source!I273&lt;&gt;0, ROUND(I541/Source!I273, 2), 0)</f>
        <v>20966.02</v>
      </c>
      <c r="P541" s="41">
        <f>I541</f>
        <v>21217.61</v>
      </c>
    </row>
    <row r="542" spans="1:22" ht="57" x14ac:dyDescent="0.2">
      <c r="A542" s="34" t="str">
        <f>Source!E276</f>
        <v>53</v>
      </c>
      <c r="B542" s="35" t="str">
        <f>Source!F276</f>
        <v>2.1-3203-1-5/1</v>
      </c>
      <c r="C542" s="35" t="str">
        <f>Source!G276</f>
        <v>Установка бортовых камней бетонных газонных и садовых марка 2ГБ 60.8.20, цвет серый, при цементобетонных покрытиях</v>
      </c>
      <c r="D542" s="36" t="str">
        <f>Source!H276</f>
        <v>100 м</v>
      </c>
      <c r="E542" s="9">
        <f>Source!I276</f>
        <v>0.40400000000000003</v>
      </c>
      <c r="F542" s="38"/>
      <c r="G542" s="37"/>
      <c r="H542" s="9"/>
      <c r="I542" s="9"/>
      <c r="J542" s="39"/>
      <c r="K542" s="39"/>
      <c r="Q542">
        <f>ROUND((Source!BZ276/100)*ROUND((Source!AF276*Source!AV276)*Source!I276, 2), 2)</f>
        <v>4180.58</v>
      </c>
      <c r="R542">
        <f>Source!X276</f>
        <v>4180.58</v>
      </c>
      <c r="S542">
        <f>ROUND((Source!CA276/100)*ROUND((Source!AF276*Source!AV276)*Source!I276, 2), 2)</f>
        <v>597.23</v>
      </c>
      <c r="T542">
        <f>Source!Y276</f>
        <v>597.23</v>
      </c>
      <c r="U542">
        <f>ROUND((175/100)*ROUND((Source!AE276*Source!AV276)*Source!I276, 2), 2)</f>
        <v>68.25</v>
      </c>
      <c r="V542">
        <f>ROUND((108/100)*ROUND(Source!CS276*Source!I276, 2), 2)</f>
        <v>42.12</v>
      </c>
    </row>
    <row r="543" spans="1:22" x14ac:dyDescent="0.2">
      <c r="C543" s="48" t="str">
        <f>"Объем: "&amp;Source!I276&amp;"=40,4/"&amp;"100"</f>
        <v>Объем: 0,404=40,4/100</v>
      </c>
    </row>
    <row r="544" spans="1:22" ht="14.25" x14ac:dyDescent="0.2">
      <c r="A544" s="34"/>
      <c r="B544" s="35"/>
      <c r="C544" s="35" t="s">
        <v>547</v>
      </c>
      <c r="D544" s="36"/>
      <c r="E544" s="9"/>
      <c r="F544" s="38">
        <f>Source!AO276</f>
        <v>14782.81</v>
      </c>
      <c r="G544" s="37" t="str">
        <f>Source!DG276</f>
        <v/>
      </c>
      <c r="H544" s="9">
        <f>Source!AV276</f>
        <v>1</v>
      </c>
      <c r="I544" s="9">
        <f>IF(Source!BA276&lt;&gt; 0, Source!BA276, 1)</f>
        <v>1</v>
      </c>
      <c r="J544" s="39">
        <f>Source!S276</f>
        <v>5972.26</v>
      </c>
      <c r="K544" s="39"/>
    </row>
    <row r="545" spans="1:22" ht="14.25" x14ac:dyDescent="0.2">
      <c r="A545" s="34"/>
      <c r="B545" s="35"/>
      <c r="C545" s="35" t="s">
        <v>548</v>
      </c>
      <c r="D545" s="36"/>
      <c r="E545" s="9"/>
      <c r="F545" s="38">
        <f>Source!AM276</f>
        <v>177.81</v>
      </c>
      <c r="G545" s="37" t="str">
        <f>Source!DE276</f>
        <v/>
      </c>
      <c r="H545" s="9">
        <f>Source!AV276</f>
        <v>1</v>
      </c>
      <c r="I545" s="9">
        <f>IF(Source!BB276&lt;&gt; 0, Source!BB276, 1)</f>
        <v>1</v>
      </c>
      <c r="J545" s="39">
        <f>Source!Q276</f>
        <v>71.84</v>
      </c>
      <c r="K545" s="39"/>
    </row>
    <row r="546" spans="1:22" ht="14.25" x14ac:dyDescent="0.2">
      <c r="A546" s="34"/>
      <c r="B546" s="35"/>
      <c r="C546" s="35" t="s">
        <v>549</v>
      </c>
      <c r="D546" s="36"/>
      <c r="E546" s="9"/>
      <c r="F546" s="38">
        <f>Source!AN276</f>
        <v>96.53</v>
      </c>
      <c r="G546" s="37" t="str">
        <f>Source!DF276</f>
        <v/>
      </c>
      <c r="H546" s="9">
        <f>Source!AV276</f>
        <v>1</v>
      </c>
      <c r="I546" s="9">
        <f>IF(Source!BS276&lt;&gt; 0, Source!BS276, 1)</f>
        <v>1</v>
      </c>
      <c r="J546" s="40">
        <f>Source!R276</f>
        <v>39</v>
      </c>
      <c r="K546" s="39"/>
    </row>
    <row r="547" spans="1:22" ht="14.25" x14ac:dyDescent="0.2">
      <c r="A547" s="34"/>
      <c r="B547" s="35"/>
      <c r="C547" s="35" t="s">
        <v>556</v>
      </c>
      <c r="D547" s="36"/>
      <c r="E547" s="9"/>
      <c r="F547" s="38">
        <f>Source!AL276</f>
        <v>34547.699999999997</v>
      </c>
      <c r="G547" s="37" t="str">
        <f>Source!DD276</f>
        <v/>
      </c>
      <c r="H547" s="9">
        <f>Source!AW276</f>
        <v>1</v>
      </c>
      <c r="I547" s="9">
        <f>IF(Source!BC276&lt;&gt; 0, Source!BC276, 1)</f>
        <v>1</v>
      </c>
      <c r="J547" s="39">
        <f>Source!P276</f>
        <v>13957.27</v>
      </c>
      <c r="K547" s="39"/>
    </row>
    <row r="548" spans="1:22" ht="14.25" x14ac:dyDescent="0.2">
      <c r="A548" s="34"/>
      <c r="B548" s="35"/>
      <c r="C548" s="35" t="s">
        <v>550</v>
      </c>
      <c r="D548" s="36" t="s">
        <v>551</v>
      </c>
      <c r="E548" s="9">
        <f>Source!AT276</f>
        <v>70</v>
      </c>
      <c r="F548" s="38"/>
      <c r="G548" s="37"/>
      <c r="H548" s="9"/>
      <c r="I548" s="9"/>
      <c r="J548" s="39">
        <f>SUM(R542:R547)</f>
        <v>4180.58</v>
      </c>
      <c r="K548" s="39"/>
    </row>
    <row r="549" spans="1:22" ht="14.25" x14ac:dyDescent="0.2">
      <c r="A549" s="34"/>
      <c r="B549" s="35"/>
      <c r="C549" s="35" t="s">
        <v>552</v>
      </c>
      <c r="D549" s="36" t="s">
        <v>551</v>
      </c>
      <c r="E549" s="9">
        <f>Source!AU276</f>
        <v>10</v>
      </c>
      <c r="F549" s="38"/>
      <c r="G549" s="37"/>
      <c r="H549" s="9"/>
      <c r="I549" s="9"/>
      <c r="J549" s="39">
        <f>SUM(T542:T548)</f>
        <v>597.23</v>
      </c>
      <c r="K549" s="39"/>
    </row>
    <row r="550" spans="1:22" ht="14.25" x14ac:dyDescent="0.2">
      <c r="A550" s="34"/>
      <c r="B550" s="35"/>
      <c r="C550" s="35" t="s">
        <v>553</v>
      </c>
      <c r="D550" s="36" t="s">
        <v>551</v>
      </c>
      <c r="E550" s="9">
        <f>108</f>
        <v>108</v>
      </c>
      <c r="F550" s="38"/>
      <c r="G550" s="37"/>
      <c r="H550" s="9"/>
      <c r="I550" s="9"/>
      <c r="J550" s="39">
        <f>SUM(V542:V549)</f>
        <v>42.12</v>
      </c>
      <c r="K550" s="39"/>
    </row>
    <row r="551" spans="1:22" ht="14.25" x14ac:dyDescent="0.2">
      <c r="A551" s="34"/>
      <c r="B551" s="35"/>
      <c r="C551" s="35" t="s">
        <v>554</v>
      </c>
      <c r="D551" s="36" t="s">
        <v>555</v>
      </c>
      <c r="E551" s="9">
        <f>Source!AQ276</f>
        <v>72.95</v>
      </c>
      <c r="F551" s="38"/>
      <c r="G551" s="37" t="str">
        <f>Source!DI276</f>
        <v/>
      </c>
      <c r="H551" s="9">
        <f>Source!AV276</f>
        <v>1</v>
      </c>
      <c r="I551" s="9"/>
      <c r="J551" s="39"/>
      <c r="K551" s="39">
        <f>Source!U276</f>
        <v>29.471800000000002</v>
      </c>
    </row>
    <row r="552" spans="1:22" ht="15" x14ac:dyDescent="0.25">
      <c r="A552" s="45"/>
      <c r="B552" s="45"/>
      <c r="C552" s="45"/>
      <c r="D552" s="45"/>
      <c r="E552" s="45"/>
      <c r="F552" s="45"/>
      <c r="G552" s="45"/>
      <c r="H552" s="45"/>
      <c r="I552" s="46">
        <f>J544+J545+J547+J548+J549+J550</f>
        <v>24821.300000000003</v>
      </c>
      <c r="J552" s="46"/>
      <c r="K552" s="47">
        <f>IF(Source!I276&lt;&gt;0, ROUND(I552/Source!I276, 2), 0)</f>
        <v>61438.86</v>
      </c>
      <c r="P552" s="41">
        <f>I552</f>
        <v>24821.300000000003</v>
      </c>
    </row>
    <row r="553" spans="1:22" ht="71.25" x14ac:dyDescent="0.2">
      <c r="A553" s="34" t="str">
        <f>Source!E277</f>
        <v>54</v>
      </c>
      <c r="B553" s="35" t="str">
        <f>Source!F277</f>
        <v>5.3-3203-7-5/1</v>
      </c>
      <c r="C553" s="35" t="str">
        <f>Source!G277</f>
        <v>Устройство калиток с установкой столбов металлических (без стоимости металлических изделий полотен калиток и стоек опорных) (установка МАФов)</v>
      </c>
      <c r="D553" s="36" t="str">
        <f>Source!H277</f>
        <v>100 шт.</v>
      </c>
      <c r="E553" s="9">
        <f>Source!I277</f>
        <v>0.04</v>
      </c>
      <c r="F553" s="38"/>
      <c r="G553" s="37"/>
      <c r="H553" s="9"/>
      <c r="I553" s="9"/>
      <c r="J553" s="39"/>
      <c r="K553" s="39"/>
      <c r="Q553">
        <f>ROUND((Source!BZ277/100)*ROUND((Source!AF277*Source!AV277)*Source!I277, 2), 2)</f>
        <v>6411.51</v>
      </c>
      <c r="R553">
        <f>Source!X277</f>
        <v>6411.51</v>
      </c>
      <c r="S553">
        <f>ROUND((Source!CA277/100)*ROUND((Source!AF277*Source!AV277)*Source!I277, 2), 2)</f>
        <v>915.93</v>
      </c>
      <c r="T553">
        <f>Source!Y277</f>
        <v>915.93</v>
      </c>
      <c r="U553">
        <f>ROUND((175/100)*ROUND((Source!AE277*Source!AV277)*Source!I277, 2), 2)</f>
        <v>4.76</v>
      </c>
      <c r="V553">
        <f>ROUND((108/100)*ROUND(Source!CS277*Source!I277, 2), 2)</f>
        <v>2.94</v>
      </c>
    </row>
    <row r="554" spans="1:22" x14ac:dyDescent="0.2">
      <c r="C554" s="48" t="str">
        <f>"Объем: "&amp;Source!I277&amp;"=4/"&amp;"100"</f>
        <v>Объем: 0,04=4/100</v>
      </c>
    </row>
    <row r="555" spans="1:22" ht="14.25" x14ac:dyDescent="0.2">
      <c r="A555" s="34"/>
      <c r="B555" s="35"/>
      <c r="C555" s="35" t="s">
        <v>547</v>
      </c>
      <c r="D555" s="36"/>
      <c r="E555" s="9"/>
      <c r="F555" s="38">
        <f>Source!AO277</f>
        <v>228982.53</v>
      </c>
      <c r="G555" s="37" t="str">
        <f>Source!DG277</f>
        <v/>
      </c>
      <c r="H555" s="9">
        <f>Source!AV277</f>
        <v>1</v>
      </c>
      <c r="I555" s="9">
        <f>IF(Source!BA277&lt;&gt; 0, Source!BA277, 1)</f>
        <v>1</v>
      </c>
      <c r="J555" s="39">
        <f>Source!S277</f>
        <v>9159.2999999999993</v>
      </c>
      <c r="K555" s="39"/>
    </row>
    <row r="556" spans="1:22" ht="14.25" x14ac:dyDescent="0.2">
      <c r="A556" s="34"/>
      <c r="B556" s="35"/>
      <c r="C556" s="35" t="s">
        <v>548</v>
      </c>
      <c r="D556" s="36"/>
      <c r="E556" s="9"/>
      <c r="F556" s="38">
        <f>Source!AM277</f>
        <v>544.27</v>
      </c>
      <c r="G556" s="37" t="str">
        <f>Source!DE277</f>
        <v/>
      </c>
      <c r="H556" s="9">
        <f>Source!AV277</f>
        <v>1</v>
      </c>
      <c r="I556" s="9">
        <f>IF(Source!BB277&lt;&gt; 0, Source!BB277, 1)</f>
        <v>1</v>
      </c>
      <c r="J556" s="39">
        <f>Source!Q277</f>
        <v>21.77</v>
      </c>
      <c r="K556" s="39"/>
    </row>
    <row r="557" spans="1:22" ht="14.25" x14ac:dyDescent="0.2">
      <c r="A557" s="34"/>
      <c r="B557" s="35"/>
      <c r="C557" s="35" t="s">
        <v>549</v>
      </c>
      <c r="D557" s="36"/>
      <c r="E557" s="9"/>
      <c r="F557" s="38">
        <f>Source!AN277</f>
        <v>67.94</v>
      </c>
      <c r="G557" s="37" t="str">
        <f>Source!DF277</f>
        <v/>
      </c>
      <c r="H557" s="9">
        <f>Source!AV277</f>
        <v>1</v>
      </c>
      <c r="I557" s="9">
        <f>IF(Source!BS277&lt;&gt; 0, Source!BS277, 1)</f>
        <v>1</v>
      </c>
      <c r="J557" s="40">
        <f>Source!R277</f>
        <v>2.72</v>
      </c>
      <c r="K557" s="39"/>
    </row>
    <row r="558" spans="1:22" ht="14.25" x14ac:dyDescent="0.2">
      <c r="A558" s="34"/>
      <c r="B558" s="35"/>
      <c r="C558" s="35" t="s">
        <v>556</v>
      </c>
      <c r="D558" s="36"/>
      <c r="E558" s="9"/>
      <c r="F558" s="38">
        <f>Source!AL277</f>
        <v>17852.89</v>
      </c>
      <c r="G558" s="37" t="str">
        <f>Source!DD277</f>
        <v/>
      </c>
      <c r="H558" s="9">
        <f>Source!AW277</f>
        <v>1</v>
      </c>
      <c r="I558" s="9">
        <f>IF(Source!BC277&lt;&gt; 0, Source!BC277, 1)</f>
        <v>1</v>
      </c>
      <c r="J558" s="39">
        <f>Source!P277</f>
        <v>714.12</v>
      </c>
      <c r="K558" s="39"/>
    </row>
    <row r="559" spans="1:22" ht="28.5" x14ac:dyDescent="0.2">
      <c r="A559" s="34" t="str">
        <f>Source!E278</f>
        <v>54,1</v>
      </c>
      <c r="B559" s="35" t="str">
        <f>Source!F278</f>
        <v>21.1-5-5</v>
      </c>
      <c r="C559" s="35" t="str">
        <f>Source!G278</f>
        <v>Кирпич керамический обыкновенный, размер 250х120х65 мм, марка 100</v>
      </c>
      <c r="D559" s="36" t="str">
        <f>Source!H278</f>
        <v>1000 шт.</v>
      </c>
      <c r="E559" s="9">
        <f>Source!I278</f>
        <v>-1.48E-3</v>
      </c>
      <c r="F559" s="38">
        <f>Source!AK278</f>
        <v>10419.43</v>
      </c>
      <c r="G559" s="49" t="s">
        <v>3</v>
      </c>
      <c r="H559" s="9">
        <f>Source!AW278</f>
        <v>1</v>
      </c>
      <c r="I559" s="9">
        <f>IF(Source!BC278&lt;&gt; 0, Source!BC278, 1)</f>
        <v>1</v>
      </c>
      <c r="J559" s="39">
        <f>Source!O278</f>
        <v>-15.42</v>
      </c>
      <c r="K559" s="39"/>
      <c r="Q559">
        <f>ROUND((Source!BZ278/100)*ROUND((Source!AF278*Source!AV278)*Source!I278, 2), 2)</f>
        <v>0</v>
      </c>
      <c r="R559">
        <f>Source!X278</f>
        <v>0</v>
      </c>
      <c r="S559">
        <f>ROUND((Source!CA278/100)*ROUND((Source!AF278*Source!AV278)*Source!I278, 2), 2)</f>
        <v>0</v>
      </c>
      <c r="T559">
        <f>Source!Y278</f>
        <v>0</v>
      </c>
      <c r="U559">
        <f>ROUND((175/100)*ROUND((Source!AE278*Source!AV278)*Source!I278, 2), 2)</f>
        <v>0</v>
      </c>
      <c r="V559">
        <f>ROUND((108/100)*ROUND(Source!CS278*Source!I278, 2), 2)</f>
        <v>0</v>
      </c>
    </row>
    <row r="560" spans="1:22" ht="14.25" x14ac:dyDescent="0.2">
      <c r="A560" s="34" t="str">
        <f>Source!E279</f>
        <v>54,2</v>
      </c>
      <c r="B560" s="35" t="str">
        <f>Source!F279</f>
        <v>22.1-6-52</v>
      </c>
      <c r="C560" s="35" t="str">
        <f>Source!G279</f>
        <v>Вибраторы глубинные</v>
      </c>
      <c r="D560" s="36" t="str">
        <f>Source!H279</f>
        <v>маш.-ч</v>
      </c>
      <c r="E560" s="9">
        <f>Source!I279</f>
        <v>-0.21759999999999999</v>
      </c>
      <c r="F560" s="38">
        <f>Source!AK279</f>
        <v>10.82</v>
      </c>
      <c r="G560" s="49" t="s">
        <v>3</v>
      </c>
      <c r="H560" s="9">
        <f>Source!AV279</f>
        <v>1</v>
      </c>
      <c r="I560" s="9">
        <f>IF(Source!BB279&lt;&gt; 0, Source!BB279, 1)</f>
        <v>1</v>
      </c>
      <c r="J560" s="39">
        <f>Source!O279</f>
        <v>-2.35</v>
      </c>
      <c r="K560" s="39"/>
      <c r="Q560">
        <f>ROUND((Source!BZ279/100)*ROUND((Source!AF279*Source!AV279)*Source!I279, 2), 2)</f>
        <v>0</v>
      </c>
      <c r="R560">
        <f>Source!X279</f>
        <v>0</v>
      </c>
      <c r="S560">
        <f>ROUND((Source!CA279/100)*ROUND((Source!AF279*Source!AV279)*Source!I279, 2), 2)</f>
        <v>0</v>
      </c>
      <c r="T560">
        <f>Source!Y279</f>
        <v>0</v>
      </c>
      <c r="U560">
        <f>ROUND((175/100)*ROUND((Source!AE279*Source!AV279)*Source!I279, 2), 2)</f>
        <v>-1.1399999999999999</v>
      </c>
      <c r="V560">
        <f>ROUND((108/100)*ROUND(Source!CS279*Source!I279, 2), 2)</f>
        <v>-0.7</v>
      </c>
    </row>
    <row r="561" spans="1:22" ht="28.5" x14ac:dyDescent="0.2">
      <c r="A561" s="34" t="str">
        <f>Source!E280</f>
        <v>54,3</v>
      </c>
      <c r="B561" s="35" t="str">
        <f>Source!F280</f>
        <v>22.1-13-14</v>
      </c>
      <c r="C561" s="35" t="str">
        <f>Source!G280</f>
        <v>Установки для сварки ручной дуговой (постоянного тока)</v>
      </c>
      <c r="D561" s="36" t="str">
        <f>Source!H280</f>
        <v>маш.-ч</v>
      </c>
      <c r="E561" s="9">
        <f>Source!I280</f>
        <v>-0.57999999999999996</v>
      </c>
      <c r="F561" s="38">
        <f>Source!AK280</f>
        <v>27.21</v>
      </c>
      <c r="G561" s="49" t="s">
        <v>3</v>
      </c>
      <c r="H561" s="9">
        <f>Source!AV280</f>
        <v>1</v>
      </c>
      <c r="I561" s="9">
        <f>IF(Source!BB280&lt;&gt; 0, Source!BB280, 1)</f>
        <v>1</v>
      </c>
      <c r="J561" s="39">
        <f>Source!O280</f>
        <v>-15.78</v>
      </c>
      <c r="K561" s="39"/>
      <c r="Q561">
        <f>ROUND((Source!BZ280/100)*ROUND((Source!AF280*Source!AV280)*Source!I280, 2), 2)</f>
        <v>0</v>
      </c>
      <c r="R561">
        <f>Source!X280</f>
        <v>0</v>
      </c>
      <c r="S561">
        <f>ROUND((Source!CA280/100)*ROUND((Source!AF280*Source!AV280)*Source!I280, 2), 2)</f>
        <v>0</v>
      </c>
      <c r="T561">
        <f>Source!Y280</f>
        <v>0</v>
      </c>
      <c r="U561">
        <f>ROUND((175/100)*ROUND((Source!AE280*Source!AV280)*Source!I280, 2), 2)</f>
        <v>-0.14000000000000001</v>
      </c>
      <c r="V561">
        <f>ROUND((108/100)*ROUND(Source!CS280*Source!I280, 2), 2)</f>
        <v>-0.09</v>
      </c>
    </row>
    <row r="562" spans="1:22" ht="42.75" x14ac:dyDescent="0.2">
      <c r="A562" s="34" t="str">
        <f>Source!E281</f>
        <v>54,4</v>
      </c>
      <c r="B562" s="35" t="str">
        <f>Source!F281</f>
        <v>22.1-1-1</v>
      </c>
      <c r="C562" s="35" t="str">
        <f>Source!G281</f>
        <v>Экскаваторы на гусеничном ходу гидравлические, объем ковша до 0,25 м3</v>
      </c>
      <c r="D562" s="36" t="str">
        <f>Source!H281</f>
        <v>маш.-ч</v>
      </c>
      <c r="E562" s="9">
        <f>Source!I281</f>
        <v>-3.5999999999999999E-3</v>
      </c>
      <c r="F562" s="38">
        <f>Source!AK281</f>
        <v>1009.65</v>
      </c>
      <c r="G562" s="49" t="s">
        <v>3</v>
      </c>
      <c r="H562" s="9">
        <f>Source!AV281</f>
        <v>1</v>
      </c>
      <c r="I562" s="9">
        <f>IF(Source!BB281&lt;&gt; 0, Source!BB281, 1)</f>
        <v>1</v>
      </c>
      <c r="J562" s="39">
        <f>Source!O281</f>
        <v>-3.63</v>
      </c>
      <c r="K562" s="39"/>
      <c r="Q562">
        <f>ROUND((Source!BZ281/100)*ROUND((Source!AF281*Source!AV281)*Source!I281, 2), 2)</f>
        <v>0</v>
      </c>
      <c r="R562">
        <f>Source!X281</f>
        <v>0</v>
      </c>
      <c r="S562">
        <f>ROUND((Source!CA281/100)*ROUND((Source!AF281*Source!AV281)*Source!I281, 2), 2)</f>
        <v>0</v>
      </c>
      <c r="T562">
        <f>Source!Y281</f>
        <v>0</v>
      </c>
      <c r="U562">
        <f>ROUND((175/100)*ROUND((Source!AE281*Source!AV281)*Source!I281, 2), 2)</f>
        <v>-3.5</v>
      </c>
      <c r="V562">
        <f>ROUND((108/100)*ROUND(Source!CS281*Source!I281, 2), 2)</f>
        <v>-2.16</v>
      </c>
    </row>
    <row r="563" spans="1:22" ht="42.75" x14ac:dyDescent="0.2">
      <c r="A563" s="34" t="str">
        <f>Source!E282</f>
        <v>54,5</v>
      </c>
      <c r="B563" s="35" t="str">
        <f>Source!F282</f>
        <v>21.3-1-2</v>
      </c>
      <c r="C563" s="35" t="str">
        <f>Source!G282</f>
        <v>Смеси бетонные, БСГ, песчаного бетона на обогащенном песке, класс прочности: В12,5 (М150)</v>
      </c>
      <c r="D563" s="36" t="str">
        <f>Source!H282</f>
        <v>м3</v>
      </c>
      <c r="E563" s="9">
        <f>Source!I282</f>
        <v>-0.2</v>
      </c>
      <c r="F563" s="38">
        <f>Source!AK282</f>
        <v>3040.38</v>
      </c>
      <c r="G563" s="49" t="s">
        <v>3</v>
      </c>
      <c r="H563" s="9">
        <f>Source!AW282</f>
        <v>1</v>
      </c>
      <c r="I563" s="9">
        <f>IF(Source!BC282&lt;&gt; 0, Source!BC282, 1)</f>
        <v>1</v>
      </c>
      <c r="J563" s="39">
        <f>Source!O282</f>
        <v>-608.08000000000004</v>
      </c>
      <c r="K563" s="39"/>
      <c r="Q563">
        <f>ROUND((Source!BZ282/100)*ROUND((Source!AF282*Source!AV282)*Source!I282, 2), 2)</f>
        <v>0</v>
      </c>
      <c r="R563">
        <f>Source!X282</f>
        <v>0</v>
      </c>
      <c r="S563">
        <f>ROUND((Source!CA282/100)*ROUND((Source!AF282*Source!AV282)*Source!I282, 2), 2)</f>
        <v>0</v>
      </c>
      <c r="T563">
        <f>Source!Y282</f>
        <v>0</v>
      </c>
      <c r="U563">
        <f>ROUND((175/100)*ROUND((Source!AE282*Source!AV282)*Source!I282, 2), 2)</f>
        <v>0</v>
      </c>
      <c r="V563">
        <f>ROUND((108/100)*ROUND(Source!CS282*Source!I282, 2), 2)</f>
        <v>0</v>
      </c>
    </row>
    <row r="564" spans="1:22" ht="28.5" x14ac:dyDescent="0.2">
      <c r="A564" s="34" t="str">
        <f>Source!E283</f>
        <v>54,6</v>
      </c>
      <c r="B564" s="35" t="str">
        <f>Source!F283</f>
        <v>21.1-23-9</v>
      </c>
      <c r="C564" s="35" t="str">
        <f>Source!G283</f>
        <v>Электроды, тип Э-42, 46, 50, диаметр 4 - 6 мм</v>
      </c>
      <c r="D564" s="36" t="str">
        <f>Source!H283</f>
        <v>т</v>
      </c>
      <c r="E564" s="9">
        <f>Source!I283</f>
        <v>-8.0000000000000004E-4</v>
      </c>
      <c r="F564" s="38">
        <f>Source!AK283</f>
        <v>110781.14</v>
      </c>
      <c r="G564" s="49" t="s">
        <v>3</v>
      </c>
      <c r="H564" s="9">
        <f>Source!AW283</f>
        <v>1</v>
      </c>
      <c r="I564" s="9">
        <f>IF(Source!BC283&lt;&gt; 0, Source!BC283, 1)</f>
        <v>1</v>
      </c>
      <c r="J564" s="39">
        <f>Source!O283</f>
        <v>-88.62</v>
      </c>
      <c r="K564" s="39"/>
      <c r="Q564">
        <f>ROUND((Source!BZ283/100)*ROUND((Source!AF283*Source!AV283)*Source!I283, 2), 2)</f>
        <v>0</v>
      </c>
      <c r="R564">
        <f>Source!X283</f>
        <v>0</v>
      </c>
      <c r="S564">
        <f>ROUND((Source!CA283/100)*ROUND((Source!AF283*Source!AV283)*Source!I283, 2), 2)</f>
        <v>0</v>
      </c>
      <c r="T564">
        <f>Source!Y283</f>
        <v>0</v>
      </c>
      <c r="U564">
        <f>ROUND((175/100)*ROUND((Source!AE283*Source!AV283)*Source!I283, 2), 2)</f>
        <v>0</v>
      </c>
      <c r="V564">
        <f>ROUND((108/100)*ROUND(Source!CS283*Source!I283, 2), 2)</f>
        <v>0</v>
      </c>
    </row>
    <row r="565" spans="1:22" ht="111" x14ac:dyDescent="0.2">
      <c r="A565" s="34" t="str">
        <f>Source!E284</f>
        <v>54,7</v>
      </c>
      <c r="B565" s="35" t="str">
        <f>Source!F284</f>
        <v>по цене поставщика</v>
      </c>
      <c r="C565" s="35" t="s">
        <v>557</v>
      </c>
      <c r="D565" s="36" t="str">
        <f>Source!H284</f>
        <v>шт.</v>
      </c>
      <c r="E565" s="9">
        <f>Source!I284</f>
        <v>1</v>
      </c>
      <c r="F565" s="38">
        <f>Source!AK284</f>
        <v>17250</v>
      </c>
      <c r="G565" s="49" t="s">
        <v>3</v>
      </c>
      <c r="H565" s="9">
        <f>Source!AW284</f>
        <v>1</v>
      </c>
      <c r="I565" s="9">
        <f>IF(Source!BC284&lt;&gt; 0, Source!BC284, 1)</f>
        <v>1</v>
      </c>
      <c r="J565" s="39">
        <f>Source!O284</f>
        <v>17250</v>
      </c>
      <c r="K565" s="39"/>
      <c r="Q565">
        <f>ROUND((Source!BZ284/100)*ROUND((Source!AF284*Source!AV284)*Source!I284, 2), 2)</f>
        <v>0</v>
      </c>
      <c r="R565">
        <f>Source!X284</f>
        <v>0</v>
      </c>
      <c r="S565">
        <f>ROUND((Source!CA284/100)*ROUND((Source!AF284*Source!AV284)*Source!I284, 2), 2)</f>
        <v>0</v>
      </c>
      <c r="T565">
        <f>Source!Y284</f>
        <v>0</v>
      </c>
      <c r="U565">
        <f>ROUND((175/100)*ROUND((Source!AE284*Source!AV284)*Source!I284, 2), 2)</f>
        <v>0</v>
      </c>
      <c r="V565">
        <f>ROUND((108/100)*ROUND(Source!CS284*Source!I284, 2), 2)</f>
        <v>0</v>
      </c>
    </row>
    <row r="566" spans="1:22" ht="96.75" x14ac:dyDescent="0.2">
      <c r="A566" s="34" t="str">
        <f>Source!E285</f>
        <v>54,8</v>
      </c>
      <c r="B566" s="35" t="str">
        <f>Source!F285</f>
        <v>по цене поставщика</v>
      </c>
      <c r="C566" s="35" t="s">
        <v>558</v>
      </c>
      <c r="D566" s="36" t="str">
        <f>Source!H285</f>
        <v>шт.</v>
      </c>
      <c r="E566" s="9">
        <f>Source!I285</f>
        <v>1</v>
      </c>
      <c r="F566" s="38">
        <f>Source!AK285</f>
        <v>44166.67</v>
      </c>
      <c r="G566" s="49" t="s">
        <v>3</v>
      </c>
      <c r="H566" s="9">
        <f>Source!AW285</f>
        <v>1</v>
      </c>
      <c r="I566" s="9">
        <f>IF(Source!BC285&lt;&gt; 0, Source!BC285, 1)</f>
        <v>1</v>
      </c>
      <c r="J566" s="39">
        <f>Source!O285</f>
        <v>44166.67</v>
      </c>
      <c r="K566" s="39"/>
      <c r="Q566">
        <f>ROUND((Source!BZ285/100)*ROUND((Source!AF285*Source!AV285)*Source!I285, 2), 2)</f>
        <v>0</v>
      </c>
      <c r="R566">
        <f>Source!X285</f>
        <v>0</v>
      </c>
      <c r="S566">
        <f>ROUND((Source!CA285/100)*ROUND((Source!AF285*Source!AV285)*Source!I285, 2), 2)</f>
        <v>0</v>
      </c>
      <c r="T566">
        <f>Source!Y285</f>
        <v>0</v>
      </c>
      <c r="U566">
        <f>ROUND((175/100)*ROUND((Source!AE285*Source!AV285)*Source!I285, 2), 2)</f>
        <v>0</v>
      </c>
      <c r="V566">
        <f>ROUND((108/100)*ROUND(Source!CS285*Source!I285, 2), 2)</f>
        <v>0</v>
      </c>
    </row>
    <row r="567" spans="1:22" ht="125.25" x14ac:dyDescent="0.2">
      <c r="A567" s="34" t="str">
        <f>Source!E286</f>
        <v>54,9</v>
      </c>
      <c r="B567" s="35" t="str">
        <f>Source!F286</f>
        <v>по цене поставщика</v>
      </c>
      <c r="C567" s="35" t="s">
        <v>563</v>
      </c>
      <c r="D567" s="36" t="str">
        <f>Source!H286</f>
        <v>шт.</v>
      </c>
      <c r="E567" s="9">
        <f>Source!I286</f>
        <v>1</v>
      </c>
      <c r="F567" s="38">
        <f>Source!AK286</f>
        <v>48916.67</v>
      </c>
      <c r="G567" s="49" t="s">
        <v>3</v>
      </c>
      <c r="H567" s="9">
        <f>Source!AW286</f>
        <v>1</v>
      </c>
      <c r="I567" s="9">
        <f>IF(Source!BC286&lt;&gt; 0, Source!BC286, 1)</f>
        <v>1</v>
      </c>
      <c r="J567" s="39">
        <f>Source!O286</f>
        <v>48916.67</v>
      </c>
      <c r="K567" s="39"/>
      <c r="Q567">
        <f>ROUND((Source!BZ286/100)*ROUND((Source!AF286*Source!AV286)*Source!I286, 2), 2)</f>
        <v>0</v>
      </c>
      <c r="R567">
        <f>Source!X286</f>
        <v>0</v>
      </c>
      <c r="S567">
        <f>ROUND((Source!CA286/100)*ROUND((Source!AF286*Source!AV286)*Source!I286, 2), 2)</f>
        <v>0</v>
      </c>
      <c r="T567">
        <f>Source!Y286</f>
        <v>0</v>
      </c>
      <c r="U567">
        <f>ROUND((175/100)*ROUND((Source!AE286*Source!AV286)*Source!I286, 2), 2)</f>
        <v>0</v>
      </c>
      <c r="V567">
        <f>ROUND((108/100)*ROUND(Source!CS286*Source!I286, 2), 2)</f>
        <v>0</v>
      </c>
    </row>
    <row r="568" spans="1:22" ht="96.75" x14ac:dyDescent="0.2">
      <c r="A568" s="34" t="str">
        <f>Source!E287</f>
        <v>54,10</v>
      </c>
      <c r="B568" s="35" t="str">
        <f>Source!F287</f>
        <v>по цене поставщика</v>
      </c>
      <c r="C568" s="35" t="s">
        <v>564</v>
      </c>
      <c r="D568" s="36" t="str">
        <f>Source!H287</f>
        <v>шт.</v>
      </c>
      <c r="E568" s="9">
        <f>Source!I287</f>
        <v>1</v>
      </c>
      <c r="F568" s="38">
        <f>Source!AK287</f>
        <v>10833.33</v>
      </c>
      <c r="G568" s="49" t="s">
        <v>3</v>
      </c>
      <c r="H568" s="9">
        <f>Source!AW287</f>
        <v>1</v>
      </c>
      <c r="I568" s="9">
        <f>IF(Source!BC287&lt;&gt; 0, Source!BC287, 1)</f>
        <v>1</v>
      </c>
      <c r="J568" s="39">
        <f>Source!O287</f>
        <v>10833.33</v>
      </c>
      <c r="K568" s="39"/>
      <c r="Q568">
        <f>ROUND((Source!BZ287/100)*ROUND((Source!AF287*Source!AV287)*Source!I287, 2), 2)</f>
        <v>0</v>
      </c>
      <c r="R568">
        <f>Source!X287</f>
        <v>0</v>
      </c>
      <c r="S568">
        <f>ROUND((Source!CA287/100)*ROUND((Source!AF287*Source!AV287)*Source!I287, 2), 2)</f>
        <v>0</v>
      </c>
      <c r="T568">
        <f>Source!Y287</f>
        <v>0</v>
      </c>
      <c r="U568">
        <f>ROUND((175/100)*ROUND((Source!AE287*Source!AV287)*Source!I287, 2), 2)</f>
        <v>0</v>
      </c>
      <c r="V568">
        <f>ROUND((108/100)*ROUND(Source!CS287*Source!I287, 2), 2)</f>
        <v>0</v>
      </c>
    </row>
    <row r="569" spans="1:22" ht="14.25" x14ac:dyDescent="0.2">
      <c r="A569" s="34"/>
      <c r="B569" s="35"/>
      <c r="C569" s="35" t="s">
        <v>550</v>
      </c>
      <c r="D569" s="36" t="s">
        <v>551</v>
      </c>
      <c r="E569" s="9">
        <f>Source!AT277</f>
        <v>70</v>
      </c>
      <c r="F569" s="38"/>
      <c r="G569" s="37"/>
      <c r="H569" s="9"/>
      <c r="I569" s="9"/>
      <c r="J569" s="39">
        <f>SUM(R553:R568)</f>
        <v>6411.51</v>
      </c>
      <c r="K569" s="39"/>
    </row>
    <row r="570" spans="1:22" ht="14.25" x14ac:dyDescent="0.2">
      <c r="A570" s="34"/>
      <c r="B570" s="35"/>
      <c r="C570" s="35" t="s">
        <v>552</v>
      </c>
      <c r="D570" s="36" t="s">
        <v>551</v>
      </c>
      <c r="E570" s="9">
        <f>Source!AU277</f>
        <v>10</v>
      </c>
      <c r="F570" s="38"/>
      <c r="G570" s="37"/>
      <c r="H570" s="9"/>
      <c r="I570" s="9"/>
      <c r="J570" s="39">
        <f>SUM(T553:T569)</f>
        <v>915.93</v>
      </c>
      <c r="K570" s="39"/>
    </row>
    <row r="571" spans="1:22" ht="14.25" x14ac:dyDescent="0.2">
      <c r="A571" s="34"/>
      <c r="B571" s="35"/>
      <c r="C571" s="35" t="s">
        <v>553</v>
      </c>
      <c r="D571" s="36" t="s">
        <v>551</v>
      </c>
      <c r="E571" s="9">
        <f>108</f>
        <v>108</v>
      </c>
      <c r="F571" s="38"/>
      <c r="G571" s="37"/>
      <c r="H571" s="9"/>
      <c r="I571" s="9"/>
      <c r="J571" s="39">
        <f>SUM(V553:V570)</f>
        <v>-9.9999999999997868E-3</v>
      </c>
      <c r="K571" s="39"/>
    </row>
    <row r="572" spans="1:22" ht="14.25" x14ac:dyDescent="0.2">
      <c r="A572" s="34"/>
      <c r="B572" s="35"/>
      <c r="C572" s="35" t="s">
        <v>554</v>
      </c>
      <c r="D572" s="36" t="s">
        <v>555</v>
      </c>
      <c r="E572" s="9">
        <f>Source!AQ277</f>
        <v>902.75</v>
      </c>
      <c r="F572" s="38"/>
      <c r="G572" s="37" t="str">
        <f>Source!DI277</f>
        <v/>
      </c>
      <c r="H572" s="9">
        <f>Source!AV277</f>
        <v>1</v>
      </c>
      <c r="I572" s="9"/>
      <c r="J572" s="39"/>
      <c r="K572" s="39">
        <f>Source!U277</f>
        <v>36.11</v>
      </c>
    </row>
    <row r="573" spans="1:22" ht="15" x14ac:dyDescent="0.25">
      <c r="A573" s="45"/>
      <c r="B573" s="45"/>
      <c r="C573" s="45"/>
      <c r="D573" s="45"/>
      <c r="E573" s="45"/>
      <c r="F573" s="45"/>
      <c r="G573" s="45"/>
      <c r="H573" s="45"/>
      <c r="I573" s="46">
        <f>J555+J556+J558+J569+J570+J571+SUM(J559:J568)</f>
        <v>137655.41</v>
      </c>
      <c r="J573" s="46"/>
      <c r="K573" s="47">
        <f>IF(Source!I277&lt;&gt;0, ROUND(I573/Source!I277, 2), 0)</f>
        <v>3441385.25</v>
      </c>
      <c r="P573" s="41">
        <f>I573</f>
        <v>137655.41</v>
      </c>
    </row>
    <row r="575" spans="1:22" ht="15" x14ac:dyDescent="0.25">
      <c r="A575" s="52" t="str">
        <f>CONCATENATE("Итого по подразделу: ",IF(Source!G289&lt;&gt;"Новый подраздел", Source!G289, ""))</f>
        <v>Итого по подразделу: Игровая площадка группы № 10</v>
      </c>
      <c r="B575" s="52"/>
      <c r="C575" s="52"/>
      <c r="D575" s="52"/>
      <c r="E575" s="52"/>
      <c r="F575" s="52"/>
      <c r="G575" s="52"/>
      <c r="H575" s="52"/>
      <c r="I575" s="43">
        <f>SUM(P447:P574)</f>
        <v>388214.38</v>
      </c>
      <c r="J575" s="51"/>
      <c r="K575" s="50"/>
    </row>
    <row r="578" spans="1:22" ht="16.5" x14ac:dyDescent="0.25">
      <c r="A578" s="33" t="str">
        <f>CONCATENATE("Подраздел: ",IF(Source!G319&lt;&gt;"Новый подраздел", Source!G319, ""))</f>
        <v>Подраздел: Ремонт асфальта</v>
      </c>
      <c r="B578" s="33"/>
      <c r="C578" s="33"/>
      <c r="D578" s="33"/>
      <c r="E578" s="33"/>
      <c r="F578" s="33"/>
      <c r="G578" s="33"/>
      <c r="H578" s="33"/>
      <c r="I578" s="33"/>
      <c r="J578" s="33"/>
      <c r="K578" s="33"/>
    </row>
    <row r="579" spans="1:22" ht="57" x14ac:dyDescent="0.2">
      <c r="A579" s="34" t="str">
        <f>Source!E323</f>
        <v>55</v>
      </c>
      <c r="B579" s="35" t="str">
        <f>Source!F323</f>
        <v>2.1-3101-6-1/1</v>
      </c>
      <c r="C579" s="35" t="str">
        <f>Source!G323</f>
        <v>Ремонт дорожных покрытий и тротуаров литым асфальтом толщиной 5 см с применением компрессора картами до 5 м2</v>
      </c>
      <c r="D579" s="36" t="str">
        <f>Source!H323</f>
        <v>м2</v>
      </c>
      <c r="E579" s="9">
        <f>Source!I323</f>
        <v>22.32</v>
      </c>
      <c r="F579" s="38"/>
      <c r="G579" s="37"/>
      <c r="H579" s="9"/>
      <c r="I579" s="9"/>
      <c r="J579" s="39"/>
      <c r="K579" s="39"/>
      <c r="Q579">
        <f>ROUND((Source!BZ323/100)*ROUND((Source!AF323*Source!AV323)*Source!I323, 2), 2)</f>
        <v>3829.76</v>
      </c>
      <c r="R579">
        <f>Source!X323</f>
        <v>3829.76</v>
      </c>
      <c r="S579">
        <f>ROUND((Source!CA323/100)*ROUND((Source!AF323*Source!AV323)*Source!I323, 2), 2)</f>
        <v>547.11</v>
      </c>
      <c r="T579">
        <f>Source!Y323</f>
        <v>547.11</v>
      </c>
      <c r="U579">
        <f>ROUND((175/100)*ROUND((Source!AE323*Source!AV323)*Source!I323, 2), 2)</f>
        <v>11137.96</v>
      </c>
      <c r="V579">
        <f>ROUND((108/100)*ROUND(Source!CS323*Source!I323, 2), 2)</f>
        <v>6873.71</v>
      </c>
    </row>
    <row r="580" spans="1:22" ht="14.25" x14ac:dyDescent="0.2">
      <c r="A580" s="34"/>
      <c r="B580" s="35"/>
      <c r="C580" s="35" t="s">
        <v>547</v>
      </c>
      <c r="D580" s="36"/>
      <c r="E580" s="9"/>
      <c r="F580" s="38">
        <f>Source!AO323</f>
        <v>245.12</v>
      </c>
      <c r="G580" s="37" t="str">
        <f>Source!DG323</f>
        <v/>
      </c>
      <c r="H580" s="9">
        <f>Source!AV323</f>
        <v>1</v>
      </c>
      <c r="I580" s="9">
        <f>IF(Source!BA323&lt;&gt; 0, Source!BA323, 1)</f>
        <v>1</v>
      </c>
      <c r="J580" s="39">
        <f>Source!S323</f>
        <v>5471.08</v>
      </c>
      <c r="K580" s="39"/>
    </row>
    <row r="581" spans="1:22" ht="14.25" x14ac:dyDescent="0.2">
      <c r="A581" s="34"/>
      <c r="B581" s="35"/>
      <c r="C581" s="35" t="s">
        <v>548</v>
      </c>
      <c r="D581" s="36"/>
      <c r="E581" s="9"/>
      <c r="F581" s="38">
        <f>Source!AM323</f>
        <v>532.42999999999995</v>
      </c>
      <c r="G581" s="37" t="str">
        <f>Source!DE323</f>
        <v/>
      </c>
      <c r="H581" s="9">
        <f>Source!AV323</f>
        <v>1</v>
      </c>
      <c r="I581" s="9">
        <f>IF(Source!BB323&lt;&gt; 0, Source!BB323, 1)</f>
        <v>1</v>
      </c>
      <c r="J581" s="39">
        <f>Source!Q323</f>
        <v>11883.84</v>
      </c>
      <c r="K581" s="39"/>
    </row>
    <row r="582" spans="1:22" ht="14.25" x14ac:dyDescent="0.2">
      <c r="A582" s="34"/>
      <c r="B582" s="35"/>
      <c r="C582" s="35" t="s">
        <v>549</v>
      </c>
      <c r="D582" s="36"/>
      <c r="E582" s="9"/>
      <c r="F582" s="38">
        <f>Source!AN323</f>
        <v>285.14999999999998</v>
      </c>
      <c r="G582" s="37" t="str">
        <f>Source!DF323</f>
        <v/>
      </c>
      <c r="H582" s="9">
        <f>Source!AV323</f>
        <v>1</v>
      </c>
      <c r="I582" s="9">
        <f>IF(Source!BS323&lt;&gt; 0, Source!BS323, 1)</f>
        <v>1</v>
      </c>
      <c r="J582" s="40">
        <f>Source!R323</f>
        <v>6364.55</v>
      </c>
      <c r="K582" s="39"/>
    </row>
    <row r="583" spans="1:22" ht="14.25" x14ac:dyDescent="0.2">
      <c r="A583" s="34"/>
      <c r="B583" s="35"/>
      <c r="C583" s="35" t="s">
        <v>556</v>
      </c>
      <c r="D583" s="36"/>
      <c r="E583" s="9"/>
      <c r="F583" s="38">
        <f>Source!AL323</f>
        <v>329.26</v>
      </c>
      <c r="G583" s="37" t="str">
        <f>Source!DD323</f>
        <v/>
      </c>
      <c r="H583" s="9">
        <f>Source!AW323</f>
        <v>1</v>
      </c>
      <c r="I583" s="9">
        <f>IF(Source!BC323&lt;&gt; 0, Source!BC323, 1)</f>
        <v>1</v>
      </c>
      <c r="J583" s="39">
        <f>Source!P323</f>
        <v>7349.08</v>
      </c>
      <c r="K583" s="39"/>
    </row>
    <row r="584" spans="1:22" ht="14.25" x14ac:dyDescent="0.2">
      <c r="A584" s="34"/>
      <c r="B584" s="35"/>
      <c r="C584" s="35" t="s">
        <v>550</v>
      </c>
      <c r="D584" s="36" t="s">
        <v>551</v>
      </c>
      <c r="E584" s="9">
        <f>Source!AT323</f>
        <v>70</v>
      </c>
      <c r="F584" s="38"/>
      <c r="G584" s="37"/>
      <c r="H584" s="9"/>
      <c r="I584" s="9"/>
      <c r="J584" s="39">
        <f>SUM(R579:R583)</f>
        <v>3829.76</v>
      </c>
      <c r="K584" s="39"/>
    </row>
    <row r="585" spans="1:22" ht="14.25" x14ac:dyDescent="0.2">
      <c r="A585" s="34"/>
      <c r="B585" s="35"/>
      <c r="C585" s="35" t="s">
        <v>552</v>
      </c>
      <c r="D585" s="36" t="s">
        <v>551</v>
      </c>
      <c r="E585" s="9">
        <f>Source!AU323</f>
        <v>10</v>
      </c>
      <c r="F585" s="38"/>
      <c r="G585" s="37"/>
      <c r="H585" s="9"/>
      <c r="I585" s="9"/>
      <c r="J585" s="39">
        <f>SUM(T579:T584)</f>
        <v>547.11</v>
      </c>
      <c r="K585" s="39"/>
    </row>
    <row r="586" spans="1:22" ht="14.25" x14ac:dyDescent="0.2">
      <c r="A586" s="34"/>
      <c r="B586" s="35"/>
      <c r="C586" s="35" t="s">
        <v>553</v>
      </c>
      <c r="D586" s="36" t="s">
        <v>551</v>
      </c>
      <c r="E586" s="9">
        <f>108</f>
        <v>108</v>
      </c>
      <c r="F586" s="38"/>
      <c r="G586" s="37"/>
      <c r="H586" s="9"/>
      <c r="I586" s="9"/>
      <c r="J586" s="39">
        <f>SUM(V579:V585)</f>
        <v>6873.71</v>
      </c>
      <c r="K586" s="39"/>
    </row>
    <row r="587" spans="1:22" ht="14.25" x14ac:dyDescent="0.2">
      <c r="A587" s="34"/>
      <c r="B587" s="35"/>
      <c r="C587" s="35" t="s">
        <v>554</v>
      </c>
      <c r="D587" s="36" t="s">
        <v>555</v>
      </c>
      <c r="E587" s="9">
        <f>Source!AQ323</f>
        <v>0.97</v>
      </c>
      <c r="F587" s="38"/>
      <c r="G587" s="37" t="str">
        <f>Source!DI323</f>
        <v/>
      </c>
      <c r="H587" s="9">
        <f>Source!AV323</f>
        <v>1</v>
      </c>
      <c r="I587" s="9"/>
      <c r="J587" s="39"/>
      <c r="K587" s="39">
        <f>Source!U323</f>
        <v>21.650400000000001</v>
      </c>
    </row>
    <row r="588" spans="1:22" ht="15" x14ac:dyDescent="0.25">
      <c r="A588" s="45"/>
      <c r="B588" s="45"/>
      <c r="C588" s="45"/>
      <c r="D588" s="45"/>
      <c r="E588" s="45"/>
      <c r="F588" s="45"/>
      <c r="G588" s="45"/>
      <c r="H588" s="45"/>
      <c r="I588" s="46">
        <f>J580+J581+J583+J584+J585+J586</f>
        <v>35954.58</v>
      </c>
      <c r="J588" s="46"/>
      <c r="K588" s="47">
        <f>IF(Source!I323&lt;&gt;0, ROUND(I588/Source!I323, 2), 0)</f>
        <v>1610.87</v>
      </c>
      <c r="P588" s="41">
        <f>I588</f>
        <v>35954.58</v>
      </c>
    </row>
    <row r="589" spans="1:22" ht="57" x14ac:dyDescent="0.2">
      <c r="A589" s="34" t="str">
        <f>Source!E324</f>
        <v>56</v>
      </c>
      <c r="B589" s="35" t="str">
        <f>Source!F324</f>
        <v>2.1-3101-6-2/1</v>
      </c>
      <c r="C589" s="35" t="str">
        <f>Source!G324</f>
        <v>Ремонт дорожных покрытий и тротуаров литым асфальтом толщиной 5 см с применением компрессора картами до 30 м2</v>
      </c>
      <c r="D589" s="36" t="str">
        <f>Source!H324</f>
        <v>м2</v>
      </c>
      <c r="E589" s="9">
        <f>Source!I324</f>
        <v>30</v>
      </c>
      <c r="F589" s="38"/>
      <c r="G589" s="37"/>
      <c r="H589" s="9"/>
      <c r="I589" s="9"/>
      <c r="J589" s="39"/>
      <c r="K589" s="39"/>
      <c r="Q589">
        <f>ROUND((Source!BZ324/100)*ROUND((Source!AF324*Source!AV324)*Source!I324, 2), 2)</f>
        <v>3403.47</v>
      </c>
      <c r="R589">
        <f>Source!X324</f>
        <v>3403.47</v>
      </c>
      <c r="S589">
        <f>ROUND((Source!CA324/100)*ROUND((Source!AF324*Source!AV324)*Source!I324, 2), 2)</f>
        <v>486.21</v>
      </c>
      <c r="T589">
        <f>Source!Y324</f>
        <v>486.21</v>
      </c>
      <c r="U589">
        <f>ROUND((175/100)*ROUND((Source!AE324*Source!AV324)*Source!I324, 2), 2)</f>
        <v>8510.7800000000007</v>
      </c>
      <c r="V589">
        <f>ROUND((108/100)*ROUND(Source!CS324*Source!I324, 2), 2)</f>
        <v>5252.36</v>
      </c>
    </row>
    <row r="590" spans="1:22" ht="14.25" x14ac:dyDescent="0.2">
      <c r="A590" s="34"/>
      <c r="B590" s="35"/>
      <c r="C590" s="35" t="s">
        <v>547</v>
      </c>
      <c r="D590" s="36"/>
      <c r="E590" s="9"/>
      <c r="F590" s="38">
        <f>Source!AO324</f>
        <v>162.07</v>
      </c>
      <c r="G590" s="37" t="str">
        <f>Source!DG324</f>
        <v/>
      </c>
      <c r="H590" s="9">
        <f>Source!AV324</f>
        <v>1</v>
      </c>
      <c r="I590" s="9">
        <f>IF(Source!BA324&lt;&gt; 0, Source!BA324, 1)</f>
        <v>1</v>
      </c>
      <c r="J590" s="39">
        <f>Source!S324</f>
        <v>4862.1000000000004</v>
      </c>
      <c r="K590" s="39"/>
    </row>
    <row r="591" spans="1:22" ht="14.25" x14ac:dyDescent="0.2">
      <c r="A591" s="34"/>
      <c r="B591" s="35"/>
      <c r="C591" s="35" t="s">
        <v>548</v>
      </c>
      <c r="D591" s="36"/>
      <c r="E591" s="9"/>
      <c r="F591" s="38">
        <f>Source!AM324</f>
        <v>302.58999999999997</v>
      </c>
      <c r="G591" s="37" t="str">
        <f>Source!DE324</f>
        <v/>
      </c>
      <c r="H591" s="9">
        <f>Source!AV324</f>
        <v>1</v>
      </c>
      <c r="I591" s="9">
        <f>IF(Source!BB324&lt;&gt; 0, Source!BB324, 1)</f>
        <v>1</v>
      </c>
      <c r="J591" s="39">
        <f>Source!Q324</f>
        <v>9077.7000000000007</v>
      </c>
      <c r="K591" s="39"/>
    </row>
    <row r="592" spans="1:22" ht="14.25" x14ac:dyDescent="0.2">
      <c r="A592" s="34"/>
      <c r="B592" s="35"/>
      <c r="C592" s="35" t="s">
        <v>549</v>
      </c>
      <c r="D592" s="36"/>
      <c r="E592" s="9"/>
      <c r="F592" s="38">
        <f>Source!AN324</f>
        <v>162.11000000000001</v>
      </c>
      <c r="G592" s="37" t="str">
        <f>Source!DF324</f>
        <v/>
      </c>
      <c r="H592" s="9">
        <f>Source!AV324</f>
        <v>1</v>
      </c>
      <c r="I592" s="9">
        <f>IF(Source!BS324&lt;&gt; 0, Source!BS324, 1)</f>
        <v>1</v>
      </c>
      <c r="J592" s="40">
        <f>Source!R324</f>
        <v>4863.3</v>
      </c>
      <c r="K592" s="39"/>
    </row>
    <row r="593" spans="1:22" ht="14.25" x14ac:dyDescent="0.2">
      <c r="A593" s="34"/>
      <c r="B593" s="35"/>
      <c r="C593" s="35" t="s">
        <v>556</v>
      </c>
      <c r="D593" s="36"/>
      <c r="E593" s="9"/>
      <c r="F593" s="38">
        <f>Source!AL324</f>
        <v>329.26</v>
      </c>
      <c r="G593" s="37" t="str">
        <f>Source!DD324</f>
        <v/>
      </c>
      <c r="H593" s="9">
        <f>Source!AW324</f>
        <v>1</v>
      </c>
      <c r="I593" s="9">
        <f>IF(Source!BC324&lt;&gt; 0, Source!BC324, 1)</f>
        <v>1</v>
      </c>
      <c r="J593" s="39">
        <f>Source!P324</f>
        <v>9877.7999999999993</v>
      </c>
      <c r="K593" s="39"/>
    </row>
    <row r="594" spans="1:22" ht="14.25" x14ac:dyDescent="0.2">
      <c r="A594" s="34"/>
      <c r="B594" s="35"/>
      <c r="C594" s="35" t="s">
        <v>550</v>
      </c>
      <c r="D594" s="36" t="s">
        <v>551</v>
      </c>
      <c r="E594" s="9">
        <f>Source!AT324</f>
        <v>70</v>
      </c>
      <c r="F594" s="38"/>
      <c r="G594" s="37"/>
      <c r="H594" s="9"/>
      <c r="I594" s="9"/>
      <c r="J594" s="39">
        <f>SUM(R589:R593)</f>
        <v>3403.47</v>
      </c>
      <c r="K594" s="39"/>
    </row>
    <row r="595" spans="1:22" ht="14.25" x14ac:dyDescent="0.2">
      <c r="A595" s="34"/>
      <c r="B595" s="35"/>
      <c r="C595" s="35" t="s">
        <v>552</v>
      </c>
      <c r="D595" s="36" t="s">
        <v>551</v>
      </c>
      <c r="E595" s="9">
        <f>Source!AU324</f>
        <v>10</v>
      </c>
      <c r="F595" s="38"/>
      <c r="G595" s="37"/>
      <c r="H595" s="9"/>
      <c r="I595" s="9"/>
      <c r="J595" s="39">
        <f>SUM(T589:T594)</f>
        <v>486.21</v>
      </c>
      <c r="K595" s="39"/>
    </row>
    <row r="596" spans="1:22" ht="14.25" x14ac:dyDescent="0.2">
      <c r="A596" s="34"/>
      <c r="B596" s="35"/>
      <c r="C596" s="35" t="s">
        <v>553</v>
      </c>
      <c r="D596" s="36" t="s">
        <v>551</v>
      </c>
      <c r="E596" s="9">
        <f>108</f>
        <v>108</v>
      </c>
      <c r="F596" s="38"/>
      <c r="G596" s="37"/>
      <c r="H596" s="9"/>
      <c r="I596" s="9"/>
      <c r="J596" s="39">
        <f>SUM(V589:V595)</f>
        <v>5252.36</v>
      </c>
      <c r="K596" s="39"/>
    </row>
    <row r="597" spans="1:22" ht="14.25" x14ac:dyDescent="0.2">
      <c r="A597" s="34"/>
      <c r="B597" s="35"/>
      <c r="C597" s="35" t="s">
        <v>554</v>
      </c>
      <c r="D597" s="36" t="s">
        <v>555</v>
      </c>
      <c r="E597" s="9">
        <f>Source!AQ324</f>
        <v>0.64</v>
      </c>
      <c r="F597" s="38"/>
      <c r="G597" s="37" t="str">
        <f>Source!DI324</f>
        <v/>
      </c>
      <c r="H597" s="9">
        <f>Source!AV324</f>
        <v>1</v>
      </c>
      <c r="I597" s="9"/>
      <c r="J597" s="39"/>
      <c r="K597" s="39">
        <f>Source!U324</f>
        <v>19.2</v>
      </c>
    </row>
    <row r="598" spans="1:22" ht="15" x14ac:dyDescent="0.25">
      <c r="A598" s="45"/>
      <c r="B598" s="45"/>
      <c r="C598" s="45"/>
      <c r="D598" s="45"/>
      <c r="E598" s="45"/>
      <c r="F598" s="45"/>
      <c r="G598" s="45"/>
      <c r="H598" s="45"/>
      <c r="I598" s="46">
        <f>J590+J591+J593+J594+J595+J596</f>
        <v>32959.64</v>
      </c>
      <c r="J598" s="46"/>
      <c r="K598" s="47">
        <f>IF(Source!I324&lt;&gt;0, ROUND(I598/Source!I324, 2), 0)</f>
        <v>1098.6500000000001</v>
      </c>
      <c r="P598" s="41">
        <f>I598</f>
        <v>32959.64</v>
      </c>
    </row>
    <row r="599" spans="1:22" ht="28.5" x14ac:dyDescent="0.2">
      <c r="A599" s="34" t="str">
        <f>Source!E325</f>
        <v>57</v>
      </c>
      <c r="B599" s="35" t="str">
        <f>Source!F325</f>
        <v>2.1-3202-1-1/1</v>
      </c>
      <c r="C599" s="35" t="str">
        <f>Source!G325</f>
        <v>Замена бортового камня бетонного во дворовых территориях</v>
      </c>
      <c r="D599" s="36" t="str">
        <f>Source!H325</f>
        <v>м</v>
      </c>
      <c r="E599" s="9">
        <f>Source!I325</f>
        <v>7.2</v>
      </c>
      <c r="F599" s="38"/>
      <c r="G599" s="37"/>
      <c r="H599" s="9"/>
      <c r="I599" s="9"/>
      <c r="J599" s="39"/>
      <c r="K599" s="39"/>
      <c r="Q599">
        <f>ROUND((Source!BZ325/100)*ROUND((Source!AF325*Source!AV325)*Source!I325, 2), 2)</f>
        <v>711.1</v>
      </c>
      <c r="R599">
        <f>Source!X325</f>
        <v>711.1</v>
      </c>
      <c r="S599">
        <f>ROUND((Source!CA325/100)*ROUND((Source!AF325*Source!AV325)*Source!I325, 2), 2)</f>
        <v>101.59</v>
      </c>
      <c r="T599">
        <f>Source!Y325</f>
        <v>101.59</v>
      </c>
      <c r="U599">
        <f>ROUND((175/100)*ROUND((Source!AE325*Source!AV325)*Source!I325, 2), 2)</f>
        <v>1356.27</v>
      </c>
      <c r="V599">
        <f>ROUND((108/100)*ROUND(Source!CS325*Source!I325, 2), 2)</f>
        <v>837.01</v>
      </c>
    </row>
    <row r="600" spans="1:22" ht="14.25" x14ac:dyDescent="0.2">
      <c r="A600" s="34"/>
      <c r="B600" s="35"/>
      <c r="C600" s="35" t="s">
        <v>547</v>
      </c>
      <c r="D600" s="36"/>
      <c r="E600" s="9"/>
      <c r="F600" s="38">
        <f>Source!AO325</f>
        <v>141.09</v>
      </c>
      <c r="G600" s="37" t="str">
        <f>Source!DG325</f>
        <v/>
      </c>
      <c r="H600" s="9">
        <f>Source!AV325</f>
        <v>1</v>
      </c>
      <c r="I600" s="9">
        <f>IF(Source!BA325&lt;&gt; 0, Source!BA325, 1)</f>
        <v>1</v>
      </c>
      <c r="J600" s="39">
        <f>Source!S325</f>
        <v>1015.85</v>
      </c>
      <c r="K600" s="39"/>
    </row>
    <row r="601" spans="1:22" ht="14.25" x14ac:dyDescent="0.2">
      <c r="A601" s="34"/>
      <c r="B601" s="35"/>
      <c r="C601" s="35" t="s">
        <v>548</v>
      </c>
      <c r="D601" s="36"/>
      <c r="E601" s="9"/>
      <c r="F601" s="38">
        <f>Source!AM325</f>
        <v>191.33</v>
      </c>
      <c r="G601" s="37" t="str">
        <f>Source!DE325</f>
        <v/>
      </c>
      <c r="H601" s="9">
        <f>Source!AV325</f>
        <v>1</v>
      </c>
      <c r="I601" s="9">
        <f>IF(Source!BB325&lt;&gt; 0, Source!BB325, 1)</f>
        <v>1</v>
      </c>
      <c r="J601" s="39">
        <f>Source!Q325</f>
        <v>1377.58</v>
      </c>
      <c r="K601" s="39"/>
    </row>
    <row r="602" spans="1:22" ht="14.25" x14ac:dyDescent="0.2">
      <c r="A602" s="34"/>
      <c r="B602" s="35"/>
      <c r="C602" s="35" t="s">
        <v>549</v>
      </c>
      <c r="D602" s="36"/>
      <c r="E602" s="9"/>
      <c r="F602" s="38">
        <f>Source!AN325</f>
        <v>107.64</v>
      </c>
      <c r="G602" s="37" t="str">
        <f>Source!DF325</f>
        <v/>
      </c>
      <c r="H602" s="9">
        <f>Source!AV325</f>
        <v>1</v>
      </c>
      <c r="I602" s="9">
        <f>IF(Source!BS325&lt;&gt; 0, Source!BS325, 1)</f>
        <v>1</v>
      </c>
      <c r="J602" s="40">
        <f>Source!R325</f>
        <v>775.01</v>
      </c>
      <c r="K602" s="39"/>
    </row>
    <row r="603" spans="1:22" ht="14.25" x14ac:dyDescent="0.2">
      <c r="A603" s="34"/>
      <c r="B603" s="35"/>
      <c r="C603" s="35" t="s">
        <v>556</v>
      </c>
      <c r="D603" s="36"/>
      <c r="E603" s="9"/>
      <c r="F603" s="38">
        <f>Source!AL325</f>
        <v>561.54</v>
      </c>
      <c r="G603" s="37" t="str">
        <f>Source!DD325</f>
        <v/>
      </c>
      <c r="H603" s="9">
        <f>Source!AW325</f>
        <v>1</v>
      </c>
      <c r="I603" s="9">
        <f>IF(Source!BC325&lt;&gt; 0, Source!BC325, 1)</f>
        <v>1</v>
      </c>
      <c r="J603" s="39">
        <f>Source!P325</f>
        <v>4043.09</v>
      </c>
      <c r="K603" s="39"/>
    </row>
    <row r="604" spans="1:22" ht="14.25" x14ac:dyDescent="0.2">
      <c r="A604" s="34"/>
      <c r="B604" s="35"/>
      <c r="C604" s="35" t="s">
        <v>550</v>
      </c>
      <c r="D604" s="36" t="s">
        <v>551</v>
      </c>
      <c r="E604" s="9">
        <f>Source!AT325</f>
        <v>70</v>
      </c>
      <c r="F604" s="38"/>
      <c r="G604" s="37"/>
      <c r="H604" s="9"/>
      <c r="I604" s="9"/>
      <c r="J604" s="39">
        <f>SUM(R599:R603)</f>
        <v>711.1</v>
      </c>
      <c r="K604" s="39"/>
    </row>
    <row r="605" spans="1:22" ht="14.25" x14ac:dyDescent="0.2">
      <c r="A605" s="34"/>
      <c r="B605" s="35"/>
      <c r="C605" s="35" t="s">
        <v>552</v>
      </c>
      <c r="D605" s="36" t="s">
        <v>551</v>
      </c>
      <c r="E605" s="9">
        <f>Source!AU325</f>
        <v>10</v>
      </c>
      <c r="F605" s="38"/>
      <c r="G605" s="37"/>
      <c r="H605" s="9"/>
      <c r="I605" s="9"/>
      <c r="J605" s="39">
        <f>SUM(T599:T604)</f>
        <v>101.59</v>
      </c>
      <c r="K605" s="39"/>
    </row>
    <row r="606" spans="1:22" ht="14.25" x14ac:dyDescent="0.2">
      <c r="A606" s="34"/>
      <c r="B606" s="35"/>
      <c r="C606" s="35" t="s">
        <v>553</v>
      </c>
      <c r="D606" s="36" t="s">
        <v>551</v>
      </c>
      <c r="E606" s="9">
        <f>108</f>
        <v>108</v>
      </c>
      <c r="F606" s="38"/>
      <c r="G606" s="37"/>
      <c r="H606" s="9"/>
      <c r="I606" s="9"/>
      <c r="J606" s="39">
        <f>SUM(V599:V605)</f>
        <v>837.01</v>
      </c>
      <c r="K606" s="39"/>
    </row>
    <row r="607" spans="1:22" ht="14.25" x14ac:dyDescent="0.2">
      <c r="A607" s="34"/>
      <c r="B607" s="35"/>
      <c r="C607" s="35" t="s">
        <v>554</v>
      </c>
      <c r="D607" s="36" t="s">
        <v>555</v>
      </c>
      <c r="E607" s="9">
        <f>Source!AQ325</f>
        <v>0.66</v>
      </c>
      <c r="F607" s="38"/>
      <c r="G607" s="37" t="str">
        <f>Source!DI325</f>
        <v/>
      </c>
      <c r="H607" s="9">
        <f>Source!AV325</f>
        <v>1</v>
      </c>
      <c r="I607" s="9"/>
      <c r="J607" s="39"/>
      <c r="K607" s="39">
        <f>Source!U325</f>
        <v>4.7520000000000007</v>
      </c>
    </row>
    <row r="608" spans="1:22" ht="15" x14ac:dyDescent="0.25">
      <c r="A608" s="45"/>
      <c r="B608" s="45"/>
      <c r="C608" s="45"/>
      <c r="D608" s="45"/>
      <c r="E608" s="45"/>
      <c r="F608" s="45"/>
      <c r="G608" s="45"/>
      <c r="H608" s="45"/>
      <c r="I608" s="46">
        <f>J600+J601+J603+J604+J605+J606</f>
        <v>8086.2200000000012</v>
      </c>
      <c r="J608" s="46"/>
      <c r="K608" s="47">
        <f>IF(Source!I325&lt;&gt;0, ROUND(I608/Source!I325, 2), 0)</f>
        <v>1123.0899999999999</v>
      </c>
      <c r="P608" s="41">
        <f>I608</f>
        <v>8086.2200000000012</v>
      </c>
    </row>
    <row r="610" spans="1:22" ht="15" x14ac:dyDescent="0.25">
      <c r="A610" s="52" t="str">
        <f>CONCATENATE("Итого по подразделу: ",IF(Source!G327&lt;&gt;"Новый подраздел", Source!G327, ""))</f>
        <v>Итого по подразделу: Ремонт асфальта</v>
      </c>
      <c r="B610" s="52"/>
      <c r="C610" s="52"/>
      <c r="D610" s="52"/>
      <c r="E610" s="52"/>
      <c r="F610" s="52"/>
      <c r="G610" s="52"/>
      <c r="H610" s="52"/>
      <c r="I610" s="43">
        <f>SUM(P578:P609)</f>
        <v>77000.44</v>
      </c>
      <c r="J610" s="51"/>
      <c r="K610" s="50"/>
    </row>
    <row r="613" spans="1:22" ht="16.5" x14ac:dyDescent="0.25">
      <c r="A613" s="33" t="str">
        <f>CONCATENATE("Подраздел: ",IF(Source!G357&lt;&gt;"Новый подраздел", Source!G357, ""))</f>
        <v>Подраздел: Установка МАФов площадка группы № 5</v>
      </c>
      <c r="B613" s="33"/>
      <c r="C613" s="33"/>
      <c r="D613" s="33"/>
      <c r="E613" s="33"/>
      <c r="F613" s="33"/>
      <c r="G613" s="33"/>
      <c r="H613" s="33"/>
      <c r="I613" s="33"/>
      <c r="J613" s="33"/>
      <c r="K613" s="33"/>
    </row>
    <row r="614" spans="1:22" ht="71.25" x14ac:dyDescent="0.2">
      <c r="A614" s="34" t="str">
        <f>Source!E361</f>
        <v>58</v>
      </c>
      <c r="B614" s="35" t="str">
        <f>Source!F361</f>
        <v>5.3-3203-7-5/1</v>
      </c>
      <c r="C614" s="35" t="str">
        <f>Source!G361</f>
        <v>Устройство калиток с установкой столбов металлических (без стоимости металлических изделий полотен калиток и стоек опорных) (установка МАФов)</v>
      </c>
      <c r="D614" s="36" t="str">
        <f>Source!H361</f>
        <v>100 шт.</v>
      </c>
      <c r="E614" s="9">
        <f>Source!I361</f>
        <v>0.04</v>
      </c>
      <c r="F614" s="38"/>
      <c r="G614" s="37"/>
      <c r="H614" s="9"/>
      <c r="I614" s="9"/>
      <c r="J614" s="39"/>
      <c r="K614" s="39"/>
      <c r="Q614">
        <f>ROUND((Source!BZ361/100)*ROUND((Source!AF361*Source!AV361)*Source!I361, 2), 2)</f>
        <v>6411.51</v>
      </c>
      <c r="R614">
        <f>Source!X361</f>
        <v>6411.51</v>
      </c>
      <c r="S614">
        <f>ROUND((Source!CA361/100)*ROUND((Source!AF361*Source!AV361)*Source!I361, 2), 2)</f>
        <v>915.93</v>
      </c>
      <c r="T614">
        <f>Source!Y361</f>
        <v>915.93</v>
      </c>
      <c r="U614">
        <f>ROUND((175/100)*ROUND((Source!AE361*Source!AV361)*Source!I361, 2), 2)</f>
        <v>4.76</v>
      </c>
      <c r="V614">
        <f>ROUND((108/100)*ROUND(Source!CS361*Source!I361, 2), 2)</f>
        <v>2.94</v>
      </c>
    </row>
    <row r="615" spans="1:22" x14ac:dyDescent="0.2">
      <c r="C615" s="48" t="str">
        <f>"Объем: "&amp;Source!I361&amp;"=4/"&amp;"100"</f>
        <v>Объем: 0,04=4/100</v>
      </c>
    </row>
    <row r="616" spans="1:22" ht="14.25" x14ac:dyDescent="0.2">
      <c r="A616" s="34"/>
      <c r="B616" s="35"/>
      <c r="C616" s="35" t="s">
        <v>547</v>
      </c>
      <c r="D616" s="36"/>
      <c r="E616" s="9"/>
      <c r="F616" s="38">
        <f>Source!AO361</f>
        <v>228982.53</v>
      </c>
      <c r="G616" s="37" t="str">
        <f>Source!DG361</f>
        <v/>
      </c>
      <c r="H616" s="9">
        <f>Source!AV361</f>
        <v>1</v>
      </c>
      <c r="I616" s="9">
        <f>IF(Source!BA361&lt;&gt; 0, Source!BA361, 1)</f>
        <v>1</v>
      </c>
      <c r="J616" s="39">
        <f>Source!S361</f>
        <v>9159.2999999999993</v>
      </c>
      <c r="K616" s="39"/>
    </row>
    <row r="617" spans="1:22" ht="14.25" x14ac:dyDescent="0.2">
      <c r="A617" s="34"/>
      <c r="B617" s="35"/>
      <c r="C617" s="35" t="s">
        <v>548</v>
      </c>
      <c r="D617" s="36"/>
      <c r="E617" s="9"/>
      <c r="F617" s="38">
        <f>Source!AM361</f>
        <v>544.27</v>
      </c>
      <c r="G617" s="37" t="str">
        <f>Source!DE361</f>
        <v/>
      </c>
      <c r="H617" s="9">
        <f>Source!AV361</f>
        <v>1</v>
      </c>
      <c r="I617" s="9">
        <f>IF(Source!BB361&lt;&gt; 0, Source!BB361, 1)</f>
        <v>1</v>
      </c>
      <c r="J617" s="39">
        <f>Source!Q361</f>
        <v>21.77</v>
      </c>
      <c r="K617" s="39"/>
    </row>
    <row r="618" spans="1:22" ht="14.25" x14ac:dyDescent="0.2">
      <c r="A618" s="34"/>
      <c r="B618" s="35"/>
      <c r="C618" s="35" t="s">
        <v>549</v>
      </c>
      <c r="D618" s="36"/>
      <c r="E618" s="9"/>
      <c r="F618" s="38">
        <f>Source!AN361</f>
        <v>67.94</v>
      </c>
      <c r="G618" s="37" t="str">
        <f>Source!DF361</f>
        <v/>
      </c>
      <c r="H618" s="9">
        <f>Source!AV361</f>
        <v>1</v>
      </c>
      <c r="I618" s="9">
        <f>IF(Source!BS361&lt;&gt; 0, Source!BS361, 1)</f>
        <v>1</v>
      </c>
      <c r="J618" s="40">
        <f>Source!R361</f>
        <v>2.72</v>
      </c>
      <c r="K618" s="39"/>
    </row>
    <row r="619" spans="1:22" ht="14.25" x14ac:dyDescent="0.2">
      <c r="A619" s="34"/>
      <c r="B619" s="35"/>
      <c r="C619" s="35" t="s">
        <v>556</v>
      </c>
      <c r="D619" s="36"/>
      <c r="E619" s="9"/>
      <c r="F619" s="38">
        <f>Source!AL361</f>
        <v>17852.89</v>
      </c>
      <c r="G619" s="37" t="str">
        <f>Source!DD361</f>
        <v/>
      </c>
      <c r="H619" s="9">
        <f>Source!AW361</f>
        <v>1</v>
      </c>
      <c r="I619" s="9">
        <f>IF(Source!BC361&lt;&gt; 0, Source!BC361, 1)</f>
        <v>1</v>
      </c>
      <c r="J619" s="39">
        <f>Source!P361</f>
        <v>714.12</v>
      </c>
      <c r="K619" s="39"/>
    </row>
    <row r="620" spans="1:22" ht="28.5" x14ac:dyDescent="0.2">
      <c r="A620" s="34" t="str">
        <f>Source!E362</f>
        <v>58,1</v>
      </c>
      <c r="B620" s="35" t="str">
        <f>Source!F362</f>
        <v>21.1-5-5</v>
      </c>
      <c r="C620" s="35" t="str">
        <f>Source!G362</f>
        <v>Кирпич керамический обыкновенный, размер 250х120х65 мм, марка 100</v>
      </c>
      <c r="D620" s="36" t="str">
        <f>Source!H362</f>
        <v>1000 шт.</v>
      </c>
      <c r="E620" s="9">
        <f>Source!I362</f>
        <v>-1.48E-3</v>
      </c>
      <c r="F620" s="38">
        <f>Source!AK362</f>
        <v>10419.43</v>
      </c>
      <c r="G620" s="49" t="s">
        <v>3</v>
      </c>
      <c r="H620" s="9">
        <f>Source!AW362</f>
        <v>1</v>
      </c>
      <c r="I620" s="9">
        <f>IF(Source!BC362&lt;&gt; 0, Source!BC362, 1)</f>
        <v>1</v>
      </c>
      <c r="J620" s="39">
        <f>Source!O362</f>
        <v>-15.42</v>
      </c>
      <c r="K620" s="39"/>
      <c r="Q620">
        <f>ROUND((Source!BZ362/100)*ROUND((Source!AF362*Source!AV362)*Source!I362, 2), 2)</f>
        <v>0</v>
      </c>
      <c r="R620">
        <f>Source!X362</f>
        <v>0</v>
      </c>
      <c r="S620">
        <f>ROUND((Source!CA362/100)*ROUND((Source!AF362*Source!AV362)*Source!I362, 2), 2)</f>
        <v>0</v>
      </c>
      <c r="T620">
        <f>Source!Y362</f>
        <v>0</v>
      </c>
      <c r="U620">
        <f>ROUND((175/100)*ROUND((Source!AE362*Source!AV362)*Source!I362, 2), 2)</f>
        <v>0</v>
      </c>
      <c r="V620">
        <f>ROUND((108/100)*ROUND(Source!CS362*Source!I362, 2), 2)</f>
        <v>0</v>
      </c>
    </row>
    <row r="621" spans="1:22" ht="14.25" x14ac:dyDescent="0.2">
      <c r="A621" s="34" t="str">
        <f>Source!E363</f>
        <v>58,2</v>
      </c>
      <c r="B621" s="35" t="str">
        <f>Source!F363</f>
        <v>22.1-6-52</v>
      </c>
      <c r="C621" s="35" t="str">
        <f>Source!G363</f>
        <v>Вибраторы глубинные</v>
      </c>
      <c r="D621" s="36" t="str">
        <f>Source!H363</f>
        <v>маш.-ч</v>
      </c>
      <c r="E621" s="9">
        <f>Source!I363</f>
        <v>-0.21759999999999999</v>
      </c>
      <c r="F621" s="38">
        <f>Source!AK363</f>
        <v>10.82</v>
      </c>
      <c r="G621" s="49" t="s">
        <v>3</v>
      </c>
      <c r="H621" s="9">
        <f>Source!AV363</f>
        <v>1</v>
      </c>
      <c r="I621" s="9">
        <f>IF(Source!BB363&lt;&gt; 0, Source!BB363, 1)</f>
        <v>1</v>
      </c>
      <c r="J621" s="39">
        <f>Source!O363</f>
        <v>-2.35</v>
      </c>
      <c r="K621" s="39"/>
      <c r="Q621">
        <f>ROUND((Source!BZ363/100)*ROUND((Source!AF363*Source!AV363)*Source!I363, 2), 2)</f>
        <v>0</v>
      </c>
      <c r="R621">
        <f>Source!X363</f>
        <v>0</v>
      </c>
      <c r="S621">
        <f>ROUND((Source!CA363/100)*ROUND((Source!AF363*Source!AV363)*Source!I363, 2), 2)</f>
        <v>0</v>
      </c>
      <c r="T621">
        <f>Source!Y363</f>
        <v>0</v>
      </c>
      <c r="U621">
        <f>ROUND((175/100)*ROUND((Source!AE363*Source!AV363)*Source!I363, 2), 2)</f>
        <v>-1.1399999999999999</v>
      </c>
      <c r="V621">
        <f>ROUND((108/100)*ROUND(Source!CS363*Source!I363, 2), 2)</f>
        <v>-0.7</v>
      </c>
    </row>
    <row r="622" spans="1:22" ht="28.5" x14ac:dyDescent="0.2">
      <c r="A622" s="34" t="str">
        <f>Source!E364</f>
        <v>58,3</v>
      </c>
      <c r="B622" s="35" t="str">
        <f>Source!F364</f>
        <v>22.1-13-14</v>
      </c>
      <c r="C622" s="35" t="str">
        <f>Source!G364</f>
        <v>Установки для сварки ручной дуговой (постоянного тока)</v>
      </c>
      <c r="D622" s="36" t="str">
        <f>Source!H364</f>
        <v>маш.-ч</v>
      </c>
      <c r="E622" s="9">
        <f>Source!I364</f>
        <v>-0.57999999999999996</v>
      </c>
      <c r="F622" s="38">
        <f>Source!AK364</f>
        <v>27.21</v>
      </c>
      <c r="G622" s="49" t="s">
        <v>3</v>
      </c>
      <c r="H622" s="9">
        <f>Source!AV364</f>
        <v>1</v>
      </c>
      <c r="I622" s="9">
        <f>IF(Source!BB364&lt;&gt; 0, Source!BB364, 1)</f>
        <v>1</v>
      </c>
      <c r="J622" s="39">
        <f>Source!O364</f>
        <v>-15.78</v>
      </c>
      <c r="K622" s="39"/>
      <c r="Q622">
        <f>ROUND((Source!BZ364/100)*ROUND((Source!AF364*Source!AV364)*Source!I364, 2), 2)</f>
        <v>0</v>
      </c>
      <c r="R622">
        <f>Source!X364</f>
        <v>0</v>
      </c>
      <c r="S622">
        <f>ROUND((Source!CA364/100)*ROUND((Source!AF364*Source!AV364)*Source!I364, 2), 2)</f>
        <v>0</v>
      </c>
      <c r="T622">
        <f>Source!Y364</f>
        <v>0</v>
      </c>
      <c r="U622">
        <f>ROUND((175/100)*ROUND((Source!AE364*Source!AV364)*Source!I364, 2), 2)</f>
        <v>-0.14000000000000001</v>
      </c>
      <c r="V622">
        <f>ROUND((108/100)*ROUND(Source!CS364*Source!I364, 2), 2)</f>
        <v>-0.09</v>
      </c>
    </row>
    <row r="623" spans="1:22" ht="42.75" x14ac:dyDescent="0.2">
      <c r="A623" s="34" t="str">
        <f>Source!E365</f>
        <v>58,4</v>
      </c>
      <c r="B623" s="35" t="str">
        <f>Source!F365</f>
        <v>22.1-1-1</v>
      </c>
      <c r="C623" s="35" t="str">
        <f>Source!G365</f>
        <v>Экскаваторы на гусеничном ходу гидравлические, объем ковша до 0,25 м3</v>
      </c>
      <c r="D623" s="36" t="str">
        <f>Source!H365</f>
        <v>маш.-ч</v>
      </c>
      <c r="E623" s="9">
        <f>Source!I365</f>
        <v>-3.5999999999999999E-3</v>
      </c>
      <c r="F623" s="38">
        <f>Source!AK365</f>
        <v>1009.65</v>
      </c>
      <c r="G623" s="49" t="s">
        <v>3</v>
      </c>
      <c r="H623" s="9">
        <f>Source!AV365</f>
        <v>1</v>
      </c>
      <c r="I623" s="9">
        <f>IF(Source!BB365&lt;&gt; 0, Source!BB365, 1)</f>
        <v>1</v>
      </c>
      <c r="J623" s="39">
        <f>Source!O365</f>
        <v>-3.63</v>
      </c>
      <c r="K623" s="39"/>
      <c r="Q623">
        <f>ROUND((Source!BZ365/100)*ROUND((Source!AF365*Source!AV365)*Source!I365, 2), 2)</f>
        <v>0</v>
      </c>
      <c r="R623">
        <f>Source!X365</f>
        <v>0</v>
      </c>
      <c r="S623">
        <f>ROUND((Source!CA365/100)*ROUND((Source!AF365*Source!AV365)*Source!I365, 2), 2)</f>
        <v>0</v>
      </c>
      <c r="T623">
        <f>Source!Y365</f>
        <v>0</v>
      </c>
      <c r="U623">
        <f>ROUND((175/100)*ROUND((Source!AE365*Source!AV365)*Source!I365, 2), 2)</f>
        <v>-3.5</v>
      </c>
      <c r="V623">
        <f>ROUND((108/100)*ROUND(Source!CS365*Source!I365, 2), 2)</f>
        <v>-2.16</v>
      </c>
    </row>
    <row r="624" spans="1:22" ht="42.75" x14ac:dyDescent="0.2">
      <c r="A624" s="34" t="str">
        <f>Source!E366</f>
        <v>58,5</v>
      </c>
      <c r="B624" s="35" t="str">
        <f>Source!F366</f>
        <v>21.3-1-2</v>
      </c>
      <c r="C624" s="35" t="str">
        <f>Source!G366</f>
        <v>Смеси бетонные, БСГ, песчаного бетона на обогащенном песке, класс прочности: В12,5 (М150)</v>
      </c>
      <c r="D624" s="36" t="str">
        <f>Source!H366</f>
        <v>м3</v>
      </c>
      <c r="E624" s="9">
        <f>Source!I366</f>
        <v>-0.2</v>
      </c>
      <c r="F624" s="38">
        <f>Source!AK366</f>
        <v>3040.38</v>
      </c>
      <c r="G624" s="49" t="s">
        <v>3</v>
      </c>
      <c r="H624" s="9">
        <f>Source!AW366</f>
        <v>1</v>
      </c>
      <c r="I624" s="9">
        <f>IF(Source!BC366&lt;&gt; 0, Source!BC366, 1)</f>
        <v>1</v>
      </c>
      <c r="J624" s="39">
        <f>Source!O366</f>
        <v>-608.08000000000004</v>
      </c>
      <c r="K624" s="39"/>
      <c r="Q624">
        <f>ROUND((Source!BZ366/100)*ROUND((Source!AF366*Source!AV366)*Source!I366, 2), 2)</f>
        <v>0</v>
      </c>
      <c r="R624">
        <f>Source!X366</f>
        <v>0</v>
      </c>
      <c r="S624">
        <f>ROUND((Source!CA366/100)*ROUND((Source!AF366*Source!AV366)*Source!I366, 2), 2)</f>
        <v>0</v>
      </c>
      <c r="T624">
        <f>Source!Y366</f>
        <v>0</v>
      </c>
      <c r="U624">
        <f>ROUND((175/100)*ROUND((Source!AE366*Source!AV366)*Source!I366, 2), 2)</f>
        <v>0</v>
      </c>
      <c r="V624">
        <f>ROUND((108/100)*ROUND(Source!CS366*Source!I366, 2), 2)</f>
        <v>0</v>
      </c>
    </row>
    <row r="625" spans="1:22" ht="28.5" x14ac:dyDescent="0.2">
      <c r="A625" s="34" t="str">
        <f>Source!E367</f>
        <v>58,6</v>
      </c>
      <c r="B625" s="35" t="str">
        <f>Source!F367</f>
        <v>21.1-23-9</v>
      </c>
      <c r="C625" s="35" t="str">
        <f>Source!G367</f>
        <v>Электроды, тип Э-42, 46, 50, диаметр 4 - 6 мм</v>
      </c>
      <c r="D625" s="36" t="str">
        <f>Source!H367</f>
        <v>т</v>
      </c>
      <c r="E625" s="9">
        <f>Source!I367</f>
        <v>-8.0000000000000004E-4</v>
      </c>
      <c r="F625" s="38">
        <f>Source!AK367</f>
        <v>110781.14</v>
      </c>
      <c r="G625" s="49" t="s">
        <v>3</v>
      </c>
      <c r="H625" s="9">
        <f>Source!AW367</f>
        <v>1</v>
      </c>
      <c r="I625" s="9">
        <f>IF(Source!BC367&lt;&gt; 0, Source!BC367, 1)</f>
        <v>1</v>
      </c>
      <c r="J625" s="39">
        <f>Source!O367</f>
        <v>-88.62</v>
      </c>
      <c r="K625" s="39"/>
      <c r="Q625">
        <f>ROUND((Source!BZ367/100)*ROUND((Source!AF367*Source!AV367)*Source!I367, 2), 2)</f>
        <v>0</v>
      </c>
      <c r="R625">
        <f>Source!X367</f>
        <v>0</v>
      </c>
      <c r="S625">
        <f>ROUND((Source!CA367/100)*ROUND((Source!AF367*Source!AV367)*Source!I367, 2), 2)</f>
        <v>0</v>
      </c>
      <c r="T625">
        <f>Source!Y367</f>
        <v>0</v>
      </c>
      <c r="U625">
        <f>ROUND((175/100)*ROUND((Source!AE367*Source!AV367)*Source!I367, 2), 2)</f>
        <v>0</v>
      </c>
      <c r="V625">
        <f>ROUND((108/100)*ROUND(Source!CS367*Source!I367, 2), 2)</f>
        <v>0</v>
      </c>
    </row>
    <row r="626" spans="1:22" ht="111" x14ac:dyDescent="0.2">
      <c r="A626" s="34" t="str">
        <f>Source!E368</f>
        <v>58,7</v>
      </c>
      <c r="B626" s="35" t="str">
        <f>Source!F368</f>
        <v>по цене поставщика</v>
      </c>
      <c r="C626" s="35" t="s">
        <v>565</v>
      </c>
      <c r="D626" s="36" t="str">
        <f>Source!H368</f>
        <v>шт.</v>
      </c>
      <c r="E626" s="9">
        <f>Source!I368</f>
        <v>1</v>
      </c>
      <c r="F626" s="38">
        <f>Source!AK368</f>
        <v>56666.67</v>
      </c>
      <c r="G626" s="49" t="s">
        <v>3</v>
      </c>
      <c r="H626" s="9">
        <f>Source!AW368</f>
        <v>1</v>
      </c>
      <c r="I626" s="9">
        <f>IF(Source!BC368&lt;&gt; 0, Source!BC368, 1)</f>
        <v>1</v>
      </c>
      <c r="J626" s="39">
        <f>Source!O368</f>
        <v>56666.67</v>
      </c>
      <c r="K626" s="39"/>
      <c r="Q626">
        <f>ROUND((Source!BZ368/100)*ROUND((Source!AF368*Source!AV368)*Source!I368, 2), 2)</f>
        <v>0</v>
      </c>
      <c r="R626">
        <f>Source!X368</f>
        <v>0</v>
      </c>
      <c r="S626">
        <f>ROUND((Source!CA368/100)*ROUND((Source!AF368*Source!AV368)*Source!I368, 2), 2)</f>
        <v>0</v>
      </c>
      <c r="T626">
        <f>Source!Y368</f>
        <v>0</v>
      </c>
      <c r="U626">
        <f>ROUND((175/100)*ROUND((Source!AE368*Source!AV368)*Source!I368, 2), 2)</f>
        <v>0</v>
      </c>
      <c r="V626">
        <f>ROUND((108/100)*ROUND(Source!CS368*Source!I368, 2), 2)</f>
        <v>0</v>
      </c>
    </row>
    <row r="627" spans="1:22" ht="111" x14ac:dyDescent="0.2">
      <c r="A627" s="34" t="str">
        <f>Source!E369</f>
        <v>58,8</v>
      </c>
      <c r="B627" s="35" t="str">
        <f>Source!F369</f>
        <v>по цене поставщика</v>
      </c>
      <c r="C627" s="35" t="s">
        <v>562</v>
      </c>
      <c r="D627" s="36" t="str">
        <f>Source!H369</f>
        <v>шт.</v>
      </c>
      <c r="E627" s="9">
        <f>Source!I369</f>
        <v>1</v>
      </c>
      <c r="F627" s="38">
        <f>Source!AK369</f>
        <v>40166.67</v>
      </c>
      <c r="G627" s="49" t="s">
        <v>3</v>
      </c>
      <c r="H627" s="9">
        <f>Source!AW369</f>
        <v>1</v>
      </c>
      <c r="I627" s="9">
        <f>IF(Source!BC369&lt;&gt; 0, Source!BC369, 1)</f>
        <v>1</v>
      </c>
      <c r="J627" s="39">
        <f>Source!O369</f>
        <v>40166.67</v>
      </c>
      <c r="K627" s="39"/>
      <c r="Q627">
        <f>ROUND((Source!BZ369/100)*ROUND((Source!AF369*Source!AV369)*Source!I369, 2), 2)</f>
        <v>0</v>
      </c>
      <c r="R627">
        <f>Source!X369</f>
        <v>0</v>
      </c>
      <c r="S627">
        <f>ROUND((Source!CA369/100)*ROUND((Source!AF369*Source!AV369)*Source!I369, 2), 2)</f>
        <v>0</v>
      </c>
      <c r="T627">
        <f>Source!Y369</f>
        <v>0</v>
      </c>
      <c r="U627">
        <f>ROUND((175/100)*ROUND((Source!AE369*Source!AV369)*Source!I369, 2), 2)</f>
        <v>0</v>
      </c>
      <c r="V627">
        <f>ROUND((108/100)*ROUND(Source!CS369*Source!I369, 2), 2)</f>
        <v>0</v>
      </c>
    </row>
    <row r="628" spans="1:22" ht="111" x14ac:dyDescent="0.2">
      <c r="A628" s="34" t="str">
        <f>Source!E370</f>
        <v>58,9</v>
      </c>
      <c r="B628" s="35" t="str">
        <f>Source!F370</f>
        <v>по цене поставщика</v>
      </c>
      <c r="C628" s="35" t="s">
        <v>559</v>
      </c>
      <c r="D628" s="36" t="str">
        <f>Source!H370</f>
        <v>шт.</v>
      </c>
      <c r="E628" s="9">
        <f>Source!I370</f>
        <v>1</v>
      </c>
      <c r="F628" s="38">
        <f>Source!AK370</f>
        <v>62333.33</v>
      </c>
      <c r="G628" s="49" t="s">
        <v>3</v>
      </c>
      <c r="H628" s="9">
        <f>Source!AW370</f>
        <v>1</v>
      </c>
      <c r="I628" s="9">
        <f>IF(Source!BC370&lt;&gt; 0, Source!BC370, 1)</f>
        <v>1</v>
      </c>
      <c r="J628" s="39">
        <f>Source!O370</f>
        <v>62333.33</v>
      </c>
      <c r="K628" s="39"/>
      <c r="Q628">
        <f>ROUND((Source!BZ370/100)*ROUND((Source!AF370*Source!AV370)*Source!I370, 2), 2)</f>
        <v>0</v>
      </c>
      <c r="R628">
        <f>Source!X370</f>
        <v>0</v>
      </c>
      <c r="S628">
        <f>ROUND((Source!CA370/100)*ROUND((Source!AF370*Source!AV370)*Source!I370, 2), 2)</f>
        <v>0</v>
      </c>
      <c r="T628">
        <f>Source!Y370</f>
        <v>0</v>
      </c>
      <c r="U628">
        <f>ROUND((175/100)*ROUND((Source!AE370*Source!AV370)*Source!I370, 2), 2)</f>
        <v>0</v>
      </c>
      <c r="V628">
        <f>ROUND((108/100)*ROUND(Source!CS370*Source!I370, 2), 2)</f>
        <v>0</v>
      </c>
    </row>
    <row r="629" spans="1:22" ht="96.75" x14ac:dyDescent="0.2">
      <c r="A629" s="34" t="str">
        <f>Source!E371</f>
        <v>58,10</v>
      </c>
      <c r="B629" s="35" t="str">
        <f>Source!F371</f>
        <v>по цене поставщика</v>
      </c>
      <c r="C629" s="35" t="s">
        <v>564</v>
      </c>
      <c r="D629" s="36" t="str">
        <f>Source!H371</f>
        <v>шт.</v>
      </c>
      <c r="E629" s="9">
        <f>Source!I371</f>
        <v>1</v>
      </c>
      <c r="F629" s="38">
        <f>Source!AK371</f>
        <v>10833.33</v>
      </c>
      <c r="G629" s="49" t="s">
        <v>3</v>
      </c>
      <c r="H629" s="9">
        <f>Source!AW371</f>
        <v>1</v>
      </c>
      <c r="I629" s="9">
        <f>IF(Source!BC371&lt;&gt; 0, Source!BC371, 1)</f>
        <v>1</v>
      </c>
      <c r="J629" s="39">
        <f>Source!O371</f>
        <v>10833.33</v>
      </c>
      <c r="K629" s="39"/>
      <c r="Q629">
        <f>ROUND((Source!BZ371/100)*ROUND((Source!AF371*Source!AV371)*Source!I371, 2), 2)</f>
        <v>0</v>
      </c>
      <c r="R629">
        <f>Source!X371</f>
        <v>0</v>
      </c>
      <c r="S629">
        <f>ROUND((Source!CA371/100)*ROUND((Source!AF371*Source!AV371)*Source!I371, 2), 2)</f>
        <v>0</v>
      </c>
      <c r="T629">
        <f>Source!Y371</f>
        <v>0</v>
      </c>
      <c r="U629">
        <f>ROUND((175/100)*ROUND((Source!AE371*Source!AV371)*Source!I371, 2), 2)</f>
        <v>0</v>
      </c>
      <c r="V629">
        <f>ROUND((108/100)*ROUND(Source!CS371*Source!I371, 2), 2)</f>
        <v>0</v>
      </c>
    </row>
    <row r="630" spans="1:22" ht="14.25" x14ac:dyDescent="0.2">
      <c r="A630" s="34"/>
      <c r="B630" s="35"/>
      <c r="C630" s="35" t="s">
        <v>550</v>
      </c>
      <c r="D630" s="36" t="s">
        <v>551</v>
      </c>
      <c r="E630" s="9">
        <f>Source!AT361</f>
        <v>70</v>
      </c>
      <c r="F630" s="38"/>
      <c r="G630" s="37"/>
      <c r="H630" s="9"/>
      <c r="I630" s="9"/>
      <c r="J630" s="39">
        <f>SUM(R614:R629)</f>
        <v>6411.51</v>
      </c>
      <c r="K630" s="39"/>
    </row>
    <row r="631" spans="1:22" ht="14.25" x14ac:dyDescent="0.2">
      <c r="A631" s="34"/>
      <c r="B631" s="35"/>
      <c r="C631" s="35" t="s">
        <v>552</v>
      </c>
      <c r="D631" s="36" t="s">
        <v>551</v>
      </c>
      <c r="E631" s="9">
        <f>Source!AU361</f>
        <v>10</v>
      </c>
      <c r="F631" s="38"/>
      <c r="G631" s="37"/>
      <c r="H631" s="9"/>
      <c r="I631" s="9"/>
      <c r="J631" s="39">
        <f>SUM(T614:T630)</f>
        <v>915.93</v>
      </c>
      <c r="K631" s="39"/>
    </row>
    <row r="632" spans="1:22" ht="14.25" x14ac:dyDescent="0.2">
      <c r="A632" s="34"/>
      <c r="B632" s="35"/>
      <c r="C632" s="35" t="s">
        <v>553</v>
      </c>
      <c r="D632" s="36" t="s">
        <v>551</v>
      </c>
      <c r="E632" s="9">
        <f>108</f>
        <v>108</v>
      </c>
      <c r="F632" s="38"/>
      <c r="G632" s="37"/>
      <c r="H632" s="9"/>
      <c r="I632" s="9"/>
      <c r="J632" s="39">
        <f>SUM(V614:V631)</f>
        <v>-9.9999999999997868E-3</v>
      </c>
      <c r="K632" s="39"/>
    </row>
    <row r="633" spans="1:22" ht="14.25" x14ac:dyDescent="0.2">
      <c r="A633" s="34"/>
      <c r="B633" s="35"/>
      <c r="C633" s="35" t="s">
        <v>554</v>
      </c>
      <c r="D633" s="36" t="s">
        <v>555</v>
      </c>
      <c r="E633" s="9">
        <f>Source!AQ361</f>
        <v>902.75</v>
      </c>
      <c r="F633" s="38"/>
      <c r="G633" s="37" t="str">
        <f>Source!DI361</f>
        <v/>
      </c>
      <c r="H633" s="9">
        <f>Source!AV361</f>
        <v>1</v>
      </c>
      <c r="I633" s="9"/>
      <c r="J633" s="39"/>
      <c r="K633" s="39">
        <f>Source!U361</f>
        <v>36.11</v>
      </c>
    </row>
    <row r="634" spans="1:22" ht="15" x14ac:dyDescent="0.25">
      <c r="A634" s="45"/>
      <c r="B634" s="45"/>
      <c r="C634" s="45"/>
      <c r="D634" s="45"/>
      <c r="E634" s="45"/>
      <c r="F634" s="45"/>
      <c r="G634" s="45"/>
      <c r="H634" s="45"/>
      <c r="I634" s="46">
        <f>J616+J617+J619+J630+J631+J632+SUM(J620:J629)</f>
        <v>186488.73999999996</v>
      </c>
      <c r="J634" s="46"/>
      <c r="K634" s="47">
        <f>IF(Source!I361&lt;&gt;0, ROUND(I634/Source!I361, 2), 0)</f>
        <v>4662218.5</v>
      </c>
      <c r="P634" s="41">
        <f>I634</f>
        <v>186488.73999999996</v>
      </c>
    </row>
    <row r="636" spans="1:22" ht="15" x14ac:dyDescent="0.25">
      <c r="A636" s="52" t="str">
        <f>CONCATENATE("Итого по подразделу: ",IF(Source!G373&lt;&gt;"Новый подраздел", Source!G373, ""))</f>
        <v>Итого по подразделу: Установка МАФов площадка группы № 5</v>
      </c>
      <c r="B636" s="52"/>
      <c r="C636" s="52"/>
      <c r="D636" s="52"/>
      <c r="E636" s="52"/>
      <c r="F636" s="52"/>
      <c r="G636" s="52"/>
      <c r="H636" s="52"/>
      <c r="I636" s="43">
        <f>SUM(P613:P635)</f>
        <v>186488.73999999996</v>
      </c>
      <c r="J636" s="51"/>
      <c r="K636" s="50"/>
    </row>
    <row r="639" spans="1:22" ht="16.5" x14ac:dyDescent="0.25">
      <c r="A639" s="33" t="str">
        <f>CONCATENATE("Подраздел: ",IF(Source!G403&lt;&gt;"Новый подраздел", Source!G403, ""))</f>
        <v>Подраздел: Установка МАФов площадка группы № 7</v>
      </c>
      <c r="B639" s="33"/>
      <c r="C639" s="33"/>
      <c r="D639" s="33"/>
      <c r="E639" s="33"/>
      <c r="F639" s="33"/>
      <c r="G639" s="33"/>
      <c r="H639" s="33"/>
      <c r="I639" s="33"/>
      <c r="J639" s="33"/>
      <c r="K639" s="33"/>
    </row>
    <row r="640" spans="1:22" ht="71.25" x14ac:dyDescent="0.2">
      <c r="A640" s="34" t="str">
        <f>Source!E407</f>
        <v>59</v>
      </c>
      <c r="B640" s="35" t="str">
        <f>Source!F407</f>
        <v>5.3-3203-7-5/1</v>
      </c>
      <c r="C640" s="35" t="str">
        <f>Source!G407</f>
        <v>Устройство калиток с установкой столбов металлических (без стоимости металлических изделий полотен калиток и стоек опорных) (установка МАФов)</v>
      </c>
      <c r="D640" s="36" t="str">
        <f>Source!H407</f>
        <v>100 шт.</v>
      </c>
      <c r="E640" s="9">
        <f>Source!I407</f>
        <v>0.03</v>
      </c>
      <c r="F640" s="38"/>
      <c r="G640" s="37"/>
      <c r="H640" s="9"/>
      <c r="I640" s="9"/>
      <c r="J640" s="39"/>
      <c r="K640" s="39"/>
      <c r="Q640">
        <f>ROUND((Source!BZ407/100)*ROUND((Source!AF407*Source!AV407)*Source!I407, 2), 2)</f>
        <v>4808.6400000000003</v>
      </c>
      <c r="R640">
        <f>Source!X407</f>
        <v>4808.6400000000003</v>
      </c>
      <c r="S640">
        <f>ROUND((Source!CA407/100)*ROUND((Source!AF407*Source!AV407)*Source!I407, 2), 2)</f>
        <v>686.95</v>
      </c>
      <c r="T640">
        <f>Source!Y407</f>
        <v>686.95</v>
      </c>
      <c r="U640">
        <f>ROUND((175/100)*ROUND((Source!AE407*Source!AV407)*Source!I407, 2), 2)</f>
        <v>3.57</v>
      </c>
      <c r="V640">
        <f>ROUND((108/100)*ROUND(Source!CS407*Source!I407, 2), 2)</f>
        <v>2.2000000000000002</v>
      </c>
    </row>
    <row r="641" spans="1:22" x14ac:dyDescent="0.2">
      <c r="C641" s="48" t="str">
        <f>"Объем: "&amp;Source!I407&amp;"=3/"&amp;"100"</f>
        <v>Объем: 0,03=3/100</v>
      </c>
    </row>
    <row r="642" spans="1:22" ht="14.25" x14ac:dyDescent="0.2">
      <c r="A642" s="34"/>
      <c r="B642" s="35"/>
      <c r="C642" s="35" t="s">
        <v>547</v>
      </c>
      <c r="D642" s="36"/>
      <c r="E642" s="9"/>
      <c r="F642" s="38">
        <f>Source!AO407</f>
        <v>228982.53</v>
      </c>
      <c r="G642" s="37" t="str">
        <f>Source!DG407</f>
        <v/>
      </c>
      <c r="H642" s="9">
        <f>Source!AV407</f>
        <v>1</v>
      </c>
      <c r="I642" s="9">
        <f>IF(Source!BA407&lt;&gt; 0, Source!BA407, 1)</f>
        <v>1</v>
      </c>
      <c r="J642" s="39">
        <f>Source!S407</f>
        <v>6869.48</v>
      </c>
      <c r="K642" s="39"/>
    </row>
    <row r="643" spans="1:22" ht="14.25" x14ac:dyDescent="0.2">
      <c r="A643" s="34"/>
      <c r="B643" s="35"/>
      <c r="C643" s="35" t="s">
        <v>548</v>
      </c>
      <c r="D643" s="36"/>
      <c r="E643" s="9"/>
      <c r="F643" s="38">
        <f>Source!AM407</f>
        <v>544.27</v>
      </c>
      <c r="G643" s="37" t="str">
        <f>Source!DE407</f>
        <v/>
      </c>
      <c r="H643" s="9">
        <f>Source!AV407</f>
        <v>1</v>
      </c>
      <c r="I643" s="9">
        <f>IF(Source!BB407&lt;&gt; 0, Source!BB407, 1)</f>
        <v>1</v>
      </c>
      <c r="J643" s="39">
        <f>Source!Q407</f>
        <v>16.329999999999998</v>
      </c>
      <c r="K643" s="39"/>
    </row>
    <row r="644" spans="1:22" ht="14.25" x14ac:dyDescent="0.2">
      <c r="A644" s="34"/>
      <c r="B644" s="35"/>
      <c r="C644" s="35" t="s">
        <v>549</v>
      </c>
      <c r="D644" s="36"/>
      <c r="E644" s="9"/>
      <c r="F644" s="38">
        <f>Source!AN407</f>
        <v>67.94</v>
      </c>
      <c r="G644" s="37" t="str">
        <f>Source!DF407</f>
        <v/>
      </c>
      <c r="H644" s="9">
        <f>Source!AV407</f>
        <v>1</v>
      </c>
      <c r="I644" s="9">
        <f>IF(Source!BS407&lt;&gt; 0, Source!BS407, 1)</f>
        <v>1</v>
      </c>
      <c r="J644" s="40">
        <f>Source!R407</f>
        <v>2.04</v>
      </c>
      <c r="K644" s="39"/>
    </row>
    <row r="645" spans="1:22" ht="14.25" x14ac:dyDescent="0.2">
      <c r="A645" s="34"/>
      <c r="B645" s="35"/>
      <c r="C645" s="35" t="s">
        <v>556</v>
      </c>
      <c r="D645" s="36"/>
      <c r="E645" s="9"/>
      <c r="F645" s="38">
        <f>Source!AL407</f>
        <v>17852.89</v>
      </c>
      <c r="G645" s="37" t="str">
        <f>Source!DD407</f>
        <v/>
      </c>
      <c r="H645" s="9">
        <f>Source!AW407</f>
        <v>1</v>
      </c>
      <c r="I645" s="9">
        <f>IF(Source!BC407&lt;&gt; 0, Source!BC407, 1)</f>
        <v>1</v>
      </c>
      <c r="J645" s="39">
        <f>Source!P407</f>
        <v>535.59</v>
      </c>
      <c r="K645" s="39"/>
    </row>
    <row r="646" spans="1:22" ht="28.5" x14ac:dyDescent="0.2">
      <c r="A646" s="34" t="str">
        <f>Source!E408</f>
        <v>59,1</v>
      </c>
      <c r="B646" s="35" t="str">
        <f>Source!F408</f>
        <v>21.1-5-5</v>
      </c>
      <c r="C646" s="35" t="str">
        <f>Source!G408</f>
        <v>Кирпич керамический обыкновенный, размер 250х120х65 мм, марка 100</v>
      </c>
      <c r="D646" s="36" t="str">
        <f>Source!H408</f>
        <v>1000 шт.</v>
      </c>
      <c r="E646" s="9">
        <f>Source!I408</f>
        <v>-1.1100000000000001E-3</v>
      </c>
      <c r="F646" s="38">
        <f>Source!AK408</f>
        <v>10419.43</v>
      </c>
      <c r="G646" s="49" t="s">
        <v>3</v>
      </c>
      <c r="H646" s="9">
        <f>Source!AW408</f>
        <v>1</v>
      </c>
      <c r="I646" s="9">
        <f>IF(Source!BC408&lt;&gt; 0, Source!BC408, 1)</f>
        <v>1</v>
      </c>
      <c r="J646" s="39">
        <f>Source!O408</f>
        <v>-11.57</v>
      </c>
      <c r="K646" s="39"/>
      <c r="Q646">
        <f>ROUND((Source!BZ408/100)*ROUND((Source!AF408*Source!AV408)*Source!I408, 2), 2)</f>
        <v>0</v>
      </c>
      <c r="R646">
        <f>Source!X408</f>
        <v>0</v>
      </c>
      <c r="S646">
        <f>ROUND((Source!CA408/100)*ROUND((Source!AF408*Source!AV408)*Source!I408, 2), 2)</f>
        <v>0</v>
      </c>
      <c r="T646">
        <f>Source!Y408</f>
        <v>0</v>
      </c>
      <c r="U646">
        <f>ROUND((175/100)*ROUND((Source!AE408*Source!AV408)*Source!I408, 2), 2)</f>
        <v>0</v>
      </c>
      <c r="V646">
        <f>ROUND((108/100)*ROUND(Source!CS408*Source!I408, 2), 2)</f>
        <v>0</v>
      </c>
    </row>
    <row r="647" spans="1:22" ht="14.25" x14ac:dyDescent="0.2">
      <c r="A647" s="34" t="str">
        <f>Source!E409</f>
        <v>59,2</v>
      </c>
      <c r="B647" s="35" t="str">
        <f>Source!F409</f>
        <v>22.1-6-52</v>
      </c>
      <c r="C647" s="35" t="str">
        <f>Source!G409</f>
        <v>Вибраторы глубинные</v>
      </c>
      <c r="D647" s="36" t="str">
        <f>Source!H409</f>
        <v>маш.-ч</v>
      </c>
      <c r="E647" s="9">
        <f>Source!I409</f>
        <v>-0.16320000000000001</v>
      </c>
      <c r="F647" s="38">
        <f>Source!AK409</f>
        <v>10.82</v>
      </c>
      <c r="G647" s="49" t="s">
        <v>3</v>
      </c>
      <c r="H647" s="9">
        <f>Source!AV409</f>
        <v>1</v>
      </c>
      <c r="I647" s="9">
        <f>IF(Source!BB409&lt;&gt; 0, Source!BB409, 1)</f>
        <v>1</v>
      </c>
      <c r="J647" s="39">
        <f>Source!O409</f>
        <v>-1.77</v>
      </c>
      <c r="K647" s="39"/>
      <c r="Q647">
        <f>ROUND((Source!BZ409/100)*ROUND((Source!AF409*Source!AV409)*Source!I409, 2), 2)</f>
        <v>0</v>
      </c>
      <c r="R647">
        <f>Source!X409</f>
        <v>0</v>
      </c>
      <c r="S647">
        <f>ROUND((Source!CA409/100)*ROUND((Source!AF409*Source!AV409)*Source!I409, 2), 2)</f>
        <v>0</v>
      </c>
      <c r="T647">
        <f>Source!Y409</f>
        <v>0</v>
      </c>
      <c r="U647">
        <f>ROUND((175/100)*ROUND((Source!AE409*Source!AV409)*Source!I409, 2), 2)</f>
        <v>-0.84</v>
      </c>
      <c r="V647">
        <f>ROUND((108/100)*ROUND(Source!CS409*Source!I409, 2), 2)</f>
        <v>-0.52</v>
      </c>
    </row>
    <row r="648" spans="1:22" ht="28.5" x14ac:dyDescent="0.2">
      <c r="A648" s="34" t="str">
        <f>Source!E410</f>
        <v>59,3</v>
      </c>
      <c r="B648" s="35" t="str">
        <f>Source!F410</f>
        <v>22.1-13-14</v>
      </c>
      <c r="C648" s="35" t="str">
        <f>Source!G410</f>
        <v>Установки для сварки ручной дуговой (постоянного тока)</v>
      </c>
      <c r="D648" s="36" t="str">
        <f>Source!H410</f>
        <v>маш.-ч</v>
      </c>
      <c r="E648" s="9">
        <f>Source!I410</f>
        <v>-0.435</v>
      </c>
      <c r="F648" s="38">
        <f>Source!AK410</f>
        <v>27.21</v>
      </c>
      <c r="G648" s="49" t="s">
        <v>3</v>
      </c>
      <c r="H648" s="9">
        <f>Source!AV410</f>
        <v>1</v>
      </c>
      <c r="I648" s="9">
        <f>IF(Source!BB410&lt;&gt; 0, Source!BB410, 1)</f>
        <v>1</v>
      </c>
      <c r="J648" s="39">
        <f>Source!O410</f>
        <v>-11.84</v>
      </c>
      <c r="K648" s="39"/>
      <c r="Q648">
        <f>ROUND((Source!BZ410/100)*ROUND((Source!AF410*Source!AV410)*Source!I410, 2), 2)</f>
        <v>0</v>
      </c>
      <c r="R648">
        <f>Source!X410</f>
        <v>0</v>
      </c>
      <c r="S648">
        <f>ROUND((Source!CA410/100)*ROUND((Source!AF410*Source!AV410)*Source!I410, 2), 2)</f>
        <v>0</v>
      </c>
      <c r="T648">
        <f>Source!Y410</f>
        <v>0</v>
      </c>
      <c r="U648">
        <f>ROUND((175/100)*ROUND((Source!AE410*Source!AV410)*Source!I410, 2), 2)</f>
        <v>-0.11</v>
      </c>
      <c r="V648">
        <f>ROUND((108/100)*ROUND(Source!CS410*Source!I410, 2), 2)</f>
        <v>-0.06</v>
      </c>
    </row>
    <row r="649" spans="1:22" ht="42.75" x14ac:dyDescent="0.2">
      <c r="A649" s="34" t="str">
        <f>Source!E411</f>
        <v>59,4</v>
      </c>
      <c r="B649" s="35" t="str">
        <f>Source!F411</f>
        <v>22.1-1-1</v>
      </c>
      <c r="C649" s="35" t="str">
        <f>Source!G411</f>
        <v>Экскаваторы на гусеничном ходу гидравлические, объем ковша до 0,25 м3</v>
      </c>
      <c r="D649" s="36" t="str">
        <f>Source!H411</f>
        <v>маш.-ч</v>
      </c>
      <c r="E649" s="9">
        <f>Source!I411</f>
        <v>-2.7000000000000001E-3</v>
      </c>
      <c r="F649" s="38">
        <f>Source!AK411</f>
        <v>1009.65</v>
      </c>
      <c r="G649" s="49" t="s">
        <v>3</v>
      </c>
      <c r="H649" s="9">
        <f>Source!AV411</f>
        <v>1</v>
      </c>
      <c r="I649" s="9">
        <f>IF(Source!BB411&lt;&gt; 0, Source!BB411, 1)</f>
        <v>1</v>
      </c>
      <c r="J649" s="39">
        <f>Source!O411</f>
        <v>-2.73</v>
      </c>
      <c r="K649" s="39"/>
      <c r="Q649">
        <f>ROUND((Source!BZ411/100)*ROUND((Source!AF411*Source!AV411)*Source!I411, 2), 2)</f>
        <v>0</v>
      </c>
      <c r="R649">
        <f>Source!X411</f>
        <v>0</v>
      </c>
      <c r="S649">
        <f>ROUND((Source!CA411/100)*ROUND((Source!AF411*Source!AV411)*Source!I411, 2), 2)</f>
        <v>0</v>
      </c>
      <c r="T649">
        <f>Source!Y411</f>
        <v>0</v>
      </c>
      <c r="U649">
        <f>ROUND((175/100)*ROUND((Source!AE411*Source!AV411)*Source!I411, 2), 2)</f>
        <v>-2.63</v>
      </c>
      <c r="V649">
        <f>ROUND((108/100)*ROUND(Source!CS411*Source!I411, 2), 2)</f>
        <v>-1.62</v>
      </c>
    </row>
    <row r="650" spans="1:22" ht="42.75" x14ac:dyDescent="0.2">
      <c r="A650" s="34" t="str">
        <f>Source!E412</f>
        <v>59,5</v>
      </c>
      <c r="B650" s="35" t="str">
        <f>Source!F412</f>
        <v>21.3-1-2</v>
      </c>
      <c r="C650" s="35" t="str">
        <f>Source!G412</f>
        <v>Смеси бетонные, БСГ, песчаного бетона на обогащенном песке, класс прочности: В12,5 (М150)</v>
      </c>
      <c r="D650" s="36" t="str">
        <f>Source!H412</f>
        <v>м3</v>
      </c>
      <c r="E650" s="9">
        <f>Source!I412</f>
        <v>-0.15</v>
      </c>
      <c r="F650" s="38">
        <f>Source!AK412</f>
        <v>3040.38</v>
      </c>
      <c r="G650" s="49" t="s">
        <v>3</v>
      </c>
      <c r="H650" s="9">
        <f>Source!AW412</f>
        <v>1</v>
      </c>
      <c r="I650" s="9">
        <f>IF(Source!BC412&lt;&gt; 0, Source!BC412, 1)</f>
        <v>1</v>
      </c>
      <c r="J650" s="39">
        <f>Source!O412</f>
        <v>-456.06</v>
      </c>
      <c r="K650" s="39"/>
      <c r="Q650">
        <f>ROUND((Source!BZ412/100)*ROUND((Source!AF412*Source!AV412)*Source!I412, 2), 2)</f>
        <v>0</v>
      </c>
      <c r="R650">
        <f>Source!X412</f>
        <v>0</v>
      </c>
      <c r="S650">
        <f>ROUND((Source!CA412/100)*ROUND((Source!AF412*Source!AV412)*Source!I412, 2), 2)</f>
        <v>0</v>
      </c>
      <c r="T650">
        <f>Source!Y412</f>
        <v>0</v>
      </c>
      <c r="U650">
        <f>ROUND((175/100)*ROUND((Source!AE412*Source!AV412)*Source!I412, 2), 2)</f>
        <v>0</v>
      </c>
      <c r="V650">
        <f>ROUND((108/100)*ROUND(Source!CS412*Source!I412, 2), 2)</f>
        <v>0</v>
      </c>
    </row>
    <row r="651" spans="1:22" ht="28.5" x14ac:dyDescent="0.2">
      <c r="A651" s="34" t="str">
        <f>Source!E413</f>
        <v>59,6</v>
      </c>
      <c r="B651" s="35" t="str">
        <f>Source!F413</f>
        <v>21.1-23-9</v>
      </c>
      <c r="C651" s="35" t="str">
        <f>Source!G413</f>
        <v>Электроды, тип Э-42, 46, 50, диаметр 4 - 6 мм</v>
      </c>
      <c r="D651" s="36" t="str">
        <f>Source!H413</f>
        <v>т</v>
      </c>
      <c r="E651" s="9">
        <f>Source!I413</f>
        <v>-5.9999999999999995E-4</v>
      </c>
      <c r="F651" s="38">
        <f>Source!AK413</f>
        <v>110781.14</v>
      </c>
      <c r="G651" s="49" t="s">
        <v>3</v>
      </c>
      <c r="H651" s="9">
        <f>Source!AW413</f>
        <v>1</v>
      </c>
      <c r="I651" s="9">
        <f>IF(Source!BC413&lt;&gt; 0, Source!BC413, 1)</f>
        <v>1</v>
      </c>
      <c r="J651" s="39">
        <f>Source!O413</f>
        <v>-66.47</v>
      </c>
      <c r="K651" s="39"/>
      <c r="Q651">
        <f>ROUND((Source!BZ413/100)*ROUND((Source!AF413*Source!AV413)*Source!I413, 2), 2)</f>
        <v>0</v>
      </c>
      <c r="R651">
        <f>Source!X413</f>
        <v>0</v>
      </c>
      <c r="S651">
        <f>ROUND((Source!CA413/100)*ROUND((Source!AF413*Source!AV413)*Source!I413, 2), 2)</f>
        <v>0</v>
      </c>
      <c r="T651">
        <f>Source!Y413</f>
        <v>0</v>
      </c>
      <c r="U651">
        <f>ROUND((175/100)*ROUND((Source!AE413*Source!AV413)*Source!I413, 2), 2)</f>
        <v>0</v>
      </c>
      <c r="V651">
        <f>ROUND((108/100)*ROUND(Source!CS413*Source!I413, 2), 2)</f>
        <v>0</v>
      </c>
    </row>
    <row r="652" spans="1:22" ht="111" x14ac:dyDescent="0.2">
      <c r="A652" s="34" t="str">
        <f>Source!E414</f>
        <v>59,7</v>
      </c>
      <c r="B652" s="35" t="str">
        <f>Source!F414</f>
        <v>по цене поставщика</v>
      </c>
      <c r="C652" s="35" t="s">
        <v>565</v>
      </c>
      <c r="D652" s="36" t="str">
        <f>Source!H414</f>
        <v>шт.</v>
      </c>
      <c r="E652" s="9">
        <f>Source!I414</f>
        <v>1</v>
      </c>
      <c r="F652" s="38">
        <f>Source!AK414</f>
        <v>56666.67</v>
      </c>
      <c r="G652" s="49" t="s">
        <v>3</v>
      </c>
      <c r="H652" s="9">
        <f>Source!AW414</f>
        <v>1</v>
      </c>
      <c r="I652" s="9">
        <f>IF(Source!BC414&lt;&gt; 0, Source!BC414, 1)</f>
        <v>1</v>
      </c>
      <c r="J652" s="39">
        <f>Source!O414</f>
        <v>56666.67</v>
      </c>
      <c r="K652" s="39"/>
      <c r="Q652">
        <f>ROUND((Source!BZ414/100)*ROUND((Source!AF414*Source!AV414)*Source!I414, 2), 2)</f>
        <v>0</v>
      </c>
      <c r="R652">
        <f>Source!X414</f>
        <v>0</v>
      </c>
      <c r="S652">
        <f>ROUND((Source!CA414/100)*ROUND((Source!AF414*Source!AV414)*Source!I414, 2), 2)</f>
        <v>0</v>
      </c>
      <c r="T652">
        <f>Source!Y414</f>
        <v>0</v>
      </c>
      <c r="U652">
        <f>ROUND((175/100)*ROUND((Source!AE414*Source!AV414)*Source!I414, 2), 2)</f>
        <v>0</v>
      </c>
      <c r="V652">
        <f>ROUND((108/100)*ROUND(Source!CS414*Source!I414, 2), 2)</f>
        <v>0</v>
      </c>
    </row>
    <row r="653" spans="1:22" ht="111" x14ac:dyDescent="0.2">
      <c r="A653" s="34" t="str">
        <f>Source!E415</f>
        <v>59,8</v>
      </c>
      <c r="B653" s="35" t="str">
        <f>Source!F415</f>
        <v>по цене поставщика</v>
      </c>
      <c r="C653" s="35" t="s">
        <v>559</v>
      </c>
      <c r="D653" s="36" t="str">
        <f>Source!H415</f>
        <v>шт.</v>
      </c>
      <c r="E653" s="9">
        <f>Source!I415</f>
        <v>1</v>
      </c>
      <c r="F653" s="38">
        <f>Source!AK415</f>
        <v>62333.33</v>
      </c>
      <c r="G653" s="49" t="s">
        <v>3</v>
      </c>
      <c r="H653" s="9">
        <f>Source!AW415</f>
        <v>1</v>
      </c>
      <c r="I653" s="9">
        <f>IF(Source!BC415&lt;&gt; 0, Source!BC415, 1)</f>
        <v>1</v>
      </c>
      <c r="J653" s="39">
        <f>Source!O415</f>
        <v>62333.33</v>
      </c>
      <c r="K653" s="39"/>
      <c r="Q653">
        <f>ROUND((Source!BZ415/100)*ROUND((Source!AF415*Source!AV415)*Source!I415, 2), 2)</f>
        <v>0</v>
      </c>
      <c r="R653">
        <f>Source!X415</f>
        <v>0</v>
      </c>
      <c r="S653">
        <f>ROUND((Source!CA415/100)*ROUND((Source!AF415*Source!AV415)*Source!I415, 2), 2)</f>
        <v>0</v>
      </c>
      <c r="T653">
        <f>Source!Y415</f>
        <v>0</v>
      </c>
      <c r="U653">
        <f>ROUND((175/100)*ROUND((Source!AE415*Source!AV415)*Source!I415, 2), 2)</f>
        <v>0</v>
      </c>
      <c r="V653">
        <f>ROUND((108/100)*ROUND(Source!CS415*Source!I415, 2), 2)</f>
        <v>0</v>
      </c>
    </row>
    <row r="654" spans="1:22" ht="68.25" x14ac:dyDescent="0.2">
      <c r="A654" s="34" t="str">
        <f>Source!E416</f>
        <v>59,9</v>
      </c>
      <c r="B654" s="35" t="str">
        <f>Source!F416</f>
        <v>по цене поставщика</v>
      </c>
      <c r="C654" s="35" t="s">
        <v>560</v>
      </c>
      <c r="D654" s="36" t="str">
        <f>Source!H416</f>
        <v>шт.</v>
      </c>
      <c r="E654" s="9">
        <f>Source!I416</f>
        <v>1</v>
      </c>
      <c r="F654" s="38">
        <f>Source!AK416</f>
        <v>12391.67</v>
      </c>
      <c r="G654" s="49" t="s">
        <v>3</v>
      </c>
      <c r="H654" s="9">
        <f>Source!AW416</f>
        <v>1</v>
      </c>
      <c r="I654" s="9">
        <f>IF(Source!BC416&lt;&gt; 0, Source!BC416, 1)</f>
        <v>1</v>
      </c>
      <c r="J654" s="39">
        <f>Source!O416</f>
        <v>12391.67</v>
      </c>
      <c r="K654" s="39"/>
      <c r="Q654">
        <f>ROUND((Source!BZ416/100)*ROUND((Source!AF416*Source!AV416)*Source!I416, 2), 2)</f>
        <v>0</v>
      </c>
      <c r="R654">
        <f>Source!X416</f>
        <v>0</v>
      </c>
      <c r="S654">
        <f>ROUND((Source!CA416/100)*ROUND((Source!AF416*Source!AV416)*Source!I416, 2), 2)</f>
        <v>0</v>
      </c>
      <c r="T654">
        <f>Source!Y416</f>
        <v>0</v>
      </c>
      <c r="U654">
        <f>ROUND((175/100)*ROUND((Source!AE416*Source!AV416)*Source!I416, 2), 2)</f>
        <v>0</v>
      </c>
      <c r="V654">
        <f>ROUND((108/100)*ROUND(Source!CS416*Source!I416, 2), 2)</f>
        <v>0</v>
      </c>
    </row>
    <row r="655" spans="1:22" ht="14.25" x14ac:dyDescent="0.2">
      <c r="A655" s="34"/>
      <c r="B655" s="35"/>
      <c r="C655" s="35" t="s">
        <v>550</v>
      </c>
      <c r="D655" s="36" t="s">
        <v>551</v>
      </c>
      <c r="E655" s="9">
        <f>Source!AT407</f>
        <v>70</v>
      </c>
      <c r="F655" s="38"/>
      <c r="G655" s="37"/>
      <c r="H655" s="9"/>
      <c r="I655" s="9"/>
      <c r="J655" s="39">
        <f>SUM(R640:R654)</f>
        <v>4808.6400000000003</v>
      </c>
      <c r="K655" s="39"/>
    </row>
    <row r="656" spans="1:22" ht="14.25" x14ac:dyDescent="0.2">
      <c r="A656" s="34"/>
      <c r="B656" s="35"/>
      <c r="C656" s="35" t="s">
        <v>552</v>
      </c>
      <c r="D656" s="36" t="s">
        <v>551</v>
      </c>
      <c r="E656" s="9">
        <f>Source!AU407</f>
        <v>10</v>
      </c>
      <c r="F656" s="38"/>
      <c r="G656" s="37"/>
      <c r="H656" s="9"/>
      <c r="I656" s="9"/>
      <c r="J656" s="39">
        <f>SUM(T640:T655)</f>
        <v>686.95</v>
      </c>
      <c r="K656" s="39"/>
    </row>
    <row r="657" spans="1:22" ht="14.25" x14ac:dyDescent="0.2">
      <c r="A657" s="34"/>
      <c r="B657" s="35"/>
      <c r="C657" s="35" t="s">
        <v>553</v>
      </c>
      <c r="D657" s="36" t="s">
        <v>551</v>
      </c>
      <c r="E657" s="9">
        <f>108</f>
        <v>108</v>
      </c>
      <c r="F657" s="38"/>
      <c r="G657" s="37"/>
      <c r="H657" s="9"/>
      <c r="I657" s="9"/>
      <c r="J657" s="39">
        <f>SUM(V640:V656)</f>
        <v>0</v>
      </c>
      <c r="K657" s="39"/>
    </row>
    <row r="658" spans="1:22" ht="14.25" x14ac:dyDescent="0.2">
      <c r="A658" s="34"/>
      <c r="B658" s="35"/>
      <c r="C658" s="35" t="s">
        <v>554</v>
      </c>
      <c r="D658" s="36" t="s">
        <v>555</v>
      </c>
      <c r="E658" s="9">
        <f>Source!AQ407</f>
        <v>902.75</v>
      </c>
      <c r="F658" s="38"/>
      <c r="G658" s="37" t="str">
        <f>Source!DI407</f>
        <v/>
      </c>
      <c r="H658" s="9">
        <f>Source!AV407</f>
        <v>1</v>
      </c>
      <c r="I658" s="9"/>
      <c r="J658" s="39"/>
      <c r="K658" s="39">
        <f>Source!U407</f>
        <v>27.0825</v>
      </c>
    </row>
    <row r="659" spans="1:22" ht="15" x14ac:dyDescent="0.25">
      <c r="A659" s="45"/>
      <c r="B659" s="45"/>
      <c r="C659" s="45"/>
      <c r="D659" s="45"/>
      <c r="E659" s="45"/>
      <c r="F659" s="45"/>
      <c r="G659" s="45"/>
      <c r="H659" s="45"/>
      <c r="I659" s="46">
        <f>J642+J643+J645+J655+J656+J657+SUM(J646:J654)</f>
        <v>143758.22</v>
      </c>
      <c r="J659" s="46"/>
      <c r="K659" s="47">
        <f>IF(Source!I407&lt;&gt;0, ROUND(I659/Source!I407, 2), 0)</f>
        <v>4791940.67</v>
      </c>
      <c r="P659" s="41">
        <f>I659</f>
        <v>143758.22</v>
      </c>
    </row>
    <row r="661" spans="1:22" ht="15" x14ac:dyDescent="0.25">
      <c r="A661" s="52" t="str">
        <f>CONCATENATE("Итого по подразделу: ",IF(Source!G418&lt;&gt;"Новый подраздел", Source!G418, ""))</f>
        <v>Итого по подразделу: Установка МАФов площадка группы № 7</v>
      </c>
      <c r="B661" s="52"/>
      <c r="C661" s="52"/>
      <c r="D661" s="52"/>
      <c r="E661" s="52"/>
      <c r="F661" s="52"/>
      <c r="G661" s="52"/>
      <c r="H661" s="52"/>
      <c r="I661" s="43">
        <f>SUM(P639:P660)</f>
        <v>143758.22</v>
      </c>
      <c r="J661" s="51"/>
      <c r="K661" s="50"/>
    </row>
    <row r="664" spans="1:22" ht="16.5" x14ac:dyDescent="0.25">
      <c r="A664" s="33" t="str">
        <f>CONCATENATE("Подраздел: ",IF(Source!G448&lt;&gt;"Новый подраздел", Source!G448, ""))</f>
        <v>Подраздел: Установка МАФов площадка № 9</v>
      </c>
      <c r="B664" s="33"/>
      <c r="C664" s="33"/>
      <c r="D664" s="33"/>
      <c r="E664" s="33"/>
      <c r="F664" s="33"/>
      <c r="G664" s="33"/>
      <c r="H664" s="33"/>
      <c r="I664" s="33"/>
      <c r="J664" s="33"/>
      <c r="K664" s="33"/>
    </row>
    <row r="665" spans="1:22" ht="71.25" x14ac:dyDescent="0.2">
      <c r="A665" s="34" t="str">
        <f>Source!E452</f>
        <v>60</v>
      </c>
      <c r="B665" s="35" t="str">
        <f>Source!F452</f>
        <v>5.3-3203-7-5/1</v>
      </c>
      <c r="C665" s="35" t="str">
        <f>Source!G452</f>
        <v>Устройство калиток с установкой столбов металлических (без стоимости металлических изделий полотен калиток и стоек опорных) (установка МАФов)</v>
      </c>
      <c r="D665" s="36" t="str">
        <f>Source!H452</f>
        <v>100 шт.</v>
      </c>
      <c r="E665" s="9">
        <f>Source!I452</f>
        <v>0.04</v>
      </c>
      <c r="F665" s="38"/>
      <c r="G665" s="37"/>
      <c r="H665" s="9"/>
      <c r="I665" s="9"/>
      <c r="J665" s="39"/>
      <c r="K665" s="39"/>
      <c r="Q665">
        <f>ROUND((Source!BZ452/100)*ROUND((Source!AF452*Source!AV452)*Source!I452, 2), 2)</f>
        <v>6411.51</v>
      </c>
      <c r="R665">
        <f>Source!X452</f>
        <v>6411.51</v>
      </c>
      <c r="S665">
        <f>ROUND((Source!CA452/100)*ROUND((Source!AF452*Source!AV452)*Source!I452, 2), 2)</f>
        <v>915.93</v>
      </c>
      <c r="T665">
        <f>Source!Y452</f>
        <v>915.93</v>
      </c>
      <c r="U665">
        <f>ROUND((175/100)*ROUND((Source!AE452*Source!AV452)*Source!I452, 2), 2)</f>
        <v>4.76</v>
      </c>
      <c r="V665">
        <f>ROUND((108/100)*ROUND(Source!CS452*Source!I452, 2), 2)</f>
        <v>2.94</v>
      </c>
    </row>
    <row r="666" spans="1:22" x14ac:dyDescent="0.2">
      <c r="C666" s="48" t="str">
        <f>"Объем: "&amp;Source!I452&amp;"=4/"&amp;"100"</f>
        <v>Объем: 0,04=4/100</v>
      </c>
    </row>
    <row r="667" spans="1:22" ht="14.25" x14ac:dyDescent="0.2">
      <c r="A667" s="34"/>
      <c r="B667" s="35"/>
      <c r="C667" s="35" t="s">
        <v>547</v>
      </c>
      <c r="D667" s="36"/>
      <c r="E667" s="9"/>
      <c r="F667" s="38">
        <f>Source!AO452</f>
        <v>228982.53</v>
      </c>
      <c r="G667" s="37" t="str">
        <f>Source!DG452</f>
        <v/>
      </c>
      <c r="H667" s="9">
        <f>Source!AV452</f>
        <v>1</v>
      </c>
      <c r="I667" s="9">
        <f>IF(Source!BA452&lt;&gt; 0, Source!BA452, 1)</f>
        <v>1</v>
      </c>
      <c r="J667" s="39">
        <f>Source!S452</f>
        <v>9159.2999999999993</v>
      </c>
      <c r="K667" s="39"/>
    </row>
    <row r="668" spans="1:22" ht="14.25" x14ac:dyDescent="0.2">
      <c r="A668" s="34"/>
      <c r="B668" s="35"/>
      <c r="C668" s="35" t="s">
        <v>548</v>
      </c>
      <c r="D668" s="36"/>
      <c r="E668" s="9"/>
      <c r="F668" s="38">
        <f>Source!AM452</f>
        <v>544.27</v>
      </c>
      <c r="G668" s="37" t="str">
        <f>Source!DE452</f>
        <v/>
      </c>
      <c r="H668" s="9">
        <f>Source!AV452</f>
        <v>1</v>
      </c>
      <c r="I668" s="9">
        <f>IF(Source!BB452&lt;&gt; 0, Source!BB452, 1)</f>
        <v>1</v>
      </c>
      <c r="J668" s="39">
        <f>Source!Q452</f>
        <v>21.77</v>
      </c>
      <c r="K668" s="39"/>
    </row>
    <row r="669" spans="1:22" ht="14.25" x14ac:dyDescent="0.2">
      <c r="A669" s="34"/>
      <c r="B669" s="35"/>
      <c r="C669" s="35" t="s">
        <v>549</v>
      </c>
      <c r="D669" s="36"/>
      <c r="E669" s="9"/>
      <c r="F669" s="38">
        <f>Source!AN452</f>
        <v>67.94</v>
      </c>
      <c r="G669" s="37" t="str">
        <f>Source!DF452</f>
        <v/>
      </c>
      <c r="H669" s="9">
        <f>Source!AV452</f>
        <v>1</v>
      </c>
      <c r="I669" s="9">
        <f>IF(Source!BS452&lt;&gt; 0, Source!BS452, 1)</f>
        <v>1</v>
      </c>
      <c r="J669" s="40">
        <f>Source!R452</f>
        <v>2.72</v>
      </c>
      <c r="K669" s="39"/>
    </row>
    <row r="670" spans="1:22" ht="14.25" x14ac:dyDescent="0.2">
      <c r="A670" s="34"/>
      <c r="B670" s="35"/>
      <c r="C670" s="35" t="s">
        <v>556</v>
      </c>
      <c r="D670" s="36"/>
      <c r="E670" s="9"/>
      <c r="F670" s="38">
        <f>Source!AL452</f>
        <v>17852.89</v>
      </c>
      <c r="G670" s="37" t="str">
        <f>Source!DD452</f>
        <v/>
      </c>
      <c r="H670" s="9">
        <f>Source!AW452</f>
        <v>1</v>
      </c>
      <c r="I670" s="9">
        <f>IF(Source!BC452&lt;&gt; 0, Source!BC452, 1)</f>
        <v>1</v>
      </c>
      <c r="J670" s="39">
        <f>Source!P452</f>
        <v>714.12</v>
      </c>
      <c r="K670" s="39"/>
    </row>
    <row r="671" spans="1:22" ht="28.5" x14ac:dyDescent="0.2">
      <c r="A671" s="34" t="str">
        <f>Source!E453</f>
        <v>60,1</v>
      </c>
      <c r="B671" s="35" t="str">
        <f>Source!F453</f>
        <v>21.1-5-5</v>
      </c>
      <c r="C671" s="35" t="str">
        <f>Source!G453</f>
        <v>Кирпич керамический обыкновенный, размер 250х120х65 мм, марка 100</v>
      </c>
      <c r="D671" s="36" t="str">
        <f>Source!H453</f>
        <v>1000 шт.</v>
      </c>
      <c r="E671" s="9">
        <f>Source!I453</f>
        <v>-1.48E-3</v>
      </c>
      <c r="F671" s="38">
        <f>Source!AK453</f>
        <v>10419.43</v>
      </c>
      <c r="G671" s="49" t="s">
        <v>3</v>
      </c>
      <c r="H671" s="9">
        <f>Source!AW453</f>
        <v>1</v>
      </c>
      <c r="I671" s="9">
        <f>IF(Source!BC453&lt;&gt; 0, Source!BC453, 1)</f>
        <v>1</v>
      </c>
      <c r="J671" s="39">
        <f>Source!O453</f>
        <v>-15.42</v>
      </c>
      <c r="K671" s="39"/>
      <c r="Q671">
        <f>ROUND((Source!BZ453/100)*ROUND((Source!AF453*Source!AV453)*Source!I453, 2), 2)</f>
        <v>0</v>
      </c>
      <c r="R671">
        <f>Source!X453</f>
        <v>0</v>
      </c>
      <c r="S671">
        <f>ROUND((Source!CA453/100)*ROUND((Source!AF453*Source!AV453)*Source!I453, 2), 2)</f>
        <v>0</v>
      </c>
      <c r="T671">
        <f>Source!Y453</f>
        <v>0</v>
      </c>
      <c r="U671">
        <f>ROUND((175/100)*ROUND((Source!AE453*Source!AV453)*Source!I453, 2), 2)</f>
        <v>0</v>
      </c>
      <c r="V671">
        <f>ROUND((108/100)*ROUND(Source!CS453*Source!I453, 2), 2)</f>
        <v>0</v>
      </c>
    </row>
    <row r="672" spans="1:22" ht="14.25" x14ac:dyDescent="0.2">
      <c r="A672" s="34" t="str">
        <f>Source!E454</f>
        <v>60,2</v>
      </c>
      <c r="B672" s="35" t="str">
        <f>Source!F454</f>
        <v>22.1-6-52</v>
      </c>
      <c r="C672" s="35" t="str">
        <f>Source!G454</f>
        <v>Вибраторы глубинные</v>
      </c>
      <c r="D672" s="36" t="str">
        <f>Source!H454</f>
        <v>маш.-ч</v>
      </c>
      <c r="E672" s="9">
        <f>Source!I454</f>
        <v>-0.21759999999999999</v>
      </c>
      <c r="F672" s="38">
        <f>Source!AK454</f>
        <v>10.82</v>
      </c>
      <c r="G672" s="49" t="s">
        <v>3</v>
      </c>
      <c r="H672" s="9">
        <f>Source!AV454</f>
        <v>1</v>
      </c>
      <c r="I672" s="9">
        <f>IF(Source!BB454&lt;&gt; 0, Source!BB454, 1)</f>
        <v>1</v>
      </c>
      <c r="J672" s="39">
        <f>Source!O454</f>
        <v>-2.35</v>
      </c>
      <c r="K672" s="39"/>
      <c r="Q672">
        <f>ROUND((Source!BZ454/100)*ROUND((Source!AF454*Source!AV454)*Source!I454, 2), 2)</f>
        <v>0</v>
      </c>
      <c r="R672">
        <f>Source!X454</f>
        <v>0</v>
      </c>
      <c r="S672">
        <f>ROUND((Source!CA454/100)*ROUND((Source!AF454*Source!AV454)*Source!I454, 2), 2)</f>
        <v>0</v>
      </c>
      <c r="T672">
        <f>Source!Y454</f>
        <v>0</v>
      </c>
      <c r="U672">
        <f>ROUND((175/100)*ROUND((Source!AE454*Source!AV454)*Source!I454, 2), 2)</f>
        <v>-1.1399999999999999</v>
      </c>
      <c r="V672">
        <f>ROUND((108/100)*ROUND(Source!CS454*Source!I454, 2), 2)</f>
        <v>-0.7</v>
      </c>
    </row>
    <row r="673" spans="1:22" ht="28.5" x14ac:dyDescent="0.2">
      <c r="A673" s="34" t="str">
        <f>Source!E455</f>
        <v>60,3</v>
      </c>
      <c r="B673" s="35" t="str">
        <f>Source!F455</f>
        <v>22.1-13-14</v>
      </c>
      <c r="C673" s="35" t="str">
        <f>Source!G455</f>
        <v>Установки для сварки ручной дуговой (постоянного тока)</v>
      </c>
      <c r="D673" s="36" t="str">
        <f>Source!H455</f>
        <v>маш.-ч</v>
      </c>
      <c r="E673" s="9">
        <f>Source!I455</f>
        <v>-0.57999999999999996</v>
      </c>
      <c r="F673" s="38">
        <f>Source!AK455</f>
        <v>27.21</v>
      </c>
      <c r="G673" s="49" t="s">
        <v>3</v>
      </c>
      <c r="H673" s="9">
        <f>Source!AV455</f>
        <v>1</v>
      </c>
      <c r="I673" s="9">
        <f>IF(Source!BB455&lt;&gt; 0, Source!BB455, 1)</f>
        <v>1</v>
      </c>
      <c r="J673" s="39">
        <f>Source!O455</f>
        <v>-15.78</v>
      </c>
      <c r="K673" s="39"/>
      <c r="Q673">
        <f>ROUND((Source!BZ455/100)*ROUND((Source!AF455*Source!AV455)*Source!I455, 2), 2)</f>
        <v>0</v>
      </c>
      <c r="R673">
        <f>Source!X455</f>
        <v>0</v>
      </c>
      <c r="S673">
        <f>ROUND((Source!CA455/100)*ROUND((Source!AF455*Source!AV455)*Source!I455, 2), 2)</f>
        <v>0</v>
      </c>
      <c r="T673">
        <f>Source!Y455</f>
        <v>0</v>
      </c>
      <c r="U673">
        <f>ROUND((175/100)*ROUND((Source!AE455*Source!AV455)*Source!I455, 2), 2)</f>
        <v>-0.14000000000000001</v>
      </c>
      <c r="V673">
        <f>ROUND((108/100)*ROUND(Source!CS455*Source!I455, 2), 2)</f>
        <v>-0.09</v>
      </c>
    </row>
    <row r="674" spans="1:22" ht="42.75" x14ac:dyDescent="0.2">
      <c r="A674" s="34" t="str">
        <f>Source!E456</f>
        <v>60,4</v>
      </c>
      <c r="B674" s="35" t="str">
        <f>Source!F456</f>
        <v>22.1-1-1</v>
      </c>
      <c r="C674" s="35" t="str">
        <f>Source!G456</f>
        <v>Экскаваторы на гусеничном ходу гидравлические, объем ковша до 0,25 м3</v>
      </c>
      <c r="D674" s="36" t="str">
        <f>Source!H456</f>
        <v>маш.-ч</v>
      </c>
      <c r="E674" s="9">
        <f>Source!I456</f>
        <v>-3.5999999999999999E-3</v>
      </c>
      <c r="F674" s="38">
        <f>Source!AK456</f>
        <v>1009.65</v>
      </c>
      <c r="G674" s="49" t="s">
        <v>3</v>
      </c>
      <c r="H674" s="9">
        <f>Source!AV456</f>
        <v>1</v>
      </c>
      <c r="I674" s="9">
        <f>IF(Source!BB456&lt;&gt; 0, Source!BB456, 1)</f>
        <v>1</v>
      </c>
      <c r="J674" s="39">
        <f>Source!O456</f>
        <v>-3.63</v>
      </c>
      <c r="K674" s="39"/>
      <c r="Q674">
        <f>ROUND((Source!BZ456/100)*ROUND((Source!AF456*Source!AV456)*Source!I456, 2), 2)</f>
        <v>0</v>
      </c>
      <c r="R674">
        <f>Source!X456</f>
        <v>0</v>
      </c>
      <c r="S674">
        <f>ROUND((Source!CA456/100)*ROUND((Source!AF456*Source!AV456)*Source!I456, 2), 2)</f>
        <v>0</v>
      </c>
      <c r="T674">
        <f>Source!Y456</f>
        <v>0</v>
      </c>
      <c r="U674">
        <f>ROUND((175/100)*ROUND((Source!AE456*Source!AV456)*Source!I456, 2), 2)</f>
        <v>-3.5</v>
      </c>
      <c r="V674">
        <f>ROUND((108/100)*ROUND(Source!CS456*Source!I456, 2), 2)</f>
        <v>-2.16</v>
      </c>
    </row>
    <row r="675" spans="1:22" ht="42.75" x14ac:dyDescent="0.2">
      <c r="A675" s="34" t="str">
        <f>Source!E457</f>
        <v>60,5</v>
      </c>
      <c r="B675" s="35" t="str">
        <f>Source!F457</f>
        <v>21.3-1-2</v>
      </c>
      <c r="C675" s="35" t="str">
        <f>Source!G457</f>
        <v>Смеси бетонные, БСГ, песчаного бетона на обогащенном песке, класс прочности: В12,5 (М150)</v>
      </c>
      <c r="D675" s="36" t="str">
        <f>Source!H457</f>
        <v>м3</v>
      </c>
      <c r="E675" s="9">
        <f>Source!I457</f>
        <v>-0.2</v>
      </c>
      <c r="F675" s="38">
        <f>Source!AK457</f>
        <v>3040.38</v>
      </c>
      <c r="G675" s="49" t="s">
        <v>3</v>
      </c>
      <c r="H675" s="9">
        <f>Source!AW457</f>
        <v>1</v>
      </c>
      <c r="I675" s="9">
        <f>IF(Source!BC457&lt;&gt; 0, Source!BC457, 1)</f>
        <v>1</v>
      </c>
      <c r="J675" s="39">
        <f>Source!O457</f>
        <v>-608.08000000000004</v>
      </c>
      <c r="K675" s="39"/>
      <c r="Q675">
        <f>ROUND((Source!BZ457/100)*ROUND((Source!AF457*Source!AV457)*Source!I457, 2), 2)</f>
        <v>0</v>
      </c>
      <c r="R675">
        <f>Source!X457</f>
        <v>0</v>
      </c>
      <c r="S675">
        <f>ROUND((Source!CA457/100)*ROUND((Source!AF457*Source!AV457)*Source!I457, 2), 2)</f>
        <v>0</v>
      </c>
      <c r="T675">
        <f>Source!Y457</f>
        <v>0</v>
      </c>
      <c r="U675">
        <f>ROUND((175/100)*ROUND((Source!AE457*Source!AV457)*Source!I457, 2), 2)</f>
        <v>0</v>
      </c>
      <c r="V675">
        <f>ROUND((108/100)*ROUND(Source!CS457*Source!I457, 2), 2)</f>
        <v>0</v>
      </c>
    </row>
    <row r="676" spans="1:22" ht="28.5" x14ac:dyDescent="0.2">
      <c r="A676" s="34" t="str">
        <f>Source!E458</f>
        <v>60,6</v>
      </c>
      <c r="B676" s="35" t="str">
        <f>Source!F458</f>
        <v>21.1-23-9</v>
      </c>
      <c r="C676" s="35" t="str">
        <f>Source!G458</f>
        <v>Электроды, тип Э-42, 46, 50, диаметр 4 - 6 мм</v>
      </c>
      <c r="D676" s="36" t="str">
        <f>Source!H458</f>
        <v>т</v>
      </c>
      <c r="E676" s="9">
        <f>Source!I458</f>
        <v>-8.0000000000000004E-4</v>
      </c>
      <c r="F676" s="38">
        <f>Source!AK458</f>
        <v>110781.14</v>
      </c>
      <c r="G676" s="49" t="s">
        <v>3</v>
      </c>
      <c r="H676" s="9">
        <f>Source!AW458</f>
        <v>1</v>
      </c>
      <c r="I676" s="9">
        <f>IF(Source!BC458&lt;&gt; 0, Source!BC458, 1)</f>
        <v>1</v>
      </c>
      <c r="J676" s="39">
        <f>Source!O458</f>
        <v>-88.62</v>
      </c>
      <c r="K676" s="39"/>
      <c r="Q676">
        <f>ROUND((Source!BZ458/100)*ROUND((Source!AF458*Source!AV458)*Source!I458, 2), 2)</f>
        <v>0</v>
      </c>
      <c r="R676">
        <f>Source!X458</f>
        <v>0</v>
      </c>
      <c r="S676">
        <f>ROUND((Source!CA458/100)*ROUND((Source!AF458*Source!AV458)*Source!I458, 2), 2)</f>
        <v>0</v>
      </c>
      <c r="T676">
        <f>Source!Y458</f>
        <v>0</v>
      </c>
      <c r="U676">
        <f>ROUND((175/100)*ROUND((Source!AE458*Source!AV458)*Source!I458, 2), 2)</f>
        <v>0</v>
      </c>
      <c r="V676">
        <f>ROUND((108/100)*ROUND(Source!CS458*Source!I458, 2), 2)</f>
        <v>0</v>
      </c>
    </row>
    <row r="677" spans="1:22" ht="96.75" x14ac:dyDescent="0.2">
      <c r="A677" s="34" t="str">
        <f>Source!E459</f>
        <v>60,7</v>
      </c>
      <c r="B677" s="35" t="str">
        <f>Source!F459</f>
        <v>по цене поставщика</v>
      </c>
      <c r="C677" s="35" t="s">
        <v>558</v>
      </c>
      <c r="D677" s="36" t="str">
        <f>Source!H459</f>
        <v>шт.</v>
      </c>
      <c r="E677" s="9">
        <f>Source!I459</f>
        <v>1</v>
      </c>
      <c r="F677" s="38">
        <f>Source!AK459</f>
        <v>44166.67</v>
      </c>
      <c r="G677" s="49" t="s">
        <v>3</v>
      </c>
      <c r="H677" s="9">
        <f>Source!AW459</f>
        <v>1</v>
      </c>
      <c r="I677" s="9">
        <f>IF(Source!BC459&lt;&gt; 0, Source!BC459, 1)</f>
        <v>1</v>
      </c>
      <c r="J677" s="39">
        <f>Source!O459</f>
        <v>44166.67</v>
      </c>
      <c r="K677" s="39"/>
      <c r="Q677">
        <f>ROUND((Source!BZ459/100)*ROUND((Source!AF459*Source!AV459)*Source!I459, 2), 2)</f>
        <v>0</v>
      </c>
      <c r="R677">
        <f>Source!X459</f>
        <v>0</v>
      </c>
      <c r="S677">
        <f>ROUND((Source!CA459/100)*ROUND((Source!AF459*Source!AV459)*Source!I459, 2), 2)</f>
        <v>0</v>
      </c>
      <c r="T677">
        <f>Source!Y459</f>
        <v>0</v>
      </c>
      <c r="U677">
        <f>ROUND((175/100)*ROUND((Source!AE459*Source!AV459)*Source!I459, 2), 2)</f>
        <v>0</v>
      </c>
      <c r="V677">
        <f>ROUND((108/100)*ROUND(Source!CS459*Source!I459, 2), 2)</f>
        <v>0</v>
      </c>
    </row>
    <row r="678" spans="1:22" ht="111" x14ac:dyDescent="0.2">
      <c r="A678" s="34" t="str">
        <f>Source!E460</f>
        <v>60,8</v>
      </c>
      <c r="B678" s="35" t="str">
        <f>Source!F460</f>
        <v>по цене поставщика</v>
      </c>
      <c r="C678" s="35" t="s">
        <v>562</v>
      </c>
      <c r="D678" s="36" t="str">
        <f>Source!H460</f>
        <v>шт.</v>
      </c>
      <c r="E678" s="9">
        <f>Source!I460</f>
        <v>1</v>
      </c>
      <c r="F678" s="38">
        <f>Source!AK460</f>
        <v>40166.67</v>
      </c>
      <c r="G678" s="49" t="s">
        <v>3</v>
      </c>
      <c r="H678" s="9">
        <f>Source!AW460</f>
        <v>1</v>
      </c>
      <c r="I678" s="9">
        <f>IF(Source!BC460&lt;&gt; 0, Source!BC460, 1)</f>
        <v>1</v>
      </c>
      <c r="J678" s="39">
        <f>Source!O460</f>
        <v>40166.67</v>
      </c>
      <c r="K678" s="39"/>
      <c r="Q678">
        <f>ROUND((Source!BZ460/100)*ROUND((Source!AF460*Source!AV460)*Source!I460, 2), 2)</f>
        <v>0</v>
      </c>
      <c r="R678">
        <f>Source!X460</f>
        <v>0</v>
      </c>
      <c r="S678">
        <f>ROUND((Source!CA460/100)*ROUND((Source!AF460*Source!AV460)*Source!I460, 2), 2)</f>
        <v>0</v>
      </c>
      <c r="T678">
        <f>Source!Y460</f>
        <v>0</v>
      </c>
      <c r="U678">
        <f>ROUND((175/100)*ROUND((Source!AE460*Source!AV460)*Source!I460, 2), 2)</f>
        <v>0</v>
      </c>
      <c r="V678">
        <f>ROUND((108/100)*ROUND(Source!CS460*Source!I460, 2), 2)</f>
        <v>0</v>
      </c>
    </row>
    <row r="679" spans="1:22" ht="111" x14ac:dyDescent="0.2">
      <c r="A679" s="34" t="str">
        <f>Source!E461</f>
        <v>60,9</v>
      </c>
      <c r="B679" s="35" t="str">
        <f>Source!F461</f>
        <v>по цене поставщика</v>
      </c>
      <c r="C679" s="35" t="s">
        <v>566</v>
      </c>
      <c r="D679" s="36" t="str">
        <f>Source!H461</f>
        <v>шт.</v>
      </c>
      <c r="E679" s="9">
        <f>Source!I461</f>
        <v>1</v>
      </c>
      <c r="F679" s="38">
        <f>Source!AK461</f>
        <v>13166.67</v>
      </c>
      <c r="G679" s="49" t="s">
        <v>3</v>
      </c>
      <c r="H679" s="9">
        <f>Source!AW461</f>
        <v>1</v>
      </c>
      <c r="I679" s="9">
        <f>IF(Source!BC461&lt;&gt; 0, Source!BC461, 1)</f>
        <v>1</v>
      </c>
      <c r="J679" s="39">
        <f>Source!O461</f>
        <v>13166.67</v>
      </c>
      <c r="K679" s="39"/>
      <c r="Q679">
        <f>ROUND((Source!BZ461/100)*ROUND((Source!AF461*Source!AV461)*Source!I461, 2), 2)</f>
        <v>0</v>
      </c>
      <c r="R679">
        <f>Source!X461</f>
        <v>0</v>
      </c>
      <c r="S679">
        <f>ROUND((Source!CA461/100)*ROUND((Source!AF461*Source!AV461)*Source!I461, 2), 2)</f>
        <v>0</v>
      </c>
      <c r="T679">
        <f>Source!Y461</f>
        <v>0</v>
      </c>
      <c r="U679">
        <f>ROUND((175/100)*ROUND((Source!AE461*Source!AV461)*Source!I461, 2), 2)</f>
        <v>0</v>
      </c>
      <c r="V679">
        <f>ROUND((108/100)*ROUND(Source!CS461*Source!I461, 2), 2)</f>
        <v>0</v>
      </c>
    </row>
    <row r="680" spans="1:22" ht="111" x14ac:dyDescent="0.2">
      <c r="A680" s="34" t="str">
        <f>Source!E462</f>
        <v>60,10</v>
      </c>
      <c r="B680" s="35" t="str">
        <f>Source!F462</f>
        <v>по цене поставщика</v>
      </c>
      <c r="C680" s="35" t="s">
        <v>561</v>
      </c>
      <c r="D680" s="36" t="str">
        <f>Source!H462</f>
        <v>шт.</v>
      </c>
      <c r="E680" s="9">
        <f>Source!I462</f>
        <v>1</v>
      </c>
      <c r="F680" s="38">
        <f>Source!AK462</f>
        <v>43083.33</v>
      </c>
      <c r="G680" s="49" t="s">
        <v>3</v>
      </c>
      <c r="H680" s="9">
        <f>Source!AW462</f>
        <v>1</v>
      </c>
      <c r="I680" s="9">
        <f>IF(Source!BC462&lt;&gt; 0, Source!BC462, 1)</f>
        <v>1</v>
      </c>
      <c r="J680" s="39">
        <f>Source!O462</f>
        <v>43083.33</v>
      </c>
      <c r="K680" s="39"/>
      <c r="Q680">
        <f>ROUND((Source!BZ462/100)*ROUND((Source!AF462*Source!AV462)*Source!I462, 2), 2)</f>
        <v>0</v>
      </c>
      <c r="R680">
        <f>Source!X462</f>
        <v>0</v>
      </c>
      <c r="S680">
        <f>ROUND((Source!CA462/100)*ROUND((Source!AF462*Source!AV462)*Source!I462, 2), 2)</f>
        <v>0</v>
      </c>
      <c r="T680">
        <f>Source!Y462</f>
        <v>0</v>
      </c>
      <c r="U680">
        <f>ROUND((175/100)*ROUND((Source!AE462*Source!AV462)*Source!I462, 2), 2)</f>
        <v>0</v>
      </c>
      <c r="V680">
        <f>ROUND((108/100)*ROUND(Source!CS462*Source!I462, 2), 2)</f>
        <v>0</v>
      </c>
    </row>
    <row r="681" spans="1:22" ht="14.25" x14ac:dyDescent="0.2">
      <c r="A681" s="34"/>
      <c r="B681" s="35"/>
      <c r="C681" s="35" t="s">
        <v>550</v>
      </c>
      <c r="D681" s="36" t="s">
        <v>551</v>
      </c>
      <c r="E681" s="9">
        <f>Source!AT452</f>
        <v>70</v>
      </c>
      <c r="F681" s="38"/>
      <c r="G681" s="37"/>
      <c r="H681" s="9"/>
      <c r="I681" s="9"/>
      <c r="J681" s="39">
        <f>SUM(R665:R680)</f>
        <v>6411.51</v>
      </c>
      <c r="K681" s="39"/>
    </row>
    <row r="682" spans="1:22" ht="14.25" x14ac:dyDescent="0.2">
      <c r="A682" s="34"/>
      <c r="B682" s="35"/>
      <c r="C682" s="35" t="s">
        <v>552</v>
      </c>
      <c r="D682" s="36" t="s">
        <v>551</v>
      </c>
      <c r="E682" s="9">
        <f>Source!AU452</f>
        <v>10</v>
      </c>
      <c r="F682" s="38"/>
      <c r="G682" s="37"/>
      <c r="H682" s="9"/>
      <c r="I682" s="9"/>
      <c r="J682" s="39">
        <f>SUM(T665:T681)</f>
        <v>915.93</v>
      </c>
      <c r="K682" s="39"/>
    </row>
    <row r="683" spans="1:22" ht="14.25" x14ac:dyDescent="0.2">
      <c r="A683" s="34"/>
      <c r="B683" s="35"/>
      <c r="C683" s="35" t="s">
        <v>553</v>
      </c>
      <c r="D683" s="36" t="s">
        <v>551</v>
      </c>
      <c r="E683" s="9">
        <f>108</f>
        <v>108</v>
      </c>
      <c r="F683" s="38"/>
      <c r="G683" s="37"/>
      <c r="H683" s="9"/>
      <c r="I683" s="9"/>
      <c r="J683" s="39">
        <f>SUM(V665:V682)</f>
        <v>-9.9999999999997868E-3</v>
      </c>
      <c r="K683" s="39"/>
    </row>
    <row r="684" spans="1:22" ht="14.25" x14ac:dyDescent="0.2">
      <c r="A684" s="34"/>
      <c r="B684" s="35"/>
      <c r="C684" s="35" t="s">
        <v>554</v>
      </c>
      <c r="D684" s="36" t="s">
        <v>555</v>
      </c>
      <c r="E684" s="9">
        <f>Source!AQ452</f>
        <v>902.75</v>
      </c>
      <c r="F684" s="38"/>
      <c r="G684" s="37" t="str">
        <f>Source!DI452</f>
        <v/>
      </c>
      <c r="H684" s="9">
        <f>Source!AV452</f>
        <v>1</v>
      </c>
      <c r="I684" s="9"/>
      <c r="J684" s="39"/>
      <c r="K684" s="39">
        <f>Source!U452</f>
        <v>36.11</v>
      </c>
    </row>
    <row r="685" spans="1:22" ht="15" x14ac:dyDescent="0.25">
      <c r="A685" s="45"/>
      <c r="B685" s="45"/>
      <c r="C685" s="45"/>
      <c r="D685" s="45"/>
      <c r="E685" s="45"/>
      <c r="F685" s="45"/>
      <c r="G685" s="45"/>
      <c r="H685" s="45"/>
      <c r="I685" s="46">
        <f>J667+J668+J670+J681+J682+J683+SUM(J671:J680)</f>
        <v>157072.07999999999</v>
      </c>
      <c r="J685" s="46"/>
      <c r="K685" s="47">
        <f>IF(Source!I452&lt;&gt;0, ROUND(I685/Source!I452, 2), 0)</f>
        <v>3926802</v>
      </c>
      <c r="P685" s="41">
        <f>I685</f>
        <v>157072.07999999999</v>
      </c>
    </row>
    <row r="687" spans="1:22" ht="15" x14ac:dyDescent="0.25">
      <c r="A687" s="52" t="str">
        <f>CONCATENATE("Итого по подразделу: ",IF(Source!G464&lt;&gt;"Новый подраздел", Source!G464, ""))</f>
        <v>Итого по подразделу: Установка МАФов площадка № 9</v>
      </c>
      <c r="B687" s="52"/>
      <c r="C687" s="52"/>
      <c r="D687" s="52"/>
      <c r="E687" s="52"/>
      <c r="F687" s="52"/>
      <c r="G687" s="52"/>
      <c r="H687" s="52"/>
      <c r="I687" s="43">
        <f>SUM(P664:P686)</f>
        <v>157072.07999999999</v>
      </c>
      <c r="J687" s="51"/>
      <c r="K687" s="50"/>
    </row>
    <row r="690" spans="1:22" ht="16.5" x14ac:dyDescent="0.25">
      <c r="A690" s="33" t="str">
        <f>CONCATENATE("Подраздел: ",IF(Source!G494&lt;&gt;"Новый подраздел", Source!G494, ""))</f>
        <v>Подраздел: Мусор</v>
      </c>
      <c r="B690" s="33"/>
      <c r="C690" s="33"/>
      <c r="D690" s="33"/>
      <c r="E690" s="33"/>
      <c r="F690" s="33"/>
      <c r="G690" s="33"/>
      <c r="H690" s="33"/>
      <c r="I690" s="33"/>
      <c r="J690" s="33"/>
      <c r="K690" s="33"/>
    </row>
    <row r="691" spans="1:22" ht="28.5" x14ac:dyDescent="0.2">
      <c r="A691" s="34" t="str">
        <f>Source!E498</f>
        <v>61</v>
      </c>
      <c r="B691" s="35" t="str">
        <f>Source!F498</f>
        <v>2.12-3105-6-1/1</v>
      </c>
      <c r="C691" s="35" t="str">
        <f>Source!G498</f>
        <v>Погрузка грунта экскаватором в самосвал</v>
      </c>
      <c r="D691" s="36" t="str">
        <f>Source!H498</f>
        <v>10 м3</v>
      </c>
      <c r="E691" s="9">
        <f>Source!I498</f>
        <v>14.026</v>
      </c>
      <c r="F691" s="38"/>
      <c r="G691" s="37"/>
      <c r="H691" s="9"/>
      <c r="I691" s="9"/>
      <c r="J691" s="39"/>
      <c r="K691" s="39"/>
      <c r="Q691">
        <f>ROUND((Source!BZ498/100)*ROUND((Source!AF498*Source!AV498)*Source!I498, 2), 2)</f>
        <v>1571.89</v>
      </c>
      <c r="R691">
        <f>Source!X498</f>
        <v>1571.89</v>
      </c>
      <c r="S691">
        <f>ROUND((Source!CA498/100)*ROUND((Source!AF498*Source!AV498)*Source!I498, 2), 2)</f>
        <v>224.56</v>
      </c>
      <c r="T691">
        <f>Source!Y498</f>
        <v>224.56</v>
      </c>
      <c r="U691">
        <f>ROUND((175/100)*ROUND((Source!AE498*Source!AV498)*Source!I498, 2), 2)</f>
        <v>11261.97</v>
      </c>
      <c r="V691">
        <f>ROUND((108/100)*ROUND(Source!CS498*Source!I498, 2), 2)</f>
        <v>6950.24</v>
      </c>
    </row>
    <row r="692" spans="1:22" x14ac:dyDescent="0.2">
      <c r="C692" s="48" t="str">
        <f>"Объем: "&amp;Source!I498&amp;"=140,26/"&amp;"10"</f>
        <v>Объем: 14,026=140,26/10</v>
      </c>
    </row>
    <row r="693" spans="1:22" ht="14.25" x14ac:dyDescent="0.2">
      <c r="A693" s="34"/>
      <c r="B693" s="35"/>
      <c r="C693" s="35" t="s">
        <v>547</v>
      </c>
      <c r="D693" s="36"/>
      <c r="E693" s="9"/>
      <c r="F693" s="38">
        <f>Source!AO498</f>
        <v>160.1</v>
      </c>
      <c r="G693" s="37" t="str">
        <f>Source!DG498</f>
        <v/>
      </c>
      <c r="H693" s="9">
        <f>Source!AV498</f>
        <v>1</v>
      </c>
      <c r="I693" s="9">
        <f>IF(Source!BA498&lt;&gt; 0, Source!BA498, 1)</f>
        <v>1</v>
      </c>
      <c r="J693" s="39">
        <f>Source!S498</f>
        <v>2245.56</v>
      </c>
      <c r="K693" s="39"/>
    </row>
    <row r="694" spans="1:22" ht="14.25" x14ac:dyDescent="0.2">
      <c r="A694" s="34"/>
      <c r="B694" s="35"/>
      <c r="C694" s="35" t="s">
        <v>548</v>
      </c>
      <c r="D694" s="36"/>
      <c r="E694" s="9"/>
      <c r="F694" s="38">
        <f>Source!AM498</f>
        <v>1225.17</v>
      </c>
      <c r="G694" s="37" t="str">
        <f>Source!DE498</f>
        <v/>
      </c>
      <c r="H694" s="9">
        <f>Source!AV498</f>
        <v>1</v>
      </c>
      <c r="I694" s="9">
        <f>IF(Source!BB498&lt;&gt; 0, Source!BB498, 1)</f>
        <v>1</v>
      </c>
      <c r="J694" s="39">
        <f>Source!Q498</f>
        <v>17184.23</v>
      </c>
      <c r="K694" s="39"/>
    </row>
    <row r="695" spans="1:22" ht="14.25" x14ac:dyDescent="0.2">
      <c r="A695" s="34"/>
      <c r="B695" s="35"/>
      <c r="C695" s="35" t="s">
        <v>549</v>
      </c>
      <c r="D695" s="36"/>
      <c r="E695" s="9"/>
      <c r="F695" s="38">
        <f>Source!AN498</f>
        <v>458.82</v>
      </c>
      <c r="G695" s="37" t="str">
        <f>Source!DF498</f>
        <v/>
      </c>
      <c r="H695" s="9">
        <f>Source!AV498</f>
        <v>1</v>
      </c>
      <c r="I695" s="9">
        <f>IF(Source!BS498&lt;&gt; 0, Source!BS498, 1)</f>
        <v>1</v>
      </c>
      <c r="J695" s="40">
        <f>Source!R498</f>
        <v>6435.41</v>
      </c>
      <c r="K695" s="39"/>
    </row>
    <row r="696" spans="1:22" ht="14.25" x14ac:dyDescent="0.2">
      <c r="A696" s="34"/>
      <c r="B696" s="35"/>
      <c r="C696" s="35" t="s">
        <v>550</v>
      </c>
      <c r="D696" s="36" t="s">
        <v>551</v>
      </c>
      <c r="E696" s="9">
        <f>Source!AT498</f>
        <v>70</v>
      </c>
      <c r="F696" s="38"/>
      <c r="G696" s="37"/>
      <c r="H696" s="9"/>
      <c r="I696" s="9"/>
      <c r="J696" s="39">
        <f>SUM(R691:R695)</f>
        <v>1571.89</v>
      </c>
      <c r="K696" s="39"/>
    </row>
    <row r="697" spans="1:22" ht="14.25" x14ac:dyDescent="0.2">
      <c r="A697" s="34"/>
      <c r="B697" s="35"/>
      <c r="C697" s="35" t="s">
        <v>552</v>
      </c>
      <c r="D697" s="36" t="s">
        <v>551</v>
      </c>
      <c r="E697" s="9">
        <f>Source!AU498</f>
        <v>10</v>
      </c>
      <c r="F697" s="38"/>
      <c r="G697" s="37"/>
      <c r="H697" s="9"/>
      <c r="I697" s="9"/>
      <c r="J697" s="39">
        <f>SUM(T691:T696)</f>
        <v>224.56</v>
      </c>
      <c r="K697" s="39"/>
    </row>
    <row r="698" spans="1:22" ht="14.25" x14ac:dyDescent="0.2">
      <c r="A698" s="34"/>
      <c r="B698" s="35"/>
      <c r="C698" s="35" t="s">
        <v>553</v>
      </c>
      <c r="D698" s="36" t="s">
        <v>551</v>
      </c>
      <c r="E698" s="9">
        <f>108</f>
        <v>108</v>
      </c>
      <c r="F698" s="38"/>
      <c r="G698" s="37"/>
      <c r="H698" s="9"/>
      <c r="I698" s="9"/>
      <c r="J698" s="39">
        <f>SUM(V691:V697)</f>
        <v>6950.24</v>
      </c>
      <c r="K698" s="39"/>
    </row>
    <row r="699" spans="1:22" ht="14.25" x14ac:dyDescent="0.2">
      <c r="A699" s="34"/>
      <c r="B699" s="35"/>
      <c r="C699" s="35" t="s">
        <v>554</v>
      </c>
      <c r="D699" s="36" t="s">
        <v>555</v>
      </c>
      <c r="E699" s="9">
        <f>Source!AQ498</f>
        <v>0.65</v>
      </c>
      <c r="F699" s="38"/>
      <c r="G699" s="37" t="str">
        <f>Source!DI498</f>
        <v/>
      </c>
      <c r="H699" s="9">
        <f>Source!AV498</f>
        <v>1</v>
      </c>
      <c r="I699" s="9"/>
      <c r="J699" s="39"/>
      <c r="K699" s="39">
        <f>Source!U498</f>
        <v>9.1168999999999993</v>
      </c>
    </row>
    <row r="700" spans="1:22" ht="15" x14ac:dyDescent="0.25">
      <c r="A700" s="45"/>
      <c r="B700" s="45"/>
      <c r="C700" s="45"/>
      <c r="D700" s="45"/>
      <c r="E700" s="45"/>
      <c r="F700" s="45"/>
      <c r="G700" s="45"/>
      <c r="H700" s="45"/>
      <c r="I700" s="46">
        <f>J693+J694+J696+J697+J698</f>
        <v>28176.480000000003</v>
      </c>
      <c r="J700" s="46"/>
      <c r="K700" s="47">
        <f>IF(Source!I498&lt;&gt;0, ROUND(I700/Source!I498, 2), 0)</f>
        <v>2008.87</v>
      </c>
      <c r="P700" s="41">
        <f>I700</f>
        <v>28176.480000000003</v>
      </c>
    </row>
    <row r="701" spans="1:22" ht="42.75" x14ac:dyDescent="0.2">
      <c r="A701" s="34" t="str">
        <f>Source!E499</f>
        <v>62</v>
      </c>
      <c r="B701" s="35" t="str">
        <f>Source!F499</f>
        <v>2.49-3401-1-1/1</v>
      </c>
      <c r="C701" s="35" t="str">
        <f>Source!G499</f>
        <v>Перевозка грунта автосамосвалами грузоподъемностью до 10 т на расстояние 1 км</v>
      </c>
      <c r="D701" s="36" t="str">
        <f>Source!H499</f>
        <v>м3</v>
      </c>
      <c r="E701" s="9">
        <f>Source!I499</f>
        <v>140.26</v>
      </c>
      <c r="F701" s="38"/>
      <c r="G701" s="37"/>
      <c r="H701" s="9"/>
      <c r="I701" s="9"/>
      <c r="J701" s="39"/>
      <c r="K701" s="39"/>
      <c r="Q701">
        <f>ROUND((Source!BZ499/100)*ROUND((Source!AF499*Source!AV499)*Source!I499, 2), 2)</f>
        <v>0</v>
      </c>
      <c r="R701">
        <f>Source!X499</f>
        <v>0</v>
      </c>
      <c r="S701">
        <f>ROUND((Source!CA499/100)*ROUND((Source!AF499*Source!AV499)*Source!I499, 2), 2)</f>
        <v>0</v>
      </c>
      <c r="T701">
        <f>Source!Y499</f>
        <v>0</v>
      </c>
      <c r="U701">
        <f>ROUND((175/100)*ROUND((Source!AE499*Source!AV499)*Source!I499, 2), 2)</f>
        <v>6298.37</v>
      </c>
      <c r="V701">
        <f>ROUND((108/100)*ROUND(Source!CS499*Source!I499, 2), 2)</f>
        <v>3887</v>
      </c>
    </row>
    <row r="702" spans="1:22" ht="14.25" x14ac:dyDescent="0.2">
      <c r="A702" s="34"/>
      <c r="B702" s="35"/>
      <c r="C702" s="35" t="s">
        <v>548</v>
      </c>
      <c r="D702" s="36"/>
      <c r="E702" s="9"/>
      <c r="F702" s="38">
        <f>Source!AM499</f>
        <v>47.27</v>
      </c>
      <c r="G702" s="37" t="str">
        <f>Source!DE499</f>
        <v/>
      </c>
      <c r="H702" s="9">
        <f>Source!AV499</f>
        <v>1</v>
      </c>
      <c r="I702" s="9">
        <f>IF(Source!BB499&lt;&gt; 0, Source!BB499, 1)</f>
        <v>1</v>
      </c>
      <c r="J702" s="39">
        <f>Source!Q499</f>
        <v>6630.09</v>
      </c>
      <c r="K702" s="39"/>
    </row>
    <row r="703" spans="1:22" ht="14.25" x14ac:dyDescent="0.2">
      <c r="A703" s="34"/>
      <c r="B703" s="35"/>
      <c r="C703" s="35" t="s">
        <v>549</v>
      </c>
      <c r="D703" s="36"/>
      <c r="E703" s="9"/>
      <c r="F703" s="38">
        <f>Source!AN499</f>
        <v>25.66</v>
      </c>
      <c r="G703" s="37" t="str">
        <f>Source!DF499</f>
        <v/>
      </c>
      <c r="H703" s="9">
        <f>Source!AV499</f>
        <v>1</v>
      </c>
      <c r="I703" s="9">
        <f>IF(Source!BS499&lt;&gt; 0, Source!BS499, 1)</f>
        <v>1</v>
      </c>
      <c r="J703" s="40">
        <f>Source!R499</f>
        <v>3599.07</v>
      </c>
      <c r="K703" s="39"/>
    </row>
    <row r="704" spans="1:22" ht="15" x14ac:dyDescent="0.25">
      <c r="A704" s="45"/>
      <c r="B704" s="45"/>
      <c r="C704" s="45"/>
      <c r="D704" s="45"/>
      <c r="E704" s="45"/>
      <c r="F704" s="45"/>
      <c r="G704" s="45"/>
      <c r="H704" s="45"/>
      <c r="I704" s="46">
        <f>J702</f>
        <v>6630.09</v>
      </c>
      <c r="J704" s="46"/>
      <c r="K704" s="47">
        <f>IF(Source!I499&lt;&gt;0, ROUND(I704/Source!I499, 2), 0)</f>
        <v>47.27</v>
      </c>
      <c r="P704" s="41">
        <f>I704</f>
        <v>6630.09</v>
      </c>
    </row>
    <row r="705" spans="1:22" ht="57" x14ac:dyDescent="0.2">
      <c r="A705" s="34" t="str">
        <f>Source!E500</f>
        <v>63</v>
      </c>
      <c r="B705" s="35" t="str">
        <f>Source!F500</f>
        <v>2.49-3401-1-2/1</v>
      </c>
      <c r="C705" s="35" t="str">
        <f>Source!G500</f>
        <v>Перевозка грунта автосамосвалами грузоподъемностью до 10 т - добавляется на каждый последующий 1 км до 100 км (к поз. 49-3401-1-1)</v>
      </c>
      <c r="D705" s="36" t="str">
        <f>Source!H500</f>
        <v>м3</v>
      </c>
      <c r="E705" s="9">
        <f>Source!I500</f>
        <v>140.26</v>
      </c>
      <c r="F705" s="38"/>
      <c r="G705" s="37"/>
      <c r="H705" s="9"/>
      <c r="I705" s="9"/>
      <c r="J705" s="39"/>
      <c r="K705" s="39"/>
      <c r="Q705">
        <f>ROUND((Source!BZ500/100)*ROUND((Source!AF500*Source!AV500)*Source!I500, 2), 2)</f>
        <v>0</v>
      </c>
      <c r="R705">
        <f>Source!X500</f>
        <v>0</v>
      </c>
      <c r="S705">
        <f>ROUND((Source!CA500/100)*ROUND((Source!AF500*Source!AV500)*Source!I500, 2), 2)</f>
        <v>0</v>
      </c>
      <c r="T705">
        <f>Source!Y500</f>
        <v>0</v>
      </c>
      <c r="U705">
        <f>ROUND((175/100)*ROUND((Source!AE500*Source!AV500)*Source!I500, 2), 2)</f>
        <v>97553.63</v>
      </c>
      <c r="V705">
        <f>ROUND((108/100)*ROUND(Source!CS500*Source!I500, 2), 2)</f>
        <v>60204.52</v>
      </c>
    </row>
    <row r="706" spans="1:22" ht="14.25" x14ac:dyDescent="0.2">
      <c r="A706" s="34"/>
      <c r="B706" s="35"/>
      <c r="C706" s="35" t="s">
        <v>548</v>
      </c>
      <c r="D706" s="36"/>
      <c r="E706" s="9"/>
      <c r="F706" s="38">
        <f>Source!AM500</f>
        <v>15.25</v>
      </c>
      <c r="G706" s="37" t="str">
        <f>Source!DE500</f>
        <v>)*48</v>
      </c>
      <c r="H706" s="9">
        <f>Source!AV500</f>
        <v>1</v>
      </c>
      <c r="I706" s="9">
        <f>IF(Source!BB500&lt;&gt; 0, Source!BB500, 1)</f>
        <v>1</v>
      </c>
      <c r="J706" s="39">
        <f>Source!Q500</f>
        <v>102670.32</v>
      </c>
      <c r="K706" s="39"/>
    </row>
    <row r="707" spans="1:22" ht="14.25" x14ac:dyDescent="0.2">
      <c r="A707" s="34"/>
      <c r="B707" s="35"/>
      <c r="C707" s="35" t="s">
        <v>549</v>
      </c>
      <c r="D707" s="36"/>
      <c r="E707" s="9"/>
      <c r="F707" s="38">
        <f>Source!AN500</f>
        <v>8.2799999999999994</v>
      </c>
      <c r="G707" s="37" t="str">
        <f>Source!DF500</f>
        <v>)*48</v>
      </c>
      <c r="H707" s="9">
        <f>Source!AV500</f>
        <v>1</v>
      </c>
      <c r="I707" s="9">
        <f>IF(Source!BS500&lt;&gt; 0, Source!BS500, 1)</f>
        <v>1</v>
      </c>
      <c r="J707" s="40">
        <f>Source!R500</f>
        <v>55744.93</v>
      </c>
      <c r="K707" s="39"/>
    </row>
    <row r="708" spans="1:22" ht="15" x14ac:dyDescent="0.25">
      <c r="A708" s="45"/>
      <c r="B708" s="45"/>
      <c r="C708" s="45"/>
      <c r="D708" s="45"/>
      <c r="E708" s="45"/>
      <c r="F708" s="45"/>
      <c r="G708" s="45"/>
      <c r="H708" s="45"/>
      <c r="I708" s="46">
        <f>J706</f>
        <v>102670.32</v>
      </c>
      <c r="J708" s="46"/>
      <c r="K708" s="47">
        <f>IF(Source!I500&lt;&gt;0, ROUND(I708/Source!I500, 2), 0)</f>
        <v>732</v>
      </c>
      <c r="P708" s="41">
        <f>I708</f>
        <v>102670.32</v>
      </c>
    </row>
    <row r="709" spans="1:22" ht="42.75" x14ac:dyDescent="0.2">
      <c r="A709" s="34" t="str">
        <f>Source!E501</f>
        <v>64</v>
      </c>
      <c r="B709" s="35" t="str">
        <f>Source!F501</f>
        <v>1.49-9101-7-1/1</v>
      </c>
      <c r="C709" s="35" t="str">
        <f>Source!G501</f>
        <v>Механизированная погрузка строительного мусора в автомобили-самосвалы</v>
      </c>
      <c r="D709" s="36" t="str">
        <f>Source!H501</f>
        <v>т</v>
      </c>
      <c r="E709" s="9">
        <f>Source!I501</f>
        <v>1.7709999999999999</v>
      </c>
      <c r="F709" s="38"/>
      <c r="G709" s="37"/>
      <c r="H709" s="9"/>
      <c r="I709" s="9"/>
      <c r="J709" s="39"/>
      <c r="K709" s="39"/>
      <c r="Q709">
        <f>ROUND((Source!BZ501/100)*ROUND((Source!AF501*Source!AV501)*Source!I501, 2), 2)</f>
        <v>0</v>
      </c>
      <c r="R709">
        <f>Source!X501</f>
        <v>0</v>
      </c>
      <c r="S709">
        <f>ROUND((Source!CA501/100)*ROUND((Source!AF501*Source!AV501)*Source!I501, 2), 2)</f>
        <v>0</v>
      </c>
      <c r="T709">
        <f>Source!Y501</f>
        <v>0</v>
      </c>
      <c r="U709">
        <f>ROUND((175/100)*ROUND((Source!AE501*Source!AV501)*Source!I501, 2), 2)</f>
        <v>80.08</v>
      </c>
      <c r="V709">
        <f>ROUND((108/100)*ROUND(Source!CS501*Source!I501, 2), 2)</f>
        <v>49.42</v>
      </c>
    </row>
    <row r="710" spans="1:22" ht="14.25" x14ac:dyDescent="0.2">
      <c r="A710" s="34"/>
      <c r="B710" s="35"/>
      <c r="C710" s="35" t="s">
        <v>548</v>
      </c>
      <c r="D710" s="36"/>
      <c r="E710" s="9"/>
      <c r="F710" s="38">
        <f>Source!AM501</f>
        <v>80.25</v>
      </c>
      <c r="G710" s="37" t="str">
        <f>Source!DE501</f>
        <v/>
      </c>
      <c r="H710" s="9">
        <f>Source!AV501</f>
        <v>1</v>
      </c>
      <c r="I710" s="9">
        <f>IF(Source!BB501&lt;&gt; 0, Source!BB501, 1)</f>
        <v>1</v>
      </c>
      <c r="J710" s="39">
        <f>Source!Q501</f>
        <v>142.12</v>
      </c>
      <c r="K710" s="39"/>
    </row>
    <row r="711" spans="1:22" ht="14.25" x14ac:dyDescent="0.2">
      <c r="A711" s="34"/>
      <c r="B711" s="35"/>
      <c r="C711" s="35" t="s">
        <v>549</v>
      </c>
      <c r="D711" s="36"/>
      <c r="E711" s="9"/>
      <c r="F711" s="38">
        <f>Source!AN501</f>
        <v>25.84</v>
      </c>
      <c r="G711" s="37" t="str">
        <f>Source!DF501</f>
        <v/>
      </c>
      <c r="H711" s="9">
        <f>Source!AV501</f>
        <v>1</v>
      </c>
      <c r="I711" s="9">
        <f>IF(Source!BS501&lt;&gt; 0, Source!BS501, 1)</f>
        <v>1</v>
      </c>
      <c r="J711" s="40">
        <f>Source!R501</f>
        <v>45.76</v>
      </c>
      <c r="K711" s="39"/>
    </row>
    <row r="712" spans="1:22" ht="14.25" x14ac:dyDescent="0.2">
      <c r="A712" s="34"/>
      <c r="B712" s="35"/>
      <c r="C712" s="35" t="s">
        <v>553</v>
      </c>
      <c r="D712" s="36" t="s">
        <v>551</v>
      </c>
      <c r="E712" s="9">
        <f>108</f>
        <v>108</v>
      </c>
      <c r="F712" s="38"/>
      <c r="G712" s="37"/>
      <c r="H712" s="9"/>
      <c r="I712" s="9"/>
      <c r="J712" s="39">
        <f>SUM(V709:V711)</f>
        <v>49.42</v>
      </c>
      <c r="K712" s="39"/>
    </row>
    <row r="713" spans="1:22" ht="15" x14ac:dyDescent="0.25">
      <c r="A713" s="45"/>
      <c r="B713" s="45"/>
      <c r="C713" s="45"/>
      <c r="D713" s="45"/>
      <c r="E713" s="45"/>
      <c r="F713" s="45"/>
      <c r="G713" s="45"/>
      <c r="H713" s="45"/>
      <c r="I713" s="46">
        <f>J710+J712</f>
        <v>191.54000000000002</v>
      </c>
      <c r="J713" s="46"/>
      <c r="K713" s="47">
        <f>IF(Source!I501&lt;&gt;0, ROUND(I713/Source!I501, 2), 0)</f>
        <v>108.15</v>
      </c>
      <c r="P713" s="41">
        <f>I713</f>
        <v>191.54000000000002</v>
      </c>
    </row>
    <row r="714" spans="1:22" ht="57" x14ac:dyDescent="0.2">
      <c r="A714" s="34" t="str">
        <f>Source!E502</f>
        <v>65</v>
      </c>
      <c r="B714" s="35" t="str">
        <f>Source!F502</f>
        <v>1.49-9201-1-2/1</v>
      </c>
      <c r="C714" s="35" t="str">
        <f>Source!G502</f>
        <v>Перевозка строительного мусора автосамосвалами грузоподъемностью до 10 т на расстояние 1 км - при механизированной погрузке</v>
      </c>
      <c r="D714" s="36" t="str">
        <f>Source!H502</f>
        <v>т</v>
      </c>
      <c r="E714" s="9">
        <f>Source!I502</f>
        <v>1.7709999999999999</v>
      </c>
      <c r="F714" s="38"/>
      <c r="G714" s="37"/>
      <c r="H714" s="9"/>
      <c r="I714" s="9"/>
      <c r="J714" s="39"/>
      <c r="K714" s="39"/>
      <c r="Q714">
        <f>ROUND((Source!BZ502/100)*ROUND((Source!AF502*Source!AV502)*Source!I502, 2), 2)</f>
        <v>0</v>
      </c>
      <c r="R714">
        <f>Source!X502</f>
        <v>0</v>
      </c>
      <c r="S714">
        <f>ROUND((Source!CA502/100)*ROUND((Source!AF502*Source!AV502)*Source!I502, 2), 2)</f>
        <v>0</v>
      </c>
      <c r="T714">
        <f>Source!Y502</f>
        <v>0</v>
      </c>
      <c r="U714">
        <f>ROUND((175/100)*ROUND((Source!AE502*Source!AV502)*Source!I502, 2), 2)</f>
        <v>97.44</v>
      </c>
      <c r="V714">
        <f>ROUND((108/100)*ROUND(Source!CS502*Source!I502, 2), 2)</f>
        <v>60.13</v>
      </c>
    </row>
    <row r="715" spans="1:22" ht="14.25" x14ac:dyDescent="0.2">
      <c r="A715" s="34"/>
      <c r="B715" s="35"/>
      <c r="C715" s="35" t="s">
        <v>548</v>
      </c>
      <c r="D715" s="36"/>
      <c r="E715" s="9"/>
      <c r="F715" s="38">
        <f>Source!AM502</f>
        <v>57.83</v>
      </c>
      <c r="G715" s="37" t="str">
        <f>Source!DE502</f>
        <v/>
      </c>
      <c r="H715" s="9">
        <f>Source!AV502</f>
        <v>1</v>
      </c>
      <c r="I715" s="9">
        <f>IF(Source!BB502&lt;&gt; 0, Source!BB502, 1)</f>
        <v>1</v>
      </c>
      <c r="J715" s="39">
        <f>Source!Q502</f>
        <v>102.42</v>
      </c>
      <c r="K715" s="39"/>
    </row>
    <row r="716" spans="1:22" ht="14.25" x14ac:dyDescent="0.2">
      <c r="A716" s="34"/>
      <c r="B716" s="35"/>
      <c r="C716" s="35" t="s">
        <v>549</v>
      </c>
      <c r="D716" s="36"/>
      <c r="E716" s="9"/>
      <c r="F716" s="38">
        <f>Source!AN502</f>
        <v>31.44</v>
      </c>
      <c r="G716" s="37" t="str">
        <f>Source!DF502</f>
        <v/>
      </c>
      <c r="H716" s="9">
        <f>Source!AV502</f>
        <v>1</v>
      </c>
      <c r="I716" s="9">
        <f>IF(Source!BS502&lt;&gt; 0, Source!BS502, 1)</f>
        <v>1</v>
      </c>
      <c r="J716" s="40">
        <f>Source!R502</f>
        <v>55.68</v>
      </c>
      <c r="K716" s="39"/>
    </row>
    <row r="717" spans="1:22" ht="15" x14ac:dyDescent="0.25">
      <c r="A717" s="45"/>
      <c r="B717" s="45"/>
      <c r="C717" s="45"/>
      <c r="D717" s="45"/>
      <c r="E717" s="45"/>
      <c r="F717" s="45"/>
      <c r="G717" s="45"/>
      <c r="H717" s="45"/>
      <c r="I717" s="46">
        <f>J715</f>
        <v>102.42</v>
      </c>
      <c r="J717" s="46"/>
      <c r="K717" s="47">
        <f>IF(Source!I502&lt;&gt;0, ROUND(I717/Source!I502, 2), 0)</f>
        <v>57.83</v>
      </c>
      <c r="P717" s="41">
        <f>I717</f>
        <v>102.42</v>
      </c>
    </row>
    <row r="718" spans="1:22" ht="57" x14ac:dyDescent="0.2">
      <c r="A718" s="34" t="str">
        <f>Source!E503</f>
        <v>66</v>
      </c>
      <c r="B718" s="35" t="str">
        <f>Source!F503</f>
        <v>1.49-9201-1-3/1</v>
      </c>
      <c r="C718" s="35" t="str">
        <f>Source!G503</f>
        <v>Перевозка строительного мусора автосамосвалами грузоподъемностью до 10 т - добавляется на каждый последующий 1 км до 100 км</v>
      </c>
      <c r="D718" s="36" t="str">
        <f>Source!H503</f>
        <v>т</v>
      </c>
      <c r="E718" s="9">
        <f>Source!I503</f>
        <v>1.7709999999999999</v>
      </c>
      <c r="F718" s="38"/>
      <c r="G718" s="37"/>
      <c r="H718" s="9"/>
      <c r="I718" s="9"/>
      <c r="J718" s="39"/>
      <c r="K718" s="39"/>
      <c r="Q718">
        <f>ROUND((Source!BZ503/100)*ROUND((Source!AF503*Source!AV503)*Source!I503, 2), 2)</f>
        <v>0</v>
      </c>
      <c r="R718">
        <f>Source!X503</f>
        <v>0</v>
      </c>
      <c r="S718">
        <f>ROUND((Source!CA503/100)*ROUND((Source!AF503*Source!AV503)*Source!I503, 2), 2)</f>
        <v>0</v>
      </c>
      <c r="T718">
        <f>Source!Y503</f>
        <v>0</v>
      </c>
      <c r="U718">
        <f>ROUND((175/100)*ROUND((Source!AE503*Source!AV503)*Source!I503, 2), 2)</f>
        <v>2215.1</v>
      </c>
      <c r="V718">
        <f>ROUND((108/100)*ROUND(Source!CS503*Source!I503, 2), 2)</f>
        <v>1367.03</v>
      </c>
    </row>
    <row r="719" spans="1:22" ht="14.25" x14ac:dyDescent="0.2">
      <c r="A719" s="34"/>
      <c r="B719" s="35"/>
      <c r="C719" s="35" t="s">
        <v>548</v>
      </c>
      <c r="D719" s="36"/>
      <c r="E719" s="9"/>
      <c r="F719" s="38">
        <f>Source!AM503</f>
        <v>27.39</v>
      </c>
      <c r="G719" s="37" t="str">
        <f>Source!DE503</f>
        <v>)*48</v>
      </c>
      <c r="H719" s="9">
        <f>Source!AV503</f>
        <v>1</v>
      </c>
      <c r="I719" s="9">
        <f>IF(Source!BB503&lt;&gt; 0, Source!BB503, 1)</f>
        <v>1</v>
      </c>
      <c r="J719" s="39">
        <f>Source!Q503</f>
        <v>2328.37</v>
      </c>
      <c r="K719" s="39"/>
    </row>
    <row r="720" spans="1:22" ht="14.25" x14ac:dyDescent="0.2">
      <c r="A720" s="34"/>
      <c r="B720" s="35"/>
      <c r="C720" s="35" t="s">
        <v>549</v>
      </c>
      <c r="D720" s="36"/>
      <c r="E720" s="9"/>
      <c r="F720" s="38">
        <f>Source!AN503</f>
        <v>14.89</v>
      </c>
      <c r="G720" s="37" t="str">
        <f>Source!DF503</f>
        <v>)*48</v>
      </c>
      <c r="H720" s="9">
        <f>Source!AV503</f>
        <v>1</v>
      </c>
      <c r="I720" s="9">
        <f>IF(Source!BS503&lt;&gt; 0, Source!BS503, 1)</f>
        <v>1</v>
      </c>
      <c r="J720" s="40">
        <f>Source!R503</f>
        <v>1265.77</v>
      </c>
      <c r="K720" s="39"/>
    </row>
    <row r="721" spans="1:16" ht="15" x14ac:dyDescent="0.25">
      <c r="A721" s="45"/>
      <c r="B721" s="45"/>
      <c r="C721" s="45"/>
      <c r="D721" s="45"/>
      <c r="E721" s="45"/>
      <c r="F721" s="45"/>
      <c r="G721" s="45"/>
      <c r="H721" s="45"/>
      <c r="I721" s="46">
        <f>J719</f>
        <v>2328.37</v>
      </c>
      <c r="J721" s="46"/>
      <c r="K721" s="47">
        <f>IF(Source!I503&lt;&gt;0, ROUND(I721/Source!I503, 2), 0)</f>
        <v>1314.72</v>
      </c>
      <c r="P721" s="41">
        <f>I721</f>
        <v>2328.37</v>
      </c>
    </row>
    <row r="723" spans="1:16" ht="15" x14ac:dyDescent="0.25">
      <c r="A723" s="52" t="str">
        <f>CONCATENATE("Итого по подразделу: ",IF(Source!G505&lt;&gt;"Новый подраздел", Source!G505, ""))</f>
        <v>Итого по подразделу: Мусор</v>
      </c>
      <c r="B723" s="52"/>
      <c r="C723" s="52"/>
      <c r="D723" s="52"/>
      <c r="E723" s="52"/>
      <c r="F723" s="52"/>
      <c r="G723" s="52"/>
      <c r="H723" s="52"/>
      <c r="I723" s="43">
        <f>SUM(P690:P722)</f>
        <v>140099.22000000003</v>
      </c>
      <c r="J723" s="51"/>
      <c r="K723" s="50"/>
    </row>
    <row r="726" spans="1:16" ht="15" x14ac:dyDescent="0.25">
      <c r="A726" s="52" t="str">
        <f>CONCATENATE("Итого по разделу: ",IF(Source!G535&lt;&gt;"Новый раздел", Source!G535, ""))</f>
        <v>Итого по разделу: Детский сад ул. Чоботовская д 7</v>
      </c>
      <c r="B726" s="52"/>
      <c r="C726" s="52"/>
      <c r="D726" s="52"/>
      <c r="E726" s="52"/>
      <c r="F726" s="52"/>
      <c r="G726" s="52"/>
      <c r="H726" s="52"/>
      <c r="I726" s="43">
        <f>SUM(P34:P725)</f>
        <v>2726620.19</v>
      </c>
      <c r="J726" s="51"/>
      <c r="K726" s="50"/>
    </row>
    <row r="728" spans="1:16" ht="14.25" x14ac:dyDescent="0.2">
      <c r="C728" s="26" t="str">
        <f>Source!H564</f>
        <v>Итого</v>
      </c>
      <c r="D728" s="26"/>
      <c r="E728" s="26"/>
      <c r="F728" s="26"/>
      <c r="G728" s="26"/>
      <c r="H728" s="26"/>
      <c r="I728" s="42">
        <f>IF(Source!F564=0, "", Source!F564)</f>
        <v>2726620.19</v>
      </c>
      <c r="J728" s="42"/>
    </row>
    <row r="729" spans="1:16" ht="14.25" x14ac:dyDescent="0.2">
      <c r="C729" s="26" t="str">
        <f>Source!H565</f>
        <v>НДС 20%</v>
      </c>
      <c r="D729" s="26"/>
      <c r="E729" s="26"/>
      <c r="F729" s="26"/>
      <c r="G729" s="26"/>
      <c r="H729" s="26"/>
      <c r="I729" s="42">
        <f>IF(Source!F565=0, "", Source!F565)</f>
        <v>545324.04</v>
      </c>
      <c r="J729" s="42"/>
    </row>
    <row r="730" spans="1:16" ht="14.25" x14ac:dyDescent="0.2">
      <c r="C730" s="26" t="str">
        <f>Source!H566</f>
        <v>Всего</v>
      </c>
      <c r="D730" s="26"/>
      <c r="E730" s="26"/>
      <c r="F730" s="26"/>
      <c r="G730" s="26"/>
      <c r="H730" s="26"/>
      <c r="I730" s="42">
        <f>IF(Source!F566=0, "", Source!F566)</f>
        <v>3271944.23</v>
      </c>
      <c r="J730" s="42"/>
    </row>
    <row r="732" spans="1:16" ht="15" x14ac:dyDescent="0.25">
      <c r="A732" s="52" t="str">
        <f>CONCATENATE("Итого по локальной смете: ",IF(Source!G568&lt;&gt;"Новая локальная смета", Source!G568, ""))</f>
        <v xml:space="preserve">Итого по локальной смете: </v>
      </c>
      <c r="B732" s="52"/>
      <c r="C732" s="52"/>
      <c r="D732" s="52"/>
      <c r="E732" s="52"/>
      <c r="F732" s="52"/>
      <c r="G732" s="52"/>
      <c r="H732" s="52"/>
      <c r="I732" s="43">
        <f>SUM(P32:P731)</f>
        <v>2726620.19</v>
      </c>
      <c r="J732" s="51"/>
      <c r="K732" s="50"/>
    </row>
    <row r="734" spans="1:16" ht="14.25" x14ac:dyDescent="0.2">
      <c r="C734" s="26" t="str">
        <f>Source!H597</f>
        <v>Итого</v>
      </c>
      <c r="D734" s="26"/>
      <c r="E734" s="26"/>
      <c r="F734" s="26"/>
      <c r="G734" s="26"/>
      <c r="H734" s="26"/>
      <c r="I734" s="42">
        <f>IF(Source!F597=0, "", Source!F597)</f>
        <v>2726620.19</v>
      </c>
      <c r="J734" s="42"/>
    </row>
    <row r="735" spans="1:16" ht="14.25" x14ac:dyDescent="0.2">
      <c r="C735" s="26" t="str">
        <f>Source!H598</f>
        <v>НДС 20%</v>
      </c>
      <c r="D735" s="26"/>
      <c r="E735" s="26"/>
      <c r="F735" s="26"/>
      <c r="G735" s="26"/>
      <c r="H735" s="26"/>
      <c r="I735" s="42">
        <f>IF(Source!F598=0, "", Source!F598)</f>
        <v>545324.04</v>
      </c>
      <c r="J735" s="42"/>
    </row>
    <row r="736" spans="1:16" ht="14.25" x14ac:dyDescent="0.2">
      <c r="C736" s="26" t="str">
        <f>Source!H599</f>
        <v>Всего</v>
      </c>
      <c r="D736" s="26"/>
      <c r="E736" s="26"/>
      <c r="F736" s="26"/>
      <c r="G736" s="26"/>
      <c r="H736" s="26"/>
      <c r="I736" s="42">
        <f>IF(Source!F599=0, "", Source!F599)</f>
        <v>3271944.23</v>
      </c>
      <c r="J736" s="42"/>
    </row>
    <row r="738" spans="1:32" ht="30" x14ac:dyDescent="0.25">
      <c r="A738" s="52" t="str">
        <f>CONCATENATE("Итого по смете: ",IF(Source!G601&lt;&gt;"Новый объект", Source!G601, ""))</f>
        <v>Итого по смете: Выполнение работ по благоустройству территории для нужд БОУ Школа № 1018 ул. Чоботовская д 7</v>
      </c>
      <c r="B738" s="52"/>
      <c r="C738" s="52"/>
      <c r="D738" s="52"/>
      <c r="E738" s="52"/>
      <c r="F738" s="52"/>
      <c r="G738" s="52"/>
      <c r="H738" s="52"/>
      <c r="I738" s="43">
        <f>SUM(P1:P737)</f>
        <v>2726620.19</v>
      </c>
      <c r="J738" s="51"/>
      <c r="K738" s="50"/>
      <c r="AF738" s="53" t="str">
        <f>CONCATENATE("Итого по смете: ",IF(Source!G601&lt;&gt;"Новый объект", Source!G601, ""))</f>
        <v>Итого по смете: Выполнение работ по благоустройству территории для нужд БОУ Школа № 1018 ул. Чоботовская д 7</v>
      </c>
    </row>
    <row r="739" spans="1:32" ht="14.25" x14ac:dyDescent="0.2">
      <c r="C739" s="26" t="str">
        <f>Source!H630</f>
        <v>Итого</v>
      </c>
      <c r="D739" s="26"/>
      <c r="E739" s="26"/>
      <c r="F739" s="26"/>
      <c r="G739" s="26"/>
      <c r="H739" s="26"/>
      <c r="I739" s="42">
        <f>IF(Source!F630=0, "", Source!F630)</f>
        <v>2726620.19</v>
      </c>
      <c r="J739" s="42"/>
    </row>
    <row r="740" spans="1:32" ht="14.25" x14ac:dyDescent="0.2">
      <c r="C740" s="26" t="str">
        <f>Source!H631</f>
        <v>НДС 20%</v>
      </c>
      <c r="D740" s="26"/>
      <c r="E740" s="26"/>
      <c r="F740" s="26"/>
      <c r="G740" s="26"/>
      <c r="H740" s="26"/>
      <c r="I740" s="42">
        <f>IF(Source!F631=0, "", Source!F631)</f>
        <v>545324.04</v>
      </c>
      <c r="J740" s="42"/>
    </row>
    <row r="741" spans="1:32" ht="14.25" x14ac:dyDescent="0.2">
      <c r="C741" s="26" t="str">
        <f>Source!H632</f>
        <v>Всего</v>
      </c>
      <c r="D741" s="26"/>
      <c r="E741" s="26"/>
      <c r="F741" s="26"/>
      <c r="G741" s="26"/>
      <c r="H741" s="26"/>
      <c r="I741" s="42">
        <f>IF(Source!F632=0, "", Source!F632)</f>
        <v>3271944.23</v>
      </c>
      <c r="J741" s="42"/>
    </row>
    <row r="744" spans="1:32" ht="14.25" x14ac:dyDescent="0.2">
      <c r="A744" s="54" t="s">
        <v>567</v>
      </c>
      <c r="B744" s="54"/>
      <c r="C744" s="55" t="str">
        <f>IF(Source!AC12&lt;&gt;"", Source!AC12," ")</f>
        <v xml:space="preserve"> </v>
      </c>
      <c r="D744" s="55"/>
      <c r="E744" s="55"/>
      <c r="F744" s="55"/>
      <c r="G744" s="55"/>
      <c r="H744" s="10" t="str">
        <f>IF(Source!AB12&lt;&gt;"", Source!AB12," ")</f>
        <v xml:space="preserve"> </v>
      </c>
      <c r="I744" s="10"/>
      <c r="J744" s="10"/>
      <c r="K744" s="10"/>
    </row>
    <row r="745" spans="1:32" ht="14.25" x14ac:dyDescent="0.2">
      <c r="A745" s="10"/>
      <c r="B745" s="10"/>
      <c r="C745" s="56" t="s">
        <v>568</v>
      </c>
      <c r="D745" s="56"/>
      <c r="E745" s="56"/>
      <c r="F745" s="56"/>
      <c r="G745" s="56"/>
      <c r="H745" s="10"/>
      <c r="I745" s="10"/>
      <c r="J745" s="10"/>
      <c r="K745" s="10"/>
    </row>
    <row r="746" spans="1:32" ht="14.25" x14ac:dyDescent="0.2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</row>
    <row r="747" spans="1:32" ht="14.25" x14ac:dyDescent="0.2">
      <c r="A747" s="54" t="s">
        <v>569</v>
      </c>
      <c r="B747" s="54"/>
      <c r="C747" s="55" t="str">
        <f>IF(Source!AE12&lt;&gt;"", Source!AE12," ")</f>
        <v xml:space="preserve"> </v>
      </c>
      <c r="D747" s="55"/>
      <c r="E747" s="55"/>
      <c r="F747" s="55"/>
      <c r="G747" s="55"/>
      <c r="H747" s="10" t="str">
        <f>IF(Source!AD12&lt;&gt;"", Source!AD12," ")</f>
        <v xml:space="preserve"> </v>
      </c>
      <c r="I747" s="10"/>
      <c r="J747" s="10"/>
      <c r="K747" s="10"/>
    </row>
    <row r="748" spans="1:32" ht="14.25" x14ac:dyDescent="0.2">
      <c r="A748" s="10"/>
      <c r="B748" s="10"/>
      <c r="C748" s="56" t="s">
        <v>568</v>
      </c>
      <c r="D748" s="56"/>
      <c r="E748" s="56"/>
      <c r="F748" s="56"/>
      <c r="G748" s="56"/>
      <c r="H748" s="10"/>
      <c r="I748" s="10"/>
      <c r="J748" s="10"/>
      <c r="K748" s="10"/>
    </row>
  </sheetData>
  <mergeCells count="159">
    <mergeCell ref="A747:B747"/>
    <mergeCell ref="C748:G748"/>
    <mergeCell ref="C740:H740"/>
    <mergeCell ref="I740:J740"/>
    <mergeCell ref="C741:H741"/>
    <mergeCell ref="I741:J741"/>
    <mergeCell ref="A744:B744"/>
    <mergeCell ref="C745:G745"/>
    <mergeCell ref="C736:H736"/>
    <mergeCell ref="I736:J736"/>
    <mergeCell ref="I738:J738"/>
    <mergeCell ref="A738:H738"/>
    <mergeCell ref="C739:H739"/>
    <mergeCell ref="I739:J739"/>
    <mergeCell ref="I732:J732"/>
    <mergeCell ref="A732:H732"/>
    <mergeCell ref="C734:H734"/>
    <mergeCell ref="I734:J734"/>
    <mergeCell ref="C735:H735"/>
    <mergeCell ref="I735:J735"/>
    <mergeCell ref="C728:H728"/>
    <mergeCell ref="I728:J728"/>
    <mergeCell ref="C729:H729"/>
    <mergeCell ref="I729:J729"/>
    <mergeCell ref="C730:H730"/>
    <mergeCell ref="I730:J730"/>
    <mergeCell ref="I713:J713"/>
    <mergeCell ref="I717:J717"/>
    <mergeCell ref="I721:J721"/>
    <mergeCell ref="I723:J723"/>
    <mergeCell ref="A723:H723"/>
    <mergeCell ref="I726:J726"/>
    <mergeCell ref="A726:H726"/>
    <mergeCell ref="I687:J687"/>
    <mergeCell ref="A687:H687"/>
    <mergeCell ref="A690:K690"/>
    <mergeCell ref="I700:J700"/>
    <mergeCell ref="I704:J704"/>
    <mergeCell ref="I708:J708"/>
    <mergeCell ref="A639:K639"/>
    <mergeCell ref="I659:J659"/>
    <mergeCell ref="I661:J661"/>
    <mergeCell ref="A661:H661"/>
    <mergeCell ref="A664:K664"/>
    <mergeCell ref="I685:J685"/>
    <mergeCell ref="I608:J608"/>
    <mergeCell ref="I610:J610"/>
    <mergeCell ref="A610:H610"/>
    <mergeCell ref="A613:K613"/>
    <mergeCell ref="I634:J634"/>
    <mergeCell ref="I636:J636"/>
    <mergeCell ref="A636:H636"/>
    <mergeCell ref="I573:J573"/>
    <mergeCell ref="I575:J575"/>
    <mergeCell ref="A575:H575"/>
    <mergeCell ref="A578:K578"/>
    <mergeCell ref="I588:J588"/>
    <mergeCell ref="I598:J598"/>
    <mergeCell ref="I495:J495"/>
    <mergeCell ref="I508:J508"/>
    <mergeCell ref="I519:J519"/>
    <mergeCell ref="I530:J530"/>
    <mergeCell ref="I541:J541"/>
    <mergeCell ref="I552:J552"/>
    <mergeCell ref="A444:H444"/>
    <mergeCell ref="A447:K447"/>
    <mergeCell ref="I454:J454"/>
    <mergeCell ref="I464:J464"/>
    <mergeCell ref="I474:J474"/>
    <mergeCell ref="I484:J484"/>
    <mergeCell ref="I389:J389"/>
    <mergeCell ref="I400:J400"/>
    <mergeCell ref="I411:J411"/>
    <mergeCell ref="I422:J422"/>
    <mergeCell ref="I442:J442"/>
    <mergeCell ref="I444:J444"/>
    <mergeCell ref="I345:J345"/>
    <mergeCell ref="A345:H345"/>
    <mergeCell ref="A348:K348"/>
    <mergeCell ref="I354:J354"/>
    <mergeCell ref="I365:J365"/>
    <mergeCell ref="I378:J378"/>
    <mergeCell ref="I279:J279"/>
    <mergeCell ref="I290:J290"/>
    <mergeCell ref="I301:J301"/>
    <mergeCell ref="I312:J312"/>
    <mergeCell ref="I323:J323"/>
    <mergeCell ref="I343:J343"/>
    <mergeCell ref="I244:J244"/>
    <mergeCell ref="I246:J246"/>
    <mergeCell ref="A246:H246"/>
    <mergeCell ref="A249:K249"/>
    <mergeCell ref="I255:J255"/>
    <mergeCell ref="I266:J266"/>
    <mergeCell ref="I165:J165"/>
    <mergeCell ref="I178:J178"/>
    <mergeCell ref="I189:J189"/>
    <mergeCell ref="I200:J200"/>
    <mergeCell ref="I211:J211"/>
    <mergeCell ref="I222:J222"/>
    <mergeCell ref="C145:H145"/>
    <mergeCell ref="I145:J145"/>
    <mergeCell ref="C146:H146"/>
    <mergeCell ref="I146:J146"/>
    <mergeCell ref="A148:K148"/>
    <mergeCell ref="I154:J154"/>
    <mergeCell ref="I119:J119"/>
    <mergeCell ref="I140:J140"/>
    <mergeCell ref="I142:J142"/>
    <mergeCell ref="A142:H142"/>
    <mergeCell ref="C144:H144"/>
    <mergeCell ref="I144:J144"/>
    <mergeCell ref="I51:J51"/>
    <mergeCell ref="I62:J62"/>
    <mergeCell ref="I75:J75"/>
    <mergeCell ref="I86:J86"/>
    <mergeCell ref="I97:J97"/>
    <mergeCell ref="I108:J108"/>
    <mergeCell ref="I27:I29"/>
    <mergeCell ref="J27:J29"/>
    <mergeCell ref="A32:K32"/>
    <mergeCell ref="A34:K34"/>
    <mergeCell ref="A36:K36"/>
    <mergeCell ref="I45:J45"/>
    <mergeCell ref="F25:H25"/>
    <mergeCell ref="I25:J25"/>
    <mergeCell ref="A27:A29"/>
    <mergeCell ref="B27:B29"/>
    <mergeCell ref="C27:C29"/>
    <mergeCell ref="D27:D29"/>
    <mergeCell ref="E27:E29"/>
    <mergeCell ref="F27:F29"/>
    <mergeCell ref="G27:G29"/>
    <mergeCell ref="H27:H29"/>
    <mergeCell ref="F22:H22"/>
    <mergeCell ref="I22:J22"/>
    <mergeCell ref="F23:H23"/>
    <mergeCell ref="I23:J23"/>
    <mergeCell ref="F24:H24"/>
    <mergeCell ref="I24:J24"/>
    <mergeCell ref="A15:K15"/>
    <mergeCell ref="A16:K16"/>
    <mergeCell ref="A18:K18"/>
    <mergeCell ref="F20:H20"/>
    <mergeCell ref="I20:J20"/>
    <mergeCell ref="F21:H21"/>
    <mergeCell ref="I21:J21"/>
    <mergeCell ref="B7:E7"/>
    <mergeCell ref="G7:K7"/>
    <mergeCell ref="J2:K2"/>
    <mergeCell ref="A10:K10"/>
    <mergeCell ref="A11:K11"/>
    <mergeCell ref="A13:K13"/>
    <mergeCell ref="B3:E3"/>
    <mergeCell ref="G3:K3"/>
    <mergeCell ref="B4:E4"/>
    <mergeCell ref="G4:K4"/>
    <mergeCell ref="B6:E6"/>
    <mergeCell ref="G6:K6"/>
  </mergeCells>
  <pageMargins left="0.4" right="0.2" top="0.2" bottom="0.4" header="0.2" footer="0.2"/>
  <pageSetup paperSize="9" scale="65" fitToHeight="0" orientation="portrait" r:id="rId1"/>
  <headerFooter>
    <oddHeader>&amp;L&amp;8</oddHeader>
    <oddFooter>&amp;R&amp;P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177"/>
  <sheetViews>
    <sheetView zoomScaleNormal="100" workbookViewId="0"/>
  </sheetViews>
  <sheetFormatPr defaultRowHeight="12.75" x14ac:dyDescent="0.2"/>
  <cols>
    <col min="1" max="1" width="6.7109375" customWidth="1"/>
    <col min="2" max="2" width="75.7109375" customWidth="1"/>
    <col min="3" max="5" width="15.7109375" customWidth="1"/>
    <col min="30" max="30" width="114.7109375" hidden="1" customWidth="1"/>
    <col min="31" max="31" width="0" hidden="1" customWidth="1"/>
  </cols>
  <sheetData>
    <row r="1" spans="1:30" x14ac:dyDescent="0.2">
      <c r="A1" s="8" t="str">
        <f>Source!B1</f>
        <v>Smeta.RU Flash  (495) 974-1589</v>
      </c>
    </row>
    <row r="2" spans="1:30" ht="14.25" x14ac:dyDescent="0.2">
      <c r="C2" s="10"/>
      <c r="D2" s="10"/>
    </row>
    <row r="3" spans="1:30" ht="15" x14ac:dyDescent="0.25">
      <c r="C3" s="10"/>
      <c r="D3" s="44" t="s">
        <v>521</v>
      </c>
    </row>
    <row r="4" spans="1:30" ht="15" x14ac:dyDescent="0.25">
      <c r="C4" s="44"/>
      <c r="D4" s="44"/>
    </row>
    <row r="5" spans="1:30" ht="15" x14ac:dyDescent="0.25">
      <c r="C5" s="57" t="s">
        <v>570</v>
      </c>
      <c r="D5" s="57"/>
    </row>
    <row r="6" spans="1:30" ht="15" x14ac:dyDescent="0.25">
      <c r="C6" s="58"/>
      <c r="D6" s="58"/>
    </row>
    <row r="7" spans="1:30" ht="15" x14ac:dyDescent="0.25">
      <c r="C7" s="57" t="s">
        <v>570</v>
      </c>
      <c r="D7" s="57"/>
    </row>
    <row r="8" spans="1:30" ht="15" x14ac:dyDescent="0.25">
      <c r="C8" s="58"/>
      <c r="D8" s="58"/>
    </row>
    <row r="9" spans="1:30" ht="15" x14ac:dyDescent="0.25">
      <c r="C9" s="44" t="s">
        <v>571</v>
      </c>
      <c r="D9" s="10"/>
    </row>
    <row r="10" spans="1:30" ht="14.25" x14ac:dyDescent="0.2">
      <c r="A10" s="10"/>
      <c r="B10" s="10"/>
      <c r="C10" s="10"/>
      <c r="D10" s="10"/>
      <c r="E10" s="10"/>
    </row>
    <row r="11" spans="1:30" ht="15.75" x14ac:dyDescent="0.25">
      <c r="A11" s="59" t="str">
        <f>CONCATENATE("Дефектный акт ", IF(Source!AN15&lt;&gt;"", Source!AN15," "))</f>
        <v xml:space="preserve">Дефектный акт  </v>
      </c>
      <c r="B11" s="59"/>
      <c r="C11" s="59"/>
      <c r="D11" s="59"/>
      <c r="E11" s="10"/>
    </row>
    <row r="12" spans="1:30" ht="30" x14ac:dyDescent="0.25">
      <c r="A12" s="60" t="str">
        <f>CONCATENATE("На капитальный ремонт ", Source!G12)</f>
        <v>На капитальный ремонт Выполнение работ по благоустройству территории для нужд БОУ Школа № 1018 ул. Чоботовская д 7</v>
      </c>
      <c r="B12" s="60"/>
      <c r="C12" s="60"/>
      <c r="D12" s="60"/>
      <c r="E12" s="10"/>
      <c r="AD12" s="63" t="str">
        <f>CONCATENATE("На капитальный ремонт ", Source!G12)</f>
        <v>На капитальный ремонт Выполнение работ по благоустройству территории для нужд БОУ Школа № 1018 ул. Чоботовская д 7</v>
      </c>
    </row>
    <row r="13" spans="1:30" ht="14.25" x14ac:dyDescent="0.2">
      <c r="A13" s="10"/>
      <c r="B13" s="10"/>
      <c r="C13" s="10"/>
      <c r="D13" s="10"/>
      <c r="E13" s="10"/>
    </row>
    <row r="14" spans="1:30" ht="15" x14ac:dyDescent="0.2">
      <c r="A14" s="10"/>
      <c r="B14" s="61" t="s">
        <v>572</v>
      </c>
      <c r="C14" s="10"/>
      <c r="D14" s="10"/>
      <c r="E14" s="10"/>
    </row>
    <row r="15" spans="1:30" ht="15" x14ac:dyDescent="0.2">
      <c r="A15" s="10"/>
      <c r="B15" s="61" t="s">
        <v>573</v>
      </c>
      <c r="C15" s="10"/>
      <c r="D15" s="10"/>
      <c r="E15" s="10"/>
    </row>
    <row r="16" spans="1:30" ht="15" x14ac:dyDescent="0.2">
      <c r="A16" s="10"/>
      <c r="B16" s="61" t="s">
        <v>574</v>
      </c>
      <c r="C16" s="10"/>
      <c r="D16" s="10"/>
      <c r="E16" s="10"/>
    </row>
    <row r="17" spans="1:5" ht="28.5" x14ac:dyDescent="0.2">
      <c r="A17" s="32" t="s">
        <v>575</v>
      </c>
      <c r="B17" s="32" t="s">
        <v>535</v>
      </c>
      <c r="C17" s="32" t="s">
        <v>536</v>
      </c>
      <c r="D17" s="32" t="s">
        <v>576</v>
      </c>
      <c r="E17" s="62" t="s">
        <v>577</v>
      </c>
    </row>
    <row r="18" spans="1:5" ht="14.25" x14ac:dyDescent="0.2">
      <c r="A18" s="64">
        <v>1</v>
      </c>
      <c r="B18" s="64">
        <v>2</v>
      </c>
      <c r="C18" s="64">
        <v>3</v>
      </c>
      <c r="D18" s="64">
        <v>4</v>
      </c>
      <c r="E18" s="65">
        <v>5</v>
      </c>
    </row>
    <row r="19" spans="1:5" ht="16.5" x14ac:dyDescent="0.25">
      <c r="A19" s="66" t="str">
        <f>CONCATENATE("Локальная смета: ", Source!G20)</f>
        <v>Локальная смета: Новая локальная смета</v>
      </c>
      <c r="B19" s="66"/>
      <c r="C19" s="66"/>
      <c r="D19" s="66"/>
      <c r="E19" s="66"/>
    </row>
    <row r="20" spans="1:5" ht="16.5" x14ac:dyDescent="0.25">
      <c r="A20" s="66" t="str">
        <f>CONCATENATE("Раздел: ", Source!G24)</f>
        <v>Раздел: Детский сад ул. Чоботовская д 7</v>
      </c>
      <c r="B20" s="66"/>
      <c r="C20" s="66"/>
      <c r="D20" s="66"/>
      <c r="E20" s="66"/>
    </row>
    <row r="21" spans="1:5" ht="16.5" x14ac:dyDescent="0.25">
      <c r="A21" s="66" t="str">
        <f>CONCATENATE("Подраздел: ", Source!G28)</f>
        <v>Подраздел: группа № 6</v>
      </c>
      <c r="B21" s="66"/>
      <c r="C21" s="66"/>
      <c r="D21" s="66"/>
      <c r="E21" s="66"/>
    </row>
    <row r="22" spans="1:5" ht="14.25" x14ac:dyDescent="0.2">
      <c r="A22" s="71" t="str">
        <f>Source!E32</f>
        <v>1</v>
      </c>
      <c r="B22" s="72" t="str">
        <f>Source!G32</f>
        <v>Удаление пней пнедробилкой, диаметр пня до 0,5 м</v>
      </c>
      <c r="C22" s="73" t="str">
        <f>Source!H32</f>
        <v>пень</v>
      </c>
      <c r="D22" s="74">
        <f>Source!I32</f>
        <v>1</v>
      </c>
      <c r="E22" s="72"/>
    </row>
    <row r="23" spans="1:5" ht="28.5" x14ac:dyDescent="0.2">
      <c r="A23" s="71" t="str">
        <f>Source!E33</f>
        <v>2</v>
      </c>
      <c r="B23" s="72" t="str">
        <f>Source!G33</f>
        <v>Устройство корыта под газоны и цветники с планировкой дна в грунтах 1 и 2 группы</v>
      </c>
      <c r="C23" s="73" t="str">
        <f>Source!H33</f>
        <v>м3</v>
      </c>
      <c r="D23" s="74">
        <f>Source!I33</f>
        <v>37.65</v>
      </c>
      <c r="E23" s="72"/>
    </row>
    <row r="24" spans="1:5" ht="14.25" x14ac:dyDescent="0.2">
      <c r="A24" s="71" t="str">
        <f>Source!E34</f>
        <v>3</v>
      </c>
      <c r="B24" s="72" t="str">
        <f>Source!G34</f>
        <v>Устройство подстилающих и выравнивающих слоев оснований из песка</v>
      </c>
      <c r="C24" s="73" t="str">
        <f>Source!H34</f>
        <v>100 м3</v>
      </c>
      <c r="D24" s="74">
        <f>Source!I34</f>
        <v>0.13400000000000001</v>
      </c>
      <c r="E24" s="72"/>
    </row>
    <row r="25" spans="1:5" ht="28.5" x14ac:dyDescent="0.2">
      <c r="A25" s="71" t="str">
        <f>Source!E35</f>
        <v>4</v>
      </c>
      <c r="B25" s="72" t="str">
        <f>Source!G35</f>
        <v>Устройство оснований под тротуары или дорожки из щебня толщиной 12 см</v>
      </c>
      <c r="C25" s="73" t="str">
        <f>Source!H35</f>
        <v>100 м2</v>
      </c>
      <c r="D25" s="74">
        <f>Source!I35</f>
        <v>1.34</v>
      </c>
      <c r="E25" s="72"/>
    </row>
    <row r="26" spans="1:5" ht="28.5" x14ac:dyDescent="0.2">
      <c r="A26" s="71" t="str">
        <f>Source!E36</f>
        <v>4,1</v>
      </c>
      <c r="B26" s="72" t="str">
        <f>Source!G36</f>
        <v>Щебень из естественного камня для строительных работ, марка 1200-800, фракция 20-40 мм</v>
      </c>
      <c r="C26" s="73" t="str">
        <f>Source!H36</f>
        <v>м3</v>
      </c>
      <c r="D26" s="74">
        <f>Source!I36</f>
        <v>23.315999999999999</v>
      </c>
      <c r="E26" s="72"/>
    </row>
    <row r="27" spans="1:5" ht="28.5" x14ac:dyDescent="0.2">
      <c r="A27" s="71" t="str">
        <f>Source!E37</f>
        <v>4,2</v>
      </c>
      <c r="B27" s="72" t="str">
        <f>Source!G37</f>
        <v>Щебень из естественного камня, декоративный, фракционированный известняковый</v>
      </c>
      <c r="C27" s="73" t="str">
        <f>Source!H37</f>
        <v>м3</v>
      </c>
      <c r="D27" s="74">
        <f>Source!I37</f>
        <v>-23.315999999999999</v>
      </c>
      <c r="E27" s="72"/>
    </row>
    <row r="28" spans="1:5" ht="42.75" x14ac:dyDescent="0.2">
      <c r="A28" s="71" t="str">
        <f>Source!E38</f>
        <v>5</v>
      </c>
      <c r="B28" s="72" t="str">
        <f>Source!G38</f>
        <v>Устройство асфальтобетонных покрытий дорожек и тротуаров двухслойных, верхний слой из песчаной асфальтобетонной смеси толщиной 3 см</v>
      </c>
      <c r="C28" s="73" t="str">
        <f>Source!H38</f>
        <v>100 м2</v>
      </c>
      <c r="D28" s="74">
        <f>Source!I38</f>
        <v>1.34</v>
      </c>
      <c r="E28" s="72"/>
    </row>
    <row r="29" spans="1:5" ht="28.5" x14ac:dyDescent="0.2">
      <c r="A29" s="71" t="str">
        <f>Source!E39</f>
        <v>6</v>
      </c>
      <c r="B29" s="72" t="str">
        <f>Source!G39</f>
        <v>Устройство наливного полиуретанового покрытия спортивных площадок и беговых дорожек толщиной 10 мм</v>
      </c>
      <c r="C29" s="73" t="str">
        <f>Source!H39</f>
        <v>100 м2</v>
      </c>
      <c r="D29" s="74">
        <f>Source!I39</f>
        <v>1.34</v>
      </c>
      <c r="E29" s="72"/>
    </row>
    <row r="30" spans="1:5" ht="28.5" x14ac:dyDescent="0.2">
      <c r="A30" s="71" t="str">
        <f>Source!E40</f>
        <v>7</v>
      </c>
      <c r="B30" s="72" t="str">
        <f>Source!G40</f>
        <v>Устройство наливного полиуретанового покрытия спортивных площадок и беговых дорожек, добавляется на 2 мм толщины покрытия</v>
      </c>
      <c r="C30" s="73" t="str">
        <f>Source!H40</f>
        <v>100 м2</v>
      </c>
      <c r="D30" s="74">
        <f>Source!I40</f>
        <v>1.34</v>
      </c>
      <c r="E30" s="72"/>
    </row>
    <row r="31" spans="1:5" ht="28.5" x14ac:dyDescent="0.2">
      <c r="A31" s="71" t="str">
        <f>Source!E43</f>
        <v>10</v>
      </c>
      <c r="B31" s="72" t="str">
        <f>Source!G43</f>
        <v>Установка бортовых камней бетонных газонных и садовых марка 2ГБ 60.8.20, цвет серый, при цементобетонных покрытиях</v>
      </c>
      <c r="C31" s="73" t="str">
        <f>Source!H43</f>
        <v>100 м</v>
      </c>
      <c r="D31" s="74">
        <f>Source!I43</f>
        <v>0.52</v>
      </c>
      <c r="E31" s="72"/>
    </row>
    <row r="32" spans="1:5" ht="28.5" x14ac:dyDescent="0.2">
      <c r="A32" s="71" t="str">
        <f>Source!E44</f>
        <v>11</v>
      </c>
      <c r="B32" s="72" t="str">
        <f>Source!G44</f>
        <v>Устройство калиток с установкой столбов металлических (без стоимости металлических изделий полотен калиток и стоек опорных)  (МАФ)</v>
      </c>
      <c r="C32" s="73" t="str">
        <f>Source!H44</f>
        <v>100 шт.</v>
      </c>
      <c r="D32" s="74">
        <f>Source!I44</f>
        <v>0.04</v>
      </c>
      <c r="E32" s="72"/>
    </row>
    <row r="33" spans="1:5" ht="14.25" x14ac:dyDescent="0.2">
      <c r="A33" s="71" t="str">
        <f>Source!E45</f>
        <v>11,1</v>
      </c>
      <c r="B33" s="72" t="str">
        <f>Source!G45</f>
        <v>Кирпич керамический обыкновенный, размер 250х120х65 мм, марка 100</v>
      </c>
      <c r="C33" s="73" t="str">
        <f>Source!H45</f>
        <v>1000 шт.</v>
      </c>
      <c r="D33" s="74">
        <f>Source!I45</f>
        <v>-1.48E-3</v>
      </c>
      <c r="E33" s="72"/>
    </row>
    <row r="34" spans="1:5" ht="14.25" x14ac:dyDescent="0.2">
      <c r="A34" s="71" t="str">
        <f>Source!E46</f>
        <v>11,2</v>
      </c>
      <c r="B34" s="72" t="str">
        <f>Source!G46</f>
        <v>Вибраторы глубинные</v>
      </c>
      <c r="C34" s="73" t="str">
        <f>Source!H46</f>
        <v>маш.-ч</v>
      </c>
      <c r="D34" s="74">
        <f>Source!I46</f>
        <v>-0.21759999999999999</v>
      </c>
      <c r="E34" s="72"/>
    </row>
    <row r="35" spans="1:5" ht="14.25" x14ac:dyDescent="0.2">
      <c r="A35" s="71" t="str">
        <f>Source!E47</f>
        <v>11,3</v>
      </c>
      <c r="B35" s="72" t="str">
        <f>Source!G47</f>
        <v>Установки для сварки ручной дуговой (постоянного тока)</v>
      </c>
      <c r="C35" s="73" t="str">
        <f>Source!H47</f>
        <v>маш.-ч</v>
      </c>
      <c r="D35" s="74">
        <f>Source!I47</f>
        <v>-0.57999999999999996</v>
      </c>
      <c r="E35" s="72"/>
    </row>
    <row r="36" spans="1:5" ht="28.5" x14ac:dyDescent="0.2">
      <c r="A36" s="71" t="str">
        <f>Source!E48</f>
        <v>11,4</v>
      </c>
      <c r="B36" s="72" t="str">
        <f>Source!G48</f>
        <v>Экскаваторы на гусеничном ходу гидравлические, объем ковша до 0,25 м3</v>
      </c>
      <c r="C36" s="73" t="str">
        <f>Source!H48</f>
        <v>маш.-ч</v>
      </c>
      <c r="D36" s="74">
        <f>Source!I48</f>
        <v>-3.5999999999999999E-3</v>
      </c>
      <c r="E36" s="72"/>
    </row>
    <row r="37" spans="1:5" ht="28.5" x14ac:dyDescent="0.2">
      <c r="A37" s="71" t="str">
        <f>Source!E49</f>
        <v>11,5</v>
      </c>
      <c r="B37" s="72" t="str">
        <f>Source!G49</f>
        <v>Смеси бетонные, БСГ, песчаного бетона на обогащенном песке, класс прочности: В12,5 (М150)</v>
      </c>
      <c r="C37" s="73" t="str">
        <f>Source!H49</f>
        <v>м3</v>
      </c>
      <c r="D37" s="74">
        <f>Source!I49</f>
        <v>-0.2</v>
      </c>
      <c r="E37" s="72"/>
    </row>
    <row r="38" spans="1:5" ht="14.25" x14ac:dyDescent="0.2">
      <c r="A38" s="71" t="str">
        <f>Source!E50</f>
        <v>11,6</v>
      </c>
      <c r="B38" s="72" t="str">
        <f>Source!G50</f>
        <v>Электроды, тип Э-42, 46, 50, диаметр 4 - 6 мм</v>
      </c>
      <c r="C38" s="73" t="str">
        <f>Source!H50</f>
        <v>т</v>
      </c>
      <c r="D38" s="74">
        <f>Source!I50</f>
        <v>-8.0000000000000004E-4</v>
      </c>
      <c r="E38" s="72"/>
    </row>
    <row r="39" spans="1:5" ht="42.75" x14ac:dyDescent="0.2">
      <c r="A39" s="71" t="str">
        <f>Source!E51</f>
        <v>11,7</v>
      </c>
      <c r="B39" s="72" t="str">
        <f>Source!G51</f>
        <v>МАФ: Песочница с крышкой "Малыш" (РЕ-45) для детских садов и ДОУ 2000х1500х580  Ссылка: https://goroddd.ru/pesoch/pesochnitca-s-kryshkoy-malysh-dlya-detskikh-sadov-i-dou</v>
      </c>
      <c r="C39" s="73" t="str">
        <f>Source!H51</f>
        <v>шт.</v>
      </c>
      <c r="D39" s="74">
        <f>Source!I51</f>
        <v>1</v>
      </c>
      <c r="E39" s="72"/>
    </row>
    <row r="40" spans="1:5" ht="42.75" x14ac:dyDescent="0.2">
      <c r="A40" s="71" t="str">
        <f>Source!E52</f>
        <v>11,8</v>
      </c>
      <c r="B40" s="72" t="str">
        <f>Source!G52</f>
        <v>Функциональный уличный игровой домик для детей "Море" (DO-33) 1800х1350х1450  https://goroddd.ru/detdom/ulichnyy-igrovoy-domik-dlya-detey-more</v>
      </c>
      <c r="C40" s="73" t="str">
        <f>Source!H52</f>
        <v>шт.</v>
      </c>
      <c r="D40" s="74">
        <f>Source!I52</f>
        <v>1</v>
      </c>
      <c r="E40" s="72"/>
    </row>
    <row r="41" spans="1:5" ht="42.75" x14ac:dyDescent="0.2">
      <c r="A41" s="71" t="str">
        <f>Source!E53</f>
        <v>11,9</v>
      </c>
      <c r="B41" s="72" t="str">
        <f>Source!G53</f>
        <v>Детская игровая форма, уличный игровой макет "Рейсовый автобус" (ИМН-7) 2350х1080х1670 https://goroddd.ru/makety-i-elementy/tematicheskiy-maket-dlya-detskikh-ploschadok-reysovyy-avtobus-im</v>
      </c>
      <c r="C41" s="73" t="str">
        <f>Source!H53</f>
        <v>шт.</v>
      </c>
      <c r="D41" s="74">
        <f>Source!I53</f>
        <v>1</v>
      </c>
      <c r="E41" s="72"/>
    </row>
    <row r="42" spans="1:5" ht="28.5" x14ac:dyDescent="0.2">
      <c r="A42" s="71" t="str">
        <f>Source!E54</f>
        <v>11,10</v>
      </c>
      <c r="B42" s="72" t="str">
        <f>Source!G54</f>
        <v>Лавочка двухсторонняя для детских садов "Курица-наседка" (СПН-88) 1200х650х780 http://mes.mosedu.ru/</v>
      </c>
      <c r="C42" s="73" t="str">
        <f>Source!H54</f>
        <v>шт.</v>
      </c>
      <c r="D42" s="74">
        <f>Source!I54</f>
        <v>1</v>
      </c>
      <c r="E42" s="72"/>
    </row>
    <row r="43" spans="1:5" ht="16.5" x14ac:dyDescent="0.25">
      <c r="A43" s="66" t="str">
        <f>CONCATENATE("Подраздел: ", Source!G89)</f>
        <v>Подраздел: Игровая площадка группы №12</v>
      </c>
      <c r="B43" s="66"/>
      <c r="C43" s="66"/>
      <c r="D43" s="66"/>
      <c r="E43" s="66"/>
    </row>
    <row r="44" spans="1:5" ht="28.5" x14ac:dyDescent="0.2">
      <c r="A44" s="71" t="str">
        <f>Source!E93</f>
        <v>12</v>
      </c>
      <c r="B44" s="72" t="str">
        <f>Source!G93</f>
        <v>Устройство корыта под газоны и цветники с планировкой дна в грунтах 1 и 2 группы</v>
      </c>
      <c r="C44" s="73" t="str">
        <f>Source!H93</f>
        <v>м3</v>
      </c>
      <c r="D44" s="74">
        <f>Source!I93</f>
        <v>23.52</v>
      </c>
      <c r="E44" s="72"/>
    </row>
    <row r="45" spans="1:5" ht="28.5" x14ac:dyDescent="0.2">
      <c r="A45" s="71" t="str">
        <f>Source!E94</f>
        <v>13</v>
      </c>
      <c r="B45" s="72" t="str">
        <f>Source!G94</f>
        <v>Устройство подстилающих и выравнивающих слоев оснований из песка (10см)</v>
      </c>
      <c r="C45" s="73" t="str">
        <f>Source!H94</f>
        <v>100 м3</v>
      </c>
      <c r="D45" s="74">
        <f>Source!I94</f>
        <v>8.4000000000000005E-2</v>
      </c>
      <c r="E45" s="72"/>
    </row>
    <row r="46" spans="1:5" ht="28.5" x14ac:dyDescent="0.2">
      <c r="A46" s="71" t="str">
        <f>Source!E95</f>
        <v>14</v>
      </c>
      <c r="B46" s="72" t="str">
        <f>Source!G95</f>
        <v>Устройство оснований под тротуары или дорожки из щебня толщиной 12 см</v>
      </c>
      <c r="C46" s="73" t="str">
        <f>Source!H95</f>
        <v>100 м2</v>
      </c>
      <c r="D46" s="74">
        <f>Source!I95</f>
        <v>0.84</v>
      </c>
      <c r="E46" s="72"/>
    </row>
    <row r="47" spans="1:5" ht="28.5" x14ac:dyDescent="0.2">
      <c r="A47" s="71" t="str">
        <f>Source!E96</f>
        <v>14,1</v>
      </c>
      <c r="B47" s="72" t="str">
        <f>Source!G96</f>
        <v>Щебень из естественного камня для строительных работ, марка 1200-800, фракция 20-40 мм</v>
      </c>
      <c r="C47" s="73" t="str">
        <f>Source!H96</f>
        <v>м3</v>
      </c>
      <c r="D47" s="74">
        <f>Source!I96</f>
        <v>14.615999999999998</v>
      </c>
      <c r="E47" s="72"/>
    </row>
    <row r="48" spans="1:5" ht="28.5" x14ac:dyDescent="0.2">
      <c r="A48" s="71" t="str">
        <f>Source!E97</f>
        <v>14,2</v>
      </c>
      <c r="B48" s="72" t="str">
        <f>Source!G97</f>
        <v>Щебень из естественного камня, декоративный, фракционированный известняковый</v>
      </c>
      <c r="C48" s="73" t="str">
        <f>Source!H97</f>
        <v>м3</v>
      </c>
      <c r="D48" s="74">
        <f>Source!I97</f>
        <v>-14.615999999999998</v>
      </c>
      <c r="E48" s="72"/>
    </row>
    <row r="49" spans="1:5" ht="42.75" x14ac:dyDescent="0.2">
      <c r="A49" s="71" t="str">
        <f>Source!E98</f>
        <v>15</v>
      </c>
      <c r="B49" s="72" t="str">
        <f>Source!G98</f>
        <v>Устройство асфальтобетонных покрытий дорожек и тротуаров двухслойных, верхний слой из песчаной асфальтобетонной смеси толщиной 3 см</v>
      </c>
      <c r="C49" s="73" t="str">
        <f>Source!H98</f>
        <v>100 м2</v>
      </c>
      <c r="D49" s="74">
        <f>Source!I98</f>
        <v>0.84</v>
      </c>
      <c r="E49" s="72"/>
    </row>
    <row r="50" spans="1:5" ht="28.5" x14ac:dyDescent="0.2">
      <c r="A50" s="71" t="str">
        <f>Source!E99</f>
        <v>16</v>
      </c>
      <c r="B50" s="72" t="str">
        <f>Source!G99</f>
        <v>Устройство наливного полиуретанового покрытия спортивных площадок и беговых дорожек толщиной 10 мм</v>
      </c>
      <c r="C50" s="73" t="str">
        <f>Source!H99</f>
        <v>100 м2</v>
      </c>
      <c r="D50" s="74">
        <f>Source!I99</f>
        <v>0.84</v>
      </c>
      <c r="E50" s="72"/>
    </row>
    <row r="51" spans="1:5" ht="28.5" x14ac:dyDescent="0.2">
      <c r="A51" s="71" t="str">
        <f>Source!E100</f>
        <v>17</v>
      </c>
      <c r="B51" s="72" t="str">
        <f>Source!G100</f>
        <v>Устройство наливного полиуретанового покрытия спортивных площадок и беговых дорожек, добавляется на 2 мм толщины покрытия</v>
      </c>
      <c r="C51" s="73" t="str">
        <f>Source!H100</f>
        <v>100 м2</v>
      </c>
      <c r="D51" s="74">
        <f>Source!I100</f>
        <v>0.84</v>
      </c>
      <c r="E51" s="72"/>
    </row>
    <row r="52" spans="1:5" ht="28.5" x14ac:dyDescent="0.2">
      <c r="A52" s="71" t="str">
        <f>Source!E103</f>
        <v>20</v>
      </c>
      <c r="B52" s="72" t="str">
        <f>Source!G103</f>
        <v>Установка бортовых камней бетонных газонных и садовых марка 2ГБ 60.8.20, цвет серый, при цементобетонных покрытиях</v>
      </c>
      <c r="C52" s="73" t="str">
        <f>Source!H103</f>
        <v>100 м</v>
      </c>
      <c r="D52" s="74">
        <f>Source!I103</f>
        <v>0.36799999999999999</v>
      </c>
      <c r="E52" s="72"/>
    </row>
    <row r="53" spans="1:5" ht="28.5" x14ac:dyDescent="0.2">
      <c r="A53" s="71" t="str">
        <f>Source!E104</f>
        <v>21</v>
      </c>
      <c r="B53" s="72" t="str">
        <f>Source!G104</f>
        <v>Устройство калиток с установкой столбов металлических (без стоимости металлических изделий полотен калиток и стоек опорных)</v>
      </c>
      <c r="C53" s="73" t="str">
        <f>Source!H104</f>
        <v>100 шт.</v>
      </c>
      <c r="D53" s="74">
        <f>Source!I104</f>
        <v>0.05</v>
      </c>
      <c r="E53" s="72"/>
    </row>
    <row r="54" spans="1:5" ht="14.25" x14ac:dyDescent="0.2">
      <c r="A54" s="71" t="str">
        <f>Source!E105</f>
        <v>21,1</v>
      </c>
      <c r="B54" s="72" t="str">
        <f>Source!G105</f>
        <v>Кирпич керамический обыкновенный, размер 250х120х65 мм, марка 100</v>
      </c>
      <c r="C54" s="73" t="str">
        <f>Source!H105</f>
        <v>1000 шт.</v>
      </c>
      <c r="D54" s="74">
        <f>Source!I105</f>
        <v>-1.8500000000000001E-3</v>
      </c>
      <c r="E54" s="72"/>
    </row>
    <row r="55" spans="1:5" ht="14.25" x14ac:dyDescent="0.2">
      <c r="A55" s="71" t="str">
        <f>Source!E106</f>
        <v>21,2</v>
      </c>
      <c r="B55" s="72" t="str">
        <f>Source!G106</f>
        <v>Вибраторы глубинные</v>
      </c>
      <c r="C55" s="73" t="str">
        <f>Source!H106</f>
        <v>маш.-ч</v>
      </c>
      <c r="D55" s="74">
        <f>Source!I106</f>
        <v>-0.27200000000000002</v>
      </c>
      <c r="E55" s="72"/>
    </row>
    <row r="56" spans="1:5" ht="14.25" x14ac:dyDescent="0.2">
      <c r="A56" s="71" t="str">
        <f>Source!E107</f>
        <v>21,3</v>
      </c>
      <c r="B56" s="72" t="str">
        <f>Source!G107</f>
        <v>Установки для сварки ручной дуговой (постоянного тока)</v>
      </c>
      <c r="C56" s="73" t="str">
        <f>Source!H107</f>
        <v>маш.-ч</v>
      </c>
      <c r="D56" s="74">
        <f>Source!I107</f>
        <v>-0.72499999999999998</v>
      </c>
      <c r="E56" s="72"/>
    </row>
    <row r="57" spans="1:5" ht="28.5" x14ac:dyDescent="0.2">
      <c r="A57" s="71" t="str">
        <f>Source!E108</f>
        <v>21,4</v>
      </c>
      <c r="B57" s="72" t="str">
        <f>Source!G108</f>
        <v>Экскаваторы на гусеничном ходу гидравлические, объем ковша до 0,25 м3</v>
      </c>
      <c r="C57" s="73" t="str">
        <f>Source!H108</f>
        <v>маш.-ч</v>
      </c>
      <c r="D57" s="74">
        <f>Source!I108</f>
        <v>-4.4999999999999997E-3</v>
      </c>
      <c r="E57" s="72"/>
    </row>
    <row r="58" spans="1:5" ht="28.5" x14ac:dyDescent="0.2">
      <c r="A58" s="71" t="str">
        <f>Source!E109</f>
        <v>21,5</v>
      </c>
      <c r="B58" s="72" t="str">
        <f>Source!G109</f>
        <v>Смеси бетонные, БСГ, песчаного бетона на обогащенном песке, класс прочности: В12,5 (М150)</v>
      </c>
      <c r="C58" s="73" t="str">
        <f>Source!H109</f>
        <v>м3</v>
      </c>
      <c r="D58" s="74">
        <f>Source!I109</f>
        <v>-0.25</v>
      </c>
      <c r="E58" s="72"/>
    </row>
    <row r="59" spans="1:5" ht="14.25" x14ac:dyDescent="0.2">
      <c r="A59" s="71" t="str">
        <f>Source!E110</f>
        <v>21,6</v>
      </c>
      <c r="B59" s="72" t="str">
        <f>Source!G110</f>
        <v>Электроды, тип Э-42, 46, 50, диаметр 4 - 6 мм</v>
      </c>
      <c r="C59" s="73" t="str">
        <f>Source!H110</f>
        <v>т</v>
      </c>
      <c r="D59" s="74">
        <f>Source!I110</f>
        <v>-1E-3</v>
      </c>
      <c r="E59" s="72"/>
    </row>
    <row r="60" spans="1:5" ht="42.75" x14ac:dyDescent="0.2">
      <c r="A60" s="71" t="str">
        <f>Source!E111</f>
        <v>21,7</v>
      </c>
      <c r="B60" s="72" t="str">
        <f>Source!G111</f>
        <v>МАФ: Песочница с крышкой "Малыш" (РЕ-45) для детских садов и ДОУ 2000х1500х580  Ссылка: https://goroddd.ru/pesoch/pesochnitca-s-kryshkoy-malysh-dlya-detskikh-sadov-i-dou</v>
      </c>
      <c r="C60" s="73" t="str">
        <f>Source!H111</f>
        <v>шт.</v>
      </c>
      <c r="D60" s="74">
        <f>Source!I111</f>
        <v>1</v>
      </c>
      <c r="E60" s="72"/>
    </row>
    <row r="61" spans="1:5" ht="42.75" x14ac:dyDescent="0.2">
      <c r="A61" s="71" t="str">
        <f>Source!E112</f>
        <v>21,8</v>
      </c>
      <c r="B61" s="72" t="str">
        <f>Source!G112</f>
        <v>Уличный игровой детский домик для детских садов "Чиполлино" 1400х1400х1700  https://goroddd.ru/detdom/ulichnyy-detskiy-domik-dlya-detskikh-sadov-chipollino-imn-13-140</v>
      </c>
      <c r="C61" s="73" t="str">
        <f>Source!H112</f>
        <v>шт.</v>
      </c>
      <c r="D61" s="74">
        <f>Source!I112</f>
        <v>1</v>
      </c>
      <c r="E61" s="72"/>
    </row>
    <row r="62" spans="1:5" ht="42.75" x14ac:dyDescent="0.2">
      <c r="A62" s="71" t="str">
        <f>Source!E113</f>
        <v>21,9</v>
      </c>
      <c r="B62" s="72" t="str">
        <f>Source!G113</f>
        <v>Игровой макет кораблик для детских площадок "Чунга-Чанга" 2880х1100х2100  https://goroddd.ru/makety-i-elementy/ulichnyy-igrovoy-maket-dlya-detey-chunga-changa-imn-88-2880kh110</v>
      </c>
      <c r="C62" s="73" t="str">
        <f>Source!H113</f>
        <v>шт.</v>
      </c>
      <c r="D62" s="74">
        <f>Source!I113</f>
        <v>1</v>
      </c>
      <c r="E62" s="72"/>
    </row>
    <row r="63" spans="1:5" ht="57" x14ac:dyDescent="0.2">
      <c r="A63" s="71" t="str">
        <f>Source!E114</f>
        <v>21,10</v>
      </c>
      <c r="B63" s="72" t="str">
        <f>Source!G114</f>
        <v>МАФ: Игровое оборудование паровозик для детских садов и ДОУ "Разноцветный паровозик" (ИМН-66) 1900х1000х1600  https://goroddd.ru/makety-i-elementy/igrovoy-maket-dlya-detskikh-ploschadok-raznotcvetnyy-parovozik-i</v>
      </c>
      <c r="C63" s="73" t="str">
        <f>Source!H114</f>
        <v>шт.</v>
      </c>
      <c r="D63" s="74">
        <f>Source!I114</f>
        <v>1</v>
      </c>
      <c r="E63" s="72"/>
    </row>
    <row r="64" spans="1:5" ht="42.75" x14ac:dyDescent="0.2">
      <c r="A64" s="71" t="str">
        <f>Source!E115</f>
        <v>21,11</v>
      </c>
      <c r="B64" s="72" t="str">
        <f>Source!G115</f>
        <v>Детская лавочка со спинкой "Пятнашки" на металлическом каркасе 1600х400х700 https://goroddd.ru/detskie-skameiki-i-stoly/detskaya-lavochka-so-spinkoy-pyatnashki</v>
      </c>
      <c r="C64" s="73" t="str">
        <f>Source!H115</f>
        <v>шт.</v>
      </c>
      <c r="D64" s="74">
        <f>Source!I115</f>
        <v>1</v>
      </c>
      <c r="E64" s="72"/>
    </row>
    <row r="65" spans="1:5" ht="16.5" x14ac:dyDescent="0.25">
      <c r="A65" s="66" t="str">
        <f>CONCATENATE("Подраздел: ", Source!G147)</f>
        <v>Подраздел: Игровая площадка группы № 11</v>
      </c>
      <c r="B65" s="66"/>
      <c r="C65" s="66"/>
      <c r="D65" s="66"/>
      <c r="E65" s="66"/>
    </row>
    <row r="66" spans="1:5" ht="28.5" x14ac:dyDescent="0.2">
      <c r="A66" s="71" t="str">
        <f>Source!E151</f>
        <v>22</v>
      </c>
      <c r="B66" s="72" t="str">
        <f>Source!G151</f>
        <v>Устройство корыта под газоны и цветники с планировкой дна в грунтах 1 и 2 группы</v>
      </c>
      <c r="C66" s="73" t="str">
        <f>Source!H151</f>
        <v>м3</v>
      </c>
      <c r="D66" s="74">
        <f>Source!I151</f>
        <v>28.64</v>
      </c>
      <c r="E66" s="72"/>
    </row>
    <row r="67" spans="1:5" ht="28.5" x14ac:dyDescent="0.2">
      <c r="A67" s="71" t="str">
        <f>Source!E152</f>
        <v>23</v>
      </c>
      <c r="B67" s="72" t="str">
        <f>Source!G152</f>
        <v>Устройство подстилающих и выравнивающих слоев оснований из песка (10см)</v>
      </c>
      <c r="C67" s="73" t="str">
        <f>Source!H152</f>
        <v>100 м3</v>
      </c>
      <c r="D67" s="74">
        <f>Source!I152</f>
        <v>0.1033</v>
      </c>
      <c r="E67" s="72"/>
    </row>
    <row r="68" spans="1:5" ht="28.5" x14ac:dyDescent="0.2">
      <c r="A68" s="71" t="str">
        <f>Source!E153</f>
        <v>24</v>
      </c>
      <c r="B68" s="72" t="str">
        <f>Source!G153</f>
        <v>Устройство оснований под тротуары или дорожки из щебня толщиной 12 см</v>
      </c>
      <c r="C68" s="73" t="str">
        <f>Source!H153</f>
        <v>100 м2</v>
      </c>
      <c r="D68" s="74">
        <f>Source!I153</f>
        <v>1.0232000000000001</v>
      </c>
      <c r="E68" s="72"/>
    </row>
    <row r="69" spans="1:5" ht="28.5" x14ac:dyDescent="0.2">
      <c r="A69" s="71" t="str">
        <f>Source!E154</f>
        <v>24,1</v>
      </c>
      <c r="B69" s="72" t="str">
        <f>Source!G154</f>
        <v>Щебень из естественного камня для строительных работ, марка 1200-800, фракция 20-40 мм</v>
      </c>
      <c r="C69" s="73" t="str">
        <f>Source!H154</f>
        <v>м3</v>
      </c>
      <c r="D69" s="74">
        <f>Source!I154</f>
        <v>17.80368</v>
      </c>
      <c r="E69" s="72"/>
    </row>
    <row r="70" spans="1:5" ht="28.5" x14ac:dyDescent="0.2">
      <c r="A70" s="71" t="str">
        <f>Source!E155</f>
        <v>24,2</v>
      </c>
      <c r="B70" s="72" t="str">
        <f>Source!G155</f>
        <v>Щебень из естественного камня, декоративный, фракционированный известняковый</v>
      </c>
      <c r="C70" s="73" t="str">
        <f>Source!H155</f>
        <v>м3</v>
      </c>
      <c r="D70" s="74">
        <f>Source!I155</f>
        <v>-17.80368</v>
      </c>
      <c r="E70" s="72"/>
    </row>
    <row r="71" spans="1:5" ht="42.75" x14ac:dyDescent="0.2">
      <c r="A71" s="71" t="str">
        <f>Source!E156</f>
        <v>25</v>
      </c>
      <c r="B71" s="72" t="str">
        <f>Source!G156</f>
        <v>Устройство асфальтобетонных покрытий дорожек и тротуаров двухслойных, верхний слой из песчаной асфальтобетонной смеси толщиной 3 см</v>
      </c>
      <c r="C71" s="73" t="str">
        <f>Source!H156</f>
        <v>100 м2</v>
      </c>
      <c r="D71" s="74">
        <f>Source!I156</f>
        <v>1.0232000000000001</v>
      </c>
      <c r="E71" s="72"/>
    </row>
    <row r="72" spans="1:5" ht="28.5" x14ac:dyDescent="0.2">
      <c r="A72" s="71" t="str">
        <f>Source!E157</f>
        <v>26</v>
      </c>
      <c r="B72" s="72" t="str">
        <f>Source!G157</f>
        <v>Устройство наливного полиуретанового покрытия спортивных площадок и беговых дорожек толщиной 10 мм</v>
      </c>
      <c r="C72" s="73" t="str">
        <f>Source!H157</f>
        <v>100 м2</v>
      </c>
      <c r="D72" s="74">
        <f>Source!I157</f>
        <v>1.0232000000000001</v>
      </c>
      <c r="E72" s="72"/>
    </row>
    <row r="73" spans="1:5" ht="28.5" x14ac:dyDescent="0.2">
      <c r="A73" s="71" t="str">
        <f>Source!E158</f>
        <v>27</v>
      </c>
      <c r="B73" s="72" t="str">
        <f>Source!G158</f>
        <v>Устройство наливного полиуретанового покрытия спортивных площадок и беговых дорожек, добавляется на 2 мм толщины покрытия</v>
      </c>
      <c r="C73" s="73" t="str">
        <f>Source!H158</f>
        <v>100 м2</v>
      </c>
      <c r="D73" s="74">
        <f>Source!I158</f>
        <v>1.0232000000000001</v>
      </c>
      <c r="E73" s="72"/>
    </row>
    <row r="74" spans="1:5" ht="28.5" x14ac:dyDescent="0.2">
      <c r="A74" s="71" t="str">
        <f>Source!E161</f>
        <v>30</v>
      </c>
      <c r="B74" s="72" t="str">
        <f>Source!G161</f>
        <v>Установка бортовых камней бетонных газонных и садовых марка 2ГБ 60.8.20, цвет серый, при цементобетонных покрытиях</v>
      </c>
      <c r="C74" s="73" t="str">
        <f>Source!H161</f>
        <v>100 м</v>
      </c>
      <c r="D74" s="74">
        <f>Source!I161</f>
        <v>0.43219999999999997</v>
      </c>
      <c r="E74" s="72"/>
    </row>
    <row r="75" spans="1:5" ht="28.5" x14ac:dyDescent="0.2">
      <c r="A75" s="71" t="str">
        <f>Source!E162</f>
        <v>31</v>
      </c>
      <c r="B75" s="72" t="str">
        <f>Source!G162</f>
        <v>Устройство калиток с установкой столбов металлических (без стоимости металлических изделий полотен калиток и стоек опорных)</v>
      </c>
      <c r="C75" s="73" t="str">
        <f>Source!H162</f>
        <v>100 шт.</v>
      </c>
      <c r="D75" s="74">
        <f>Source!I162</f>
        <v>0.03</v>
      </c>
      <c r="E75" s="72"/>
    </row>
    <row r="76" spans="1:5" ht="14.25" x14ac:dyDescent="0.2">
      <c r="A76" s="71" t="str">
        <f>Source!E163</f>
        <v>31,1</v>
      </c>
      <c r="B76" s="72" t="str">
        <f>Source!G163</f>
        <v>Кирпич керамический обыкновенный, размер 250х120х65 мм, марка 100</v>
      </c>
      <c r="C76" s="73" t="str">
        <f>Source!H163</f>
        <v>1000 шт.</v>
      </c>
      <c r="D76" s="74">
        <f>Source!I163</f>
        <v>-1.1100000000000001E-3</v>
      </c>
      <c r="E76" s="72"/>
    </row>
    <row r="77" spans="1:5" ht="14.25" x14ac:dyDescent="0.2">
      <c r="A77" s="71" t="str">
        <f>Source!E164</f>
        <v>31,2</v>
      </c>
      <c r="B77" s="72" t="str">
        <f>Source!G164</f>
        <v>Вибраторы глубинные</v>
      </c>
      <c r="C77" s="73" t="str">
        <f>Source!H164</f>
        <v>маш.-ч</v>
      </c>
      <c r="D77" s="74">
        <f>Source!I164</f>
        <v>-0.16320000000000001</v>
      </c>
      <c r="E77" s="72"/>
    </row>
    <row r="78" spans="1:5" ht="14.25" x14ac:dyDescent="0.2">
      <c r="A78" s="71" t="str">
        <f>Source!E165</f>
        <v>31,3</v>
      </c>
      <c r="B78" s="72" t="str">
        <f>Source!G165</f>
        <v>Установки для сварки ручной дуговой (постоянного тока)</v>
      </c>
      <c r="C78" s="73" t="str">
        <f>Source!H165</f>
        <v>маш.-ч</v>
      </c>
      <c r="D78" s="74">
        <f>Source!I165</f>
        <v>-0.435</v>
      </c>
      <c r="E78" s="72"/>
    </row>
    <row r="79" spans="1:5" ht="28.5" x14ac:dyDescent="0.2">
      <c r="A79" s="71" t="str">
        <f>Source!E166</f>
        <v>31,4</v>
      </c>
      <c r="B79" s="72" t="str">
        <f>Source!G166</f>
        <v>Экскаваторы на гусеничном ходу гидравлические, объем ковша до 0,25 м3</v>
      </c>
      <c r="C79" s="73" t="str">
        <f>Source!H166</f>
        <v>маш.-ч</v>
      </c>
      <c r="D79" s="74">
        <f>Source!I166</f>
        <v>-2.7000000000000001E-3</v>
      </c>
      <c r="E79" s="72"/>
    </row>
    <row r="80" spans="1:5" ht="28.5" x14ac:dyDescent="0.2">
      <c r="A80" s="71" t="str">
        <f>Source!E167</f>
        <v>31,5</v>
      </c>
      <c r="B80" s="72" t="str">
        <f>Source!G167</f>
        <v>Смеси бетонные, БСГ, песчаного бетона на обогащенном песке, класс прочности: В12,5 (М150)</v>
      </c>
      <c r="C80" s="73" t="str">
        <f>Source!H167</f>
        <v>м3</v>
      </c>
      <c r="D80" s="74">
        <f>Source!I167</f>
        <v>-0.15</v>
      </c>
      <c r="E80" s="72"/>
    </row>
    <row r="81" spans="1:5" ht="14.25" x14ac:dyDescent="0.2">
      <c r="A81" s="71" t="str">
        <f>Source!E168</f>
        <v>31,6</v>
      </c>
      <c r="B81" s="72" t="str">
        <f>Source!G168</f>
        <v>Электроды, тип Э-42, 46, 50, диаметр 4 - 6 мм</v>
      </c>
      <c r="C81" s="73" t="str">
        <f>Source!H168</f>
        <v>т</v>
      </c>
      <c r="D81" s="74">
        <f>Source!I168</f>
        <v>-5.9999999999999995E-4</v>
      </c>
      <c r="E81" s="72"/>
    </row>
    <row r="82" spans="1:5" ht="42.75" x14ac:dyDescent="0.2">
      <c r="A82" s="71" t="str">
        <f>Source!E169</f>
        <v>31,7</v>
      </c>
      <c r="B82" s="72" t="str">
        <f>Source!G169</f>
        <v>МАФ: Песочница с крышкой "Малыш" (РЕ-45) для детских садов и ДОУ 2000х1500х580  Ссылка: https://goroddd.ru/pesoch/pesochnitca-s-kryshkoy-malysh-dlya-detskikh-sadov-i-dou</v>
      </c>
      <c r="C82" s="73" t="str">
        <f>Source!H169</f>
        <v>шт.</v>
      </c>
      <c r="D82" s="74">
        <f>Source!I169</f>
        <v>1</v>
      </c>
      <c r="E82" s="72"/>
    </row>
    <row r="83" spans="1:5" ht="42.75" x14ac:dyDescent="0.2">
      <c r="A83" s="71" t="str">
        <f>Source!E170</f>
        <v>31,8</v>
      </c>
      <c r="B83" s="72" t="str">
        <f>Source!G170</f>
        <v>Игровой макет кораблик для детских площадок "Чунга-Чанга" 2880х1100х2100  https://goroddd.ru/makety-i-elementy/ulichnyy-igrovoy-maket-dlya-detey-chunga-changa-imn-88-2880kh110</v>
      </c>
      <c r="C83" s="73" t="str">
        <f>Source!H170</f>
        <v>шт.</v>
      </c>
      <c r="D83" s="74">
        <f>Source!I170</f>
        <v>1</v>
      </c>
      <c r="E83" s="72"/>
    </row>
    <row r="84" spans="1:5" ht="28.5" x14ac:dyDescent="0.2">
      <c r="A84" s="71" t="str">
        <f>Source!E171</f>
        <v>31,9</v>
      </c>
      <c r="B84" s="72" t="str">
        <f>Source!G171</f>
        <v>Лавочка двухсторонняя для детских садов "Курица-наседка" (СПН-88) 1200х650х780 http://mes.mosedu.ru/</v>
      </c>
      <c r="C84" s="73" t="str">
        <f>Source!H171</f>
        <v>шт.</v>
      </c>
      <c r="D84" s="74">
        <f>Source!I171</f>
        <v>1</v>
      </c>
      <c r="E84" s="72"/>
    </row>
    <row r="85" spans="1:5" ht="16.5" x14ac:dyDescent="0.25">
      <c r="A85" s="66" t="str">
        <f>CONCATENATE("Подраздел: ", Source!G203)</f>
        <v>Подраздел: Игровая площадка группы № 8</v>
      </c>
      <c r="B85" s="66"/>
      <c r="C85" s="66"/>
      <c r="D85" s="66"/>
      <c r="E85" s="66"/>
    </row>
    <row r="86" spans="1:5" ht="28.5" x14ac:dyDescent="0.2">
      <c r="A86" s="71" t="str">
        <f>Source!E207</f>
        <v>32</v>
      </c>
      <c r="B86" s="72" t="str">
        <f>Source!G207</f>
        <v>Устройство корыта под газоны и цветники с планировкой дна в грунтах 1 и 2 группы</v>
      </c>
      <c r="C86" s="73" t="str">
        <f>Source!H207</f>
        <v>м3</v>
      </c>
      <c r="D86" s="74">
        <f>Source!I207</f>
        <v>25.2</v>
      </c>
      <c r="E86" s="72"/>
    </row>
    <row r="87" spans="1:5" ht="28.5" x14ac:dyDescent="0.2">
      <c r="A87" s="71" t="str">
        <f>Source!E208</f>
        <v>33</v>
      </c>
      <c r="B87" s="72" t="str">
        <f>Source!G208</f>
        <v>Устройство подстилающих и выравнивающих слоев оснований из песка (10см)</v>
      </c>
      <c r="C87" s="73" t="str">
        <f>Source!H208</f>
        <v>100 м3</v>
      </c>
      <c r="D87" s="74">
        <f>Source!I208</f>
        <v>0.09</v>
      </c>
      <c r="E87" s="72"/>
    </row>
    <row r="88" spans="1:5" ht="28.5" x14ac:dyDescent="0.2">
      <c r="A88" s="71" t="str">
        <f>Source!E209</f>
        <v>34</v>
      </c>
      <c r="B88" s="72" t="str">
        <f>Source!G209</f>
        <v>Устройство оснований под тротуары или дорожки из щебня толщиной 12 см</v>
      </c>
      <c r="C88" s="73" t="str">
        <f>Source!H209</f>
        <v>100 м2</v>
      </c>
      <c r="D88" s="74">
        <f>Source!I209</f>
        <v>0.9</v>
      </c>
      <c r="E88" s="72"/>
    </row>
    <row r="89" spans="1:5" ht="28.5" x14ac:dyDescent="0.2">
      <c r="A89" s="71" t="str">
        <f>Source!E210</f>
        <v>34,1</v>
      </c>
      <c r="B89" s="72" t="str">
        <f>Source!G210</f>
        <v>Щебень из естественного камня для строительных работ, марка 1200-800, фракция 20-40 мм</v>
      </c>
      <c r="C89" s="73" t="str">
        <f>Source!H210</f>
        <v>м3</v>
      </c>
      <c r="D89" s="74">
        <f>Source!I210</f>
        <v>15.659999999999998</v>
      </c>
      <c r="E89" s="72"/>
    </row>
    <row r="90" spans="1:5" ht="28.5" x14ac:dyDescent="0.2">
      <c r="A90" s="71" t="str">
        <f>Source!E211</f>
        <v>34,2</v>
      </c>
      <c r="B90" s="72" t="str">
        <f>Source!G211</f>
        <v>Щебень из естественного камня, декоративный, фракционированный известняковый</v>
      </c>
      <c r="C90" s="73" t="str">
        <f>Source!H211</f>
        <v>м3</v>
      </c>
      <c r="D90" s="74">
        <f>Source!I211</f>
        <v>-15.659999999999998</v>
      </c>
      <c r="E90" s="72"/>
    </row>
    <row r="91" spans="1:5" ht="42.75" x14ac:dyDescent="0.2">
      <c r="A91" s="71" t="str">
        <f>Source!E212</f>
        <v>35</v>
      </c>
      <c r="B91" s="72" t="str">
        <f>Source!G212</f>
        <v>Устройство асфальтобетонных покрытий дорожек и тротуаров двухслойных, верхний слой из песчаной асфальтобетонной смеси толщиной 3 см</v>
      </c>
      <c r="C91" s="73" t="str">
        <f>Source!H212</f>
        <v>100 м2</v>
      </c>
      <c r="D91" s="74">
        <f>Source!I212</f>
        <v>0.9</v>
      </c>
      <c r="E91" s="72"/>
    </row>
    <row r="92" spans="1:5" ht="28.5" x14ac:dyDescent="0.2">
      <c r="A92" s="71" t="str">
        <f>Source!E213</f>
        <v>36</v>
      </c>
      <c r="B92" s="72" t="str">
        <f>Source!G213</f>
        <v>Устройство наливного полиуретанового покрытия спортивных площадок и беговых дорожек толщиной 10 мм</v>
      </c>
      <c r="C92" s="73" t="str">
        <f>Source!H213</f>
        <v>100 м2</v>
      </c>
      <c r="D92" s="74">
        <f>Source!I213</f>
        <v>0.9</v>
      </c>
      <c r="E92" s="72"/>
    </row>
    <row r="93" spans="1:5" ht="28.5" x14ac:dyDescent="0.2">
      <c r="A93" s="71" t="str">
        <f>Source!E214</f>
        <v>37</v>
      </c>
      <c r="B93" s="72" t="str">
        <f>Source!G214</f>
        <v>Устройство наливного полиуретанового покрытия спортивных площадок и беговых дорожек, добавляется на 2 мм толщины покрытия</v>
      </c>
      <c r="C93" s="73" t="str">
        <f>Source!H214</f>
        <v>100 м2</v>
      </c>
      <c r="D93" s="74">
        <f>Source!I214</f>
        <v>0.9</v>
      </c>
      <c r="E93" s="72"/>
    </row>
    <row r="94" spans="1:5" ht="28.5" x14ac:dyDescent="0.2">
      <c r="A94" s="71" t="str">
        <f>Source!E217</f>
        <v>40</v>
      </c>
      <c r="B94" s="72" t="str">
        <f>Source!G217</f>
        <v>Установка бортовых камней бетонных газонных и садовых марка 2ГБ 60.8.20, цвет серый, при цементобетонных покрытиях</v>
      </c>
      <c r="C94" s="73" t="str">
        <f>Source!H217</f>
        <v>100 м</v>
      </c>
      <c r="D94" s="74">
        <f>Source!I217</f>
        <v>0.38</v>
      </c>
      <c r="E94" s="72"/>
    </row>
    <row r="95" spans="1:5" ht="42.75" x14ac:dyDescent="0.2">
      <c r="A95" s="71" t="str">
        <f>Source!E218</f>
        <v>41</v>
      </c>
      <c r="B95" s="72" t="str">
        <f>Source!G218</f>
        <v>Устройство калиток с установкой столбов металлических (без стоимости металлических изделий полотен калиток и стоек опорных) (установка МАФов)</v>
      </c>
      <c r="C95" s="73" t="str">
        <f>Source!H218</f>
        <v>100 шт.</v>
      </c>
      <c r="D95" s="74">
        <f>Source!I218</f>
        <v>0.03</v>
      </c>
      <c r="E95" s="72"/>
    </row>
    <row r="96" spans="1:5" ht="14.25" x14ac:dyDescent="0.2">
      <c r="A96" s="71" t="str">
        <f>Source!E219</f>
        <v>41,1</v>
      </c>
      <c r="B96" s="72" t="str">
        <f>Source!G219</f>
        <v>Кирпич керамический обыкновенный, размер 250х120х65 мм, марка 100</v>
      </c>
      <c r="C96" s="73" t="str">
        <f>Source!H219</f>
        <v>1000 шт.</v>
      </c>
      <c r="D96" s="74">
        <f>Source!I219</f>
        <v>-1.1100000000000001E-3</v>
      </c>
      <c r="E96" s="72"/>
    </row>
    <row r="97" spans="1:5" ht="14.25" x14ac:dyDescent="0.2">
      <c r="A97" s="71" t="str">
        <f>Source!E220</f>
        <v>41,2</v>
      </c>
      <c r="B97" s="72" t="str">
        <f>Source!G220</f>
        <v>Вибраторы глубинные</v>
      </c>
      <c r="C97" s="73" t="str">
        <f>Source!H220</f>
        <v>маш.-ч</v>
      </c>
      <c r="D97" s="74">
        <f>Source!I220</f>
        <v>-0.16320000000000001</v>
      </c>
      <c r="E97" s="72"/>
    </row>
    <row r="98" spans="1:5" ht="14.25" x14ac:dyDescent="0.2">
      <c r="A98" s="71" t="str">
        <f>Source!E221</f>
        <v>41,3</v>
      </c>
      <c r="B98" s="72" t="str">
        <f>Source!G221</f>
        <v>Установки для сварки ручной дуговой (постоянного тока)</v>
      </c>
      <c r="C98" s="73" t="str">
        <f>Source!H221</f>
        <v>маш.-ч</v>
      </c>
      <c r="D98" s="74">
        <f>Source!I221</f>
        <v>-0.435</v>
      </c>
      <c r="E98" s="72"/>
    </row>
    <row r="99" spans="1:5" ht="28.5" x14ac:dyDescent="0.2">
      <c r="A99" s="71" t="str">
        <f>Source!E222</f>
        <v>41,4</v>
      </c>
      <c r="B99" s="72" t="str">
        <f>Source!G222</f>
        <v>Экскаваторы на гусеничном ходу гидравлические, объем ковша до 0,25 м3</v>
      </c>
      <c r="C99" s="73" t="str">
        <f>Source!H222</f>
        <v>маш.-ч</v>
      </c>
      <c r="D99" s="74">
        <f>Source!I222</f>
        <v>-2.7000000000000001E-3</v>
      </c>
      <c r="E99" s="72"/>
    </row>
    <row r="100" spans="1:5" ht="28.5" x14ac:dyDescent="0.2">
      <c r="A100" s="71" t="str">
        <f>Source!E223</f>
        <v>41,5</v>
      </c>
      <c r="B100" s="72" t="str">
        <f>Source!G223</f>
        <v>Смеси бетонные, БСГ, песчаного бетона на обогащенном песке, класс прочности: В12,5 (М150)</v>
      </c>
      <c r="C100" s="73" t="str">
        <f>Source!H223</f>
        <v>м3</v>
      </c>
      <c r="D100" s="74">
        <f>Source!I223</f>
        <v>-0.15</v>
      </c>
      <c r="E100" s="72"/>
    </row>
    <row r="101" spans="1:5" ht="14.25" x14ac:dyDescent="0.2">
      <c r="A101" s="71" t="str">
        <f>Source!E224</f>
        <v>41,6</v>
      </c>
      <c r="B101" s="72" t="str">
        <f>Source!G224</f>
        <v>Электроды, тип Э-42, 46, 50, диаметр 4 - 6 мм</v>
      </c>
      <c r="C101" s="73" t="str">
        <f>Source!H224</f>
        <v>т</v>
      </c>
      <c r="D101" s="74">
        <f>Source!I224</f>
        <v>-5.9999999999999995E-4</v>
      </c>
      <c r="E101" s="72"/>
    </row>
    <row r="102" spans="1:5" ht="42.75" x14ac:dyDescent="0.2">
      <c r="A102" s="71" t="str">
        <f>Source!E225</f>
        <v>41,7</v>
      </c>
      <c r="B102" s="72" t="str">
        <f>Source!G225</f>
        <v>МАФ: Песочница с крышкой "Малыш" (РЕ-45) для детских садов и ДОУ 2000х1500х580  Ссылка: https://goroddd.ru/pesoch/pesochnitca-s-kryshkoy-malysh-dlya-detskikh-sadov-i-dou</v>
      </c>
      <c r="C102" s="73" t="str">
        <f>Source!H225</f>
        <v>шт.</v>
      </c>
      <c r="D102" s="74">
        <f>Source!I225</f>
        <v>1</v>
      </c>
      <c r="E102" s="72"/>
    </row>
    <row r="103" spans="1:5" ht="42.75" x14ac:dyDescent="0.2">
      <c r="A103" s="71" t="str">
        <f>Source!E226</f>
        <v>41,8</v>
      </c>
      <c r="B103" s="72" t="str">
        <f>Source!G226</f>
        <v>Функциональный уличный игровой домик для детей "Море" (DO-33) 1800х1350х1450  https://goroddd.ru/detdom/ulichnyy-igrovoy-domik-dlya-detey-more</v>
      </c>
      <c r="C103" s="73" t="str">
        <f>Source!H226</f>
        <v>шт.</v>
      </c>
      <c r="D103" s="74">
        <f>Source!I226</f>
        <v>1</v>
      </c>
      <c r="E103" s="72"/>
    </row>
    <row r="104" spans="1:5" ht="57" x14ac:dyDescent="0.2">
      <c r="A104" s="71" t="str">
        <f>Source!E227</f>
        <v>41,9</v>
      </c>
      <c r="B104" s="72" t="str">
        <f>Source!G227</f>
        <v>МАФ: Игровое оборудование паровозик для детских садов и ДОУ "Разноцветный паровозик" (ИМН-66) 1900х1000х1600  https://goroddd.ru/makety-i-elementy/igrovoy-maket-dlya-detskikh-ploschadok-raznotcvetnyy-parovozik-i</v>
      </c>
      <c r="C104" s="73" t="str">
        <f>Source!H227</f>
        <v>шт.</v>
      </c>
      <c r="D104" s="74">
        <f>Source!I227</f>
        <v>1</v>
      </c>
      <c r="E104" s="72"/>
    </row>
    <row r="105" spans="1:5" ht="16.5" x14ac:dyDescent="0.25">
      <c r="A105" s="66" t="str">
        <f>CONCATENATE("Подраздел: ", Source!G259)</f>
        <v>Подраздел: Игровая площадка группы № 10</v>
      </c>
      <c r="B105" s="66"/>
      <c r="C105" s="66"/>
      <c r="D105" s="66"/>
      <c r="E105" s="66"/>
    </row>
    <row r="106" spans="1:5" ht="28.5" x14ac:dyDescent="0.2">
      <c r="A106" s="71" t="str">
        <f>Source!E263</f>
        <v>42</v>
      </c>
      <c r="B106" s="72" t="str">
        <f>Source!G263</f>
        <v>Разборка полиуретанового покрытия игровых площадок, спортивных дорожек и площадок - на асфальтобетонном основании</v>
      </c>
      <c r="C106" s="73" t="str">
        <f>Source!H263</f>
        <v>100 м2</v>
      </c>
      <c r="D106" s="74">
        <f>Source!I263</f>
        <v>0.57689999999999997</v>
      </c>
      <c r="E106" s="72"/>
    </row>
    <row r="107" spans="1:5" ht="14.25" x14ac:dyDescent="0.2">
      <c r="A107" s="71" t="str">
        <f>Source!E264</f>
        <v>43</v>
      </c>
      <c r="B107" s="72" t="str">
        <f>Source!G264</f>
        <v>Разборка покрытий и оснований асфальтобетонных</v>
      </c>
      <c r="C107" s="73" t="str">
        <f>Source!H264</f>
        <v>100 м3</v>
      </c>
      <c r="D107" s="74">
        <f>Source!I264</f>
        <v>2.8799999999999999E-2</v>
      </c>
      <c r="E107" s="72"/>
    </row>
    <row r="108" spans="1:5" ht="14.25" x14ac:dyDescent="0.2">
      <c r="A108" s="71" t="str">
        <f>Source!E265</f>
        <v>44</v>
      </c>
      <c r="B108" s="72" t="str">
        <f>Source!G265</f>
        <v>Разборка покрытий и оснований щебеночных</v>
      </c>
      <c r="C108" s="73" t="str">
        <f>Source!H265</f>
        <v>100 м3</v>
      </c>
      <c r="D108" s="74">
        <f>Source!I265</f>
        <v>6.9199999999999998E-2</v>
      </c>
      <c r="E108" s="72"/>
    </row>
    <row r="109" spans="1:5" ht="28.5" x14ac:dyDescent="0.2">
      <c r="A109" s="71" t="str">
        <f>Source!E266</f>
        <v>45</v>
      </c>
      <c r="B109" s="72" t="str">
        <f>Source!G266</f>
        <v>Разработка грунта с погрузкой на автомобили-самосвалы экскаваторами с ковшом вместимостью 0,4 м3, группа грунтов 1-3</v>
      </c>
      <c r="C109" s="73" t="str">
        <f>Source!H266</f>
        <v>100 м3</v>
      </c>
      <c r="D109" s="74">
        <f>Source!I266</f>
        <v>0.253</v>
      </c>
      <c r="E109" s="72"/>
    </row>
    <row r="110" spans="1:5" ht="14.25" x14ac:dyDescent="0.2">
      <c r="A110" s="71" t="str">
        <f>Source!E267</f>
        <v>46</v>
      </c>
      <c r="B110" s="72" t="str">
        <f>Source!G267</f>
        <v>Устройство подстилающих и выравнивающих слоев оснований из песка</v>
      </c>
      <c r="C110" s="73" t="str">
        <f>Source!H267</f>
        <v>100 м3</v>
      </c>
      <c r="D110" s="74">
        <f>Source!I267</f>
        <v>0.1012</v>
      </c>
      <c r="E110" s="72"/>
    </row>
    <row r="111" spans="1:5" ht="28.5" x14ac:dyDescent="0.2">
      <c r="A111" s="71" t="str">
        <f>Source!E268</f>
        <v>47</v>
      </c>
      <c r="B111" s="72" t="str">
        <f>Source!G268</f>
        <v>Устройство оснований под тротуары или дорожки из щебня толщиной 12 см</v>
      </c>
      <c r="C111" s="73" t="str">
        <f>Source!H268</f>
        <v>100 м2</v>
      </c>
      <c r="D111" s="74">
        <f>Source!I268</f>
        <v>1.012</v>
      </c>
      <c r="E111" s="72"/>
    </row>
    <row r="112" spans="1:5" ht="28.5" x14ac:dyDescent="0.2">
      <c r="A112" s="71" t="str">
        <f>Source!E269</f>
        <v>47,1</v>
      </c>
      <c r="B112" s="72" t="str">
        <f>Source!G269</f>
        <v>Щебень из естественного камня для строительных работ, марка 1200-800, фракция 20-40 мм</v>
      </c>
      <c r="C112" s="73" t="str">
        <f>Source!H269</f>
        <v>м3</v>
      </c>
      <c r="D112" s="74">
        <f>Source!I269</f>
        <v>17.608000000000001</v>
      </c>
      <c r="E112" s="72"/>
    </row>
    <row r="113" spans="1:5" ht="28.5" x14ac:dyDescent="0.2">
      <c r="A113" s="71" t="str">
        <f>Source!E270</f>
        <v>47,2</v>
      </c>
      <c r="B113" s="72" t="str">
        <f>Source!G270</f>
        <v>Щебень из естественного камня, декоративный, фракционированный известняковый</v>
      </c>
      <c r="C113" s="73" t="str">
        <f>Source!H270</f>
        <v>м3</v>
      </c>
      <c r="D113" s="74">
        <f>Source!I270</f>
        <v>-17.608799999999999</v>
      </c>
      <c r="E113" s="72"/>
    </row>
    <row r="114" spans="1:5" ht="42.75" x14ac:dyDescent="0.2">
      <c r="A114" s="71" t="str">
        <f>Source!E271</f>
        <v>48</v>
      </c>
      <c r="B114" s="72" t="str">
        <f>Source!G271</f>
        <v>Устройство асфальтобетонных покрытий дорожек и тротуаров двухслойных, верхний слой из песчаной асфальтобетонной смеси толщиной 3 см</v>
      </c>
      <c r="C114" s="73" t="str">
        <f>Source!H271</f>
        <v>100 м2</v>
      </c>
      <c r="D114" s="74">
        <f>Source!I271</f>
        <v>1.012</v>
      </c>
      <c r="E114" s="72"/>
    </row>
    <row r="115" spans="1:5" ht="28.5" x14ac:dyDescent="0.2">
      <c r="A115" s="71" t="str">
        <f>Source!E272</f>
        <v>49</v>
      </c>
      <c r="B115" s="72" t="str">
        <f>Source!G272</f>
        <v>Устройство наливного полиуретанового покрытия спортивных площадок и беговых дорожек толщиной 10 мм</v>
      </c>
      <c r="C115" s="73" t="str">
        <f>Source!H272</f>
        <v>100 м2</v>
      </c>
      <c r="D115" s="74">
        <f>Source!I272</f>
        <v>1.012</v>
      </c>
      <c r="E115" s="72"/>
    </row>
    <row r="116" spans="1:5" ht="28.5" x14ac:dyDescent="0.2">
      <c r="A116" s="71" t="str">
        <f>Source!E273</f>
        <v>50</v>
      </c>
      <c r="B116" s="72" t="str">
        <f>Source!G273</f>
        <v>Устройство наливного полиуретанового покрытия спортивных площадок и беговых дорожек, добавляется на 2 мм толщины покрытия</v>
      </c>
      <c r="C116" s="73" t="str">
        <f>Source!H273</f>
        <v>100 м2</v>
      </c>
      <c r="D116" s="74">
        <f>Source!I273</f>
        <v>1.012</v>
      </c>
      <c r="E116" s="72"/>
    </row>
    <row r="117" spans="1:5" ht="28.5" x14ac:dyDescent="0.2">
      <c r="A117" s="71" t="str">
        <f>Source!E276</f>
        <v>53</v>
      </c>
      <c r="B117" s="72" t="str">
        <f>Source!G276</f>
        <v>Установка бортовых камней бетонных газонных и садовых марка 2ГБ 60.8.20, цвет серый, при цементобетонных покрытиях</v>
      </c>
      <c r="C117" s="73" t="str">
        <f>Source!H276</f>
        <v>100 м</v>
      </c>
      <c r="D117" s="74">
        <f>Source!I276</f>
        <v>0.40400000000000003</v>
      </c>
      <c r="E117" s="72"/>
    </row>
    <row r="118" spans="1:5" ht="42.75" x14ac:dyDescent="0.2">
      <c r="A118" s="71" t="str">
        <f>Source!E277</f>
        <v>54</v>
      </c>
      <c r="B118" s="72" t="str">
        <f>Source!G277</f>
        <v>Устройство калиток с установкой столбов металлических (без стоимости металлических изделий полотен калиток и стоек опорных) (установка МАФов)</v>
      </c>
      <c r="C118" s="73" t="str">
        <f>Source!H277</f>
        <v>100 шт.</v>
      </c>
      <c r="D118" s="74">
        <f>Source!I277</f>
        <v>0.04</v>
      </c>
      <c r="E118" s="72"/>
    </row>
    <row r="119" spans="1:5" ht="14.25" x14ac:dyDescent="0.2">
      <c r="A119" s="71" t="str">
        <f>Source!E278</f>
        <v>54,1</v>
      </c>
      <c r="B119" s="72" t="str">
        <f>Source!G278</f>
        <v>Кирпич керамический обыкновенный, размер 250х120х65 мм, марка 100</v>
      </c>
      <c r="C119" s="73" t="str">
        <f>Source!H278</f>
        <v>1000 шт.</v>
      </c>
      <c r="D119" s="74">
        <f>Source!I278</f>
        <v>-1.48E-3</v>
      </c>
      <c r="E119" s="72"/>
    </row>
    <row r="120" spans="1:5" ht="14.25" x14ac:dyDescent="0.2">
      <c r="A120" s="71" t="str">
        <f>Source!E279</f>
        <v>54,2</v>
      </c>
      <c r="B120" s="72" t="str">
        <f>Source!G279</f>
        <v>Вибраторы глубинные</v>
      </c>
      <c r="C120" s="73" t="str">
        <f>Source!H279</f>
        <v>маш.-ч</v>
      </c>
      <c r="D120" s="74">
        <f>Source!I279</f>
        <v>-0.21759999999999999</v>
      </c>
      <c r="E120" s="72"/>
    </row>
    <row r="121" spans="1:5" ht="14.25" x14ac:dyDescent="0.2">
      <c r="A121" s="71" t="str">
        <f>Source!E280</f>
        <v>54,3</v>
      </c>
      <c r="B121" s="72" t="str">
        <f>Source!G280</f>
        <v>Установки для сварки ручной дуговой (постоянного тока)</v>
      </c>
      <c r="C121" s="73" t="str">
        <f>Source!H280</f>
        <v>маш.-ч</v>
      </c>
      <c r="D121" s="74">
        <f>Source!I280</f>
        <v>-0.57999999999999996</v>
      </c>
      <c r="E121" s="72"/>
    </row>
    <row r="122" spans="1:5" ht="28.5" x14ac:dyDescent="0.2">
      <c r="A122" s="71" t="str">
        <f>Source!E281</f>
        <v>54,4</v>
      </c>
      <c r="B122" s="72" t="str">
        <f>Source!G281</f>
        <v>Экскаваторы на гусеничном ходу гидравлические, объем ковша до 0,25 м3</v>
      </c>
      <c r="C122" s="73" t="str">
        <f>Source!H281</f>
        <v>маш.-ч</v>
      </c>
      <c r="D122" s="74">
        <f>Source!I281</f>
        <v>-3.5999999999999999E-3</v>
      </c>
      <c r="E122" s="72"/>
    </row>
    <row r="123" spans="1:5" ht="28.5" x14ac:dyDescent="0.2">
      <c r="A123" s="71" t="str">
        <f>Source!E282</f>
        <v>54,5</v>
      </c>
      <c r="B123" s="72" t="str">
        <f>Source!G282</f>
        <v>Смеси бетонные, БСГ, песчаного бетона на обогащенном песке, класс прочности: В12,5 (М150)</v>
      </c>
      <c r="C123" s="73" t="str">
        <f>Source!H282</f>
        <v>м3</v>
      </c>
      <c r="D123" s="74">
        <f>Source!I282</f>
        <v>-0.2</v>
      </c>
      <c r="E123" s="72"/>
    </row>
    <row r="124" spans="1:5" ht="14.25" x14ac:dyDescent="0.2">
      <c r="A124" s="71" t="str">
        <f>Source!E283</f>
        <v>54,6</v>
      </c>
      <c r="B124" s="72" t="str">
        <f>Source!G283</f>
        <v>Электроды, тип Э-42, 46, 50, диаметр 4 - 6 мм</v>
      </c>
      <c r="C124" s="73" t="str">
        <f>Source!H283</f>
        <v>т</v>
      </c>
      <c r="D124" s="74">
        <f>Source!I283</f>
        <v>-8.0000000000000004E-4</v>
      </c>
      <c r="E124" s="72"/>
    </row>
    <row r="125" spans="1:5" ht="42.75" x14ac:dyDescent="0.2">
      <c r="A125" s="71" t="str">
        <f>Source!E284</f>
        <v>54,7</v>
      </c>
      <c r="B125" s="72" t="str">
        <f>Source!G284</f>
        <v>МАФ: Песочница с крышкой "Малыш" (РЕ-45) для детских садов и ДОУ 2000х1500х580  Ссылка: https://goroddd.ru/pesoch/pesochnitca-s-kryshkoy-malysh-dlya-detskikh-sadov-i-dou</v>
      </c>
      <c r="C125" s="73" t="str">
        <f>Source!H284</f>
        <v>шт.</v>
      </c>
      <c r="D125" s="74">
        <f>Source!I284</f>
        <v>1</v>
      </c>
      <c r="E125" s="72"/>
    </row>
    <row r="126" spans="1:5" ht="42.75" x14ac:dyDescent="0.2">
      <c r="A126" s="71" t="str">
        <f>Source!E285</f>
        <v>54,8</v>
      </c>
      <c r="B126" s="72" t="str">
        <f>Source!G285</f>
        <v>Функциональный уличный игровой домик для детей "Море" (DO-33) 1800х1350х1450  https://goroddd.ru/detdom/ulichnyy-igrovoy-domik-dlya-detey-more</v>
      </c>
      <c r="C126" s="73" t="str">
        <f>Source!H285</f>
        <v>шт.</v>
      </c>
      <c r="D126" s="74">
        <f>Source!I285</f>
        <v>1</v>
      </c>
      <c r="E126" s="72"/>
    </row>
    <row r="127" spans="1:5" ht="57" x14ac:dyDescent="0.2">
      <c r="A127" s="71" t="str">
        <f>Source!E286</f>
        <v>54,9</v>
      </c>
      <c r="B127" s="72" t="str">
        <f>Source!G286</f>
        <v>МАФ: Игровое оборудование паровозик для детских садов и ДОУ "Разноцветный паровозик" (ИМН-66) 1900х1000х1600  https://goroddd.ru/makety-i-elementy/igrovoy-maket-dlya-detskikh-ploschadok-raznotcvetnyy-parovozik-i</v>
      </c>
      <c r="C127" s="73" t="str">
        <f>Source!H286</f>
        <v>шт.</v>
      </c>
      <c r="D127" s="74">
        <f>Source!I286</f>
        <v>1</v>
      </c>
      <c r="E127" s="72"/>
    </row>
    <row r="128" spans="1:5" ht="42.75" x14ac:dyDescent="0.2">
      <c r="A128" s="71" t="str">
        <f>Source!E287</f>
        <v>54,10</v>
      </c>
      <c r="B128" s="72" t="str">
        <f>Source!G287</f>
        <v>Детская лавочка со спинкой "Пятнашки" на металлическом каркасе 1600х400х700 https://goroddd.ru/detskie-skameiki-i-stoly/detskaya-lavochka-so-spinkoy-pyatnashki</v>
      </c>
      <c r="C128" s="73" t="str">
        <f>Source!H287</f>
        <v>шт.</v>
      </c>
      <c r="D128" s="74">
        <f>Source!I287</f>
        <v>1</v>
      </c>
      <c r="E128" s="72"/>
    </row>
    <row r="129" spans="1:5" ht="16.5" x14ac:dyDescent="0.25">
      <c r="A129" s="66" t="str">
        <f>CONCATENATE("Подраздел: ", Source!G319)</f>
        <v>Подраздел: Ремонт асфальта</v>
      </c>
      <c r="B129" s="66"/>
      <c r="C129" s="66"/>
      <c r="D129" s="66"/>
      <c r="E129" s="66"/>
    </row>
    <row r="130" spans="1:5" ht="28.5" x14ac:dyDescent="0.2">
      <c r="A130" s="71" t="str">
        <f>Source!E323</f>
        <v>55</v>
      </c>
      <c r="B130" s="72" t="str">
        <f>Source!G323</f>
        <v>Ремонт дорожных покрытий и тротуаров литым асфальтом толщиной 5 см с применением компрессора картами до 5 м2</v>
      </c>
      <c r="C130" s="73" t="str">
        <f>Source!H323</f>
        <v>м2</v>
      </c>
      <c r="D130" s="74">
        <f>Source!I323</f>
        <v>22.32</v>
      </c>
      <c r="E130" s="72"/>
    </row>
    <row r="131" spans="1:5" ht="28.5" x14ac:dyDescent="0.2">
      <c r="A131" s="71" t="str">
        <f>Source!E324</f>
        <v>56</v>
      </c>
      <c r="B131" s="72" t="str">
        <f>Source!G324</f>
        <v>Ремонт дорожных покрытий и тротуаров литым асфальтом толщиной 5 см с применением компрессора картами до 30 м2</v>
      </c>
      <c r="C131" s="73" t="str">
        <f>Source!H324</f>
        <v>м2</v>
      </c>
      <c r="D131" s="74">
        <f>Source!I324</f>
        <v>30</v>
      </c>
      <c r="E131" s="72"/>
    </row>
    <row r="132" spans="1:5" ht="14.25" x14ac:dyDescent="0.2">
      <c r="A132" s="71" t="str">
        <f>Source!E325</f>
        <v>57</v>
      </c>
      <c r="B132" s="72" t="str">
        <f>Source!G325</f>
        <v>Замена бортового камня бетонного во дворовых территориях</v>
      </c>
      <c r="C132" s="73" t="str">
        <f>Source!H325</f>
        <v>м</v>
      </c>
      <c r="D132" s="74">
        <f>Source!I325</f>
        <v>7.2</v>
      </c>
      <c r="E132" s="72"/>
    </row>
    <row r="133" spans="1:5" ht="16.5" x14ac:dyDescent="0.25">
      <c r="A133" s="66" t="str">
        <f>CONCATENATE("Подраздел: ", Source!G357)</f>
        <v>Подраздел: Установка МАФов площадка группы № 5</v>
      </c>
      <c r="B133" s="66"/>
      <c r="C133" s="66"/>
      <c r="D133" s="66"/>
      <c r="E133" s="66"/>
    </row>
    <row r="134" spans="1:5" ht="42.75" x14ac:dyDescent="0.2">
      <c r="A134" s="71" t="str">
        <f>Source!E361</f>
        <v>58</v>
      </c>
      <c r="B134" s="72" t="str">
        <f>Source!G361</f>
        <v>Устройство калиток с установкой столбов металлических (без стоимости металлических изделий полотен калиток и стоек опорных) (установка МАФов)</v>
      </c>
      <c r="C134" s="73" t="str">
        <f>Source!H361</f>
        <v>100 шт.</v>
      </c>
      <c r="D134" s="74">
        <f>Source!I361</f>
        <v>0.04</v>
      </c>
      <c r="E134" s="72"/>
    </row>
    <row r="135" spans="1:5" ht="14.25" x14ac:dyDescent="0.2">
      <c r="A135" s="71" t="str">
        <f>Source!E362</f>
        <v>58,1</v>
      </c>
      <c r="B135" s="72" t="str">
        <f>Source!G362</f>
        <v>Кирпич керамический обыкновенный, размер 250х120х65 мм, марка 100</v>
      </c>
      <c r="C135" s="73" t="str">
        <f>Source!H362</f>
        <v>1000 шт.</v>
      </c>
      <c r="D135" s="74">
        <f>Source!I362</f>
        <v>-1.48E-3</v>
      </c>
      <c r="E135" s="72"/>
    </row>
    <row r="136" spans="1:5" ht="14.25" x14ac:dyDescent="0.2">
      <c r="A136" s="71" t="str">
        <f>Source!E363</f>
        <v>58,2</v>
      </c>
      <c r="B136" s="72" t="str">
        <f>Source!G363</f>
        <v>Вибраторы глубинные</v>
      </c>
      <c r="C136" s="73" t="str">
        <f>Source!H363</f>
        <v>маш.-ч</v>
      </c>
      <c r="D136" s="74">
        <f>Source!I363</f>
        <v>-0.21759999999999999</v>
      </c>
      <c r="E136" s="72"/>
    </row>
    <row r="137" spans="1:5" ht="14.25" x14ac:dyDescent="0.2">
      <c r="A137" s="71" t="str">
        <f>Source!E364</f>
        <v>58,3</v>
      </c>
      <c r="B137" s="72" t="str">
        <f>Source!G364</f>
        <v>Установки для сварки ручной дуговой (постоянного тока)</v>
      </c>
      <c r="C137" s="73" t="str">
        <f>Source!H364</f>
        <v>маш.-ч</v>
      </c>
      <c r="D137" s="74">
        <f>Source!I364</f>
        <v>-0.57999999999999996</v>
      </c>
      <c r="E137" s="72"/>
    </row>
    <row r="138" spans="1:5" ht="28.5" x14ac:dyDescent="0.2">
      <c r="A138" s="71" t="str">
        <f>Source!E365</f>
        <v>58,4</v>
      </c>
      <c r="B138" s="72" t="str">
        <f>Source!G365</f>
        <v>Экскаваторы на гусеничном ходу гидравлические, объем ковша до 0,25 м3</v>
      </c>
      <c r="C138" s="73" t="str">
        <f>Source!H365</f>
        <v>маш.-ч</v>
      </c>
      <c r="D138" s="74">
        <f>Source!I365</f>
        <v>-3.5999999999999999E-3</v>
      </c>
      <c r="E138" s="72"/>
    </row>
    <row r="139" spans="1:5" ht="28.5" x14ac:dyDescent="0.2">
      <c r="A139" s="71" t="str">
        <f>Source!E366</f>
        <v>58,5</v>
      </c>
      <c r="B139" s="72" t="str">
        <f>Source!G366</f>
        <v>Смеси бетонные, БСГ, песчаного бетона на обогащенном песке, класс прочности: В12,5 (М150)</v>
      </c>
      <c r="C139" s="73" t="str">
        <f>Source!H366</f>
        <v>м3</v>
      </c>
      <c r="D139" s="74">
        <f>Source!I366</f>
        <v>-0.2</v>
      </c>
      <c r="E139" s="72"/>
    </row>
    <row r="140" spans="1:5" ht="14.25" x14ac:dyDescent="0.2">
      <c r="A140" s="71" t="str">
        <f>Source!E367</f>
        <v>58,6</v>
      </c>
      <c r="B140" s="72" t="str">
        <f>Source!G367</f>
        <v>Электроды, тип Э-42, 46, 50, диаметр 4 - 6 мм</v>
      </c>
      <c r="C140" s="73" t="str">
        <f>Source!H367</f>
        <v>т</v>
      </c>
      <c r="D140" s="74">
        <f>Source!I367</f>
        <v>-8.0000000000000004E-4</v>
      </c>
      <c r="E140" s="72"/>
    </row>
    <row r="141" spans="1:5" ht="42.75" x14ac:dyDescent="0.2">
      <c r="A141" s="71" t="str">
        <f>Source!E368</f>
        <v>58,7</v>
      </c>
      <c r="B141" s="72" t="str">
        <f>Source!G368</f>
        <v>Детский игровой домик-беседка "Теремок" (ИМН-18) для детского сада 2420х1570х1690 https://goroddd.ru/detdom/detskiy-igrovoy-domik-besedka-teremok-dlya-detskogo-sada</v>
      </c>
      <c r="C141" s="73" t="str">
        <f>Source!H368</f>
        <v>шт.</v>
      </c>
      <c r="D141" s="74">
        <f>Source!I368</f>
        <v>1</v>
      </c>
      <c r="E141" s="72"/>
    </row>
    <row r="142" spans="1:5" ht="42.75" x14ac:dyDescent="0.2">
      <c r="A142" s="71" t="str">
        <f>Source!E369</f>
        <v>58,8</v>
      </c>
      <c r="B142" s="72" t="str">
        <f>Source!G369</f>
        <v>Игровой макет кораблик для детских площадок "Чунга-Чанга" 2880х1100х2100  https://goroddd.ru/makety-i-elementy/ulichnyy-igrovoy-maket-dlya-detey-chunga-changa-imn-88-2880kh110</v>
      </c>
      <c r="C142" s="73" t="str">
        <f>Source!H369</f>
        <v>шт.</v>
      </c>
      <c r="D142" s="74">
        <f>Source!I369</f>
        <v>1</v>
      </c>
      <c r="E142" s="72"/>
    </row>
    <row r="143" spans="1:5" ht="42.75" x14ac:dyDescent="0.2">
      <c r="A143" s="71" t="str">
        <f>Source!E370</f>
        <v>58,9</v>
      </c>
      <c r="B143" s="72" t="str">
        <f>Source!G370</f>
        <v>Детская игровая форма, уличный игровой макет "Рейсовый автобус" (ИМН-7) 2350х1080х1670 https://goroddd.ru/makety-i-elementy/tematicheskiy-maket-dlya-detskikh-ploschadok-reysovyy-avtobus-im</v>
      </c>
      <c r="C143" s="73" t="str">
        <f>Source!H370</f>
        <v>шт.</v>
      </c>
      <c r="D143" s="74">
        <f>Source!I370</f>
        <v>1</v>
      </c>
      <c r="E143" s="72"/>
    </row>
    <row r="144" spans="1:5" ht="42.75" x14ac:dyDescent="0.2">
      <c r="A144" s="71" t="str">
        <f>Source!E371</f>
        <v>58,10</v>
      </c>
      <c r="B144" s="72" t="str">
        <f>Source!G371</f>
        <v>Детская лавочка со спинкой "Пятнашки" на металлическом каркасе 1600х400х700 https://goroddd.ru/detskie-skameiki-i-stoly/detskaya-lavochka-so-spinkoy-pyatnashki</v>
      </c>
      <c r="C144" s="73" t="str">
        <f>Source!H371</f>
        <v>шт.</v>
      </c>
      <c r="D144" s="74">
        <f>Source!I371</f>
        <v>1</v>
      </c>
      <c r="E144" s="72"/>
    </row>
    <row r="145" spans="1:5" ht="16.5" x14ac:dyDescent="0.25">
      <c r="A145" s="66" t="str">
        <f>CONCATENATE("Подраздел: ", Source!G403)</f>
        <v>Подраздел: Установка МАФов площадка группы № 7</v>
      </c>
      <c r="B145" s="66"/>
      <c r="C145" s="66"/>
      <c r="D145" s="66"/>
      <c r="E145" s="66"/>
    </row>
    <row r="146" spans="1:5" ht="42.75" x14ac:dyDescent="0.2">
      <c r="A146" s="71" t="str">
        <f>Source!E407</f>
        <v>59</v>
      </c>
      <c r="B146" s="72" t="str">
        <f>Source!G407</f>
        <v>Устройство калиток с установкой столбов металлических (без стоимости металлических изделий полотен калиток и стоек опорных) (установка МАФов)</v>
      </c>
      <c r="C146" s="73" t="str">
        <f>Source!H407</f>
        <v>100 шт.</v>
      </c>
      <c r="D146" s="74">
        <f>Source!I407</f>
        <v>0.03</v>
      </c>
      <c r="E146" s="72"/>
    </row>
    <row r="147" spans="1:5" ht="14.25" x14ac:dyDescent="0.2">
      <c r="A147" s="71" t="str">
        <f>Source!E408</f>
        <v>59,1</v>
      </c>
      <c r="B147" s="72" t="str">
        <f>Source!G408</f>
        <v>Кирпич керамический обыкновенный, размер 250х120х65 мм, марка 100</v>
      </c>
      <c r="C147" s="73" t="str">
        <f>Source!H408</f>
        <v>1000 шт.</v>
      </c>
      <c r="D147" s="74">
        <f>Source!I408</f>
        <v>-1.1100000000000001E-3</v>
      </c>
      <c r="E147" s="72"/>
    </row>
    <row r="148" spans="1:5" ht="14.25" x14ac:dyDescent="0.2">
      <c r="A148" s="71" t="str">
        <f>Source!E409</f>
        <v>59,2</v>
      </c>
      <c r="B148" s="72" t="str">
        <f>Source!G409</f>
        <v>Вибраторы глубинные</v>
      </c>
      <c r="C148" s="73" t="str">
        <f>Source!H409</f>
        <v>маш.-ч</v>
      </c>
      <c r="D148" s="74">
        <f>Source!I409</f>
        <v>-0.16320000000000001</v>
      </c>
      <c r="E148" s="72"/>
    </row>
    <row r="149" spans="1:5" ht="14.25" x14ac:dyDescent="0.2">
      <c r="A149" s="71" t="str">
        <f>Source!E410</f>
        <v>59,3</v>
      </c>
      <c r="B149" s="72" t="str">
        <f>Source!G410</f>
        <v>Установки для сварки ручной дуговой (постоянного тока)</v>
      </c>
      <c r="C149" s="73" t="str">
        <f>Source!H410</f>
        <v>маш.-ч</v>
      </c>
      <c r="D149" s="74">
        <f>Source!I410</f>
        <v>-0.435</v>
      </c>
      <c r="E149" s="72"/>
    </row>
    <row r="150" spans="1:5" ht="28.5" x14ac:dyDescent="0.2">
      <c r="A150" s="71" t="str">
        <f>Source!E411</f>
        <v>59,4</v>
      </c>
      <c r="B150" s="72" t="str">
        <f>Source!G411</f>
        <v>Экскаваторы на гусеничном ходу гидравлические, объем ковша до 0,25 м3</v>
      </c>
      <c r="C150" s="73" t="str">
        <f>Source!H411</f>
        <v>маш.-ч</v>
      </c>
      <c r="D150" s="74">
        <f>Source!I411</f>
        <v>-2.7000000000000001E-3</v>
      </c>
      <c r="E150" s="72"/>
    </row>
    <row r="151" spans="1:5" ht="28.5" x14ac:dyDescent="0.2">
      <c r="A151" s="71" t="str">
        <f>Source!E412</f>
        <v>59,5</v>
      </c>
      <c r="B151" s="72" t="str">
        <f>Source!G412</f>
        <v>Смеси бетонные, БСГ, песчаного бетона на обогащенном песке, класс прочности: В12,5 (М150)</v>
      </c>
      <c r="C151" s="73" t="str">
        <f>Source!H412</f>
        <v>м3</v>
      </c>
      <c r="D151" s="74">
        <f>Source!I412</f>
        <v>-0.15</v>
      </c>
      <c r="E151" s="72"/>
    </row>
    <row r="152" spans="1:5" ht="14.25" x14ac:dyDescent="0.2">
      <c r="A152" s="71" t="str">
        <f>Source!E413</f>
        <v>59,6</v>
      </c>
      <c r="B152" s="72" t="str">
        <f>Source!G413</f>
        <v>Электроды, тип Э-42, 46, 50, диаметр 4 - 6 мм</v>
      </c>
      <c r="C152" s="73" t="str">
        <f>Source!H413</f>
        <v>т</v>
      </c>
      <c r="D152" s="74">
        <f>Source!I413</f>
        <v>-5.9999999999999995E-4</v>
      </c>
      <c r="E152" s="72"/>
    </row>
    <row r="153" spans="1:5" ht="42.75" x14ac:dyDescent="0.2">
      <c r="A153" s="71" t="str">
        <f>Source!E414</f>
        <v>59,7</v>
      </c>
      <c r="B153" s="72" t="str">
        <f>Source!G414</f>
        <v>Детский игровой домик-беседка "Теремок" (ИМН-18) для детского сада 2420х1570х1690 https://goroddd.ru/detdom/detskiy-igrovoy-domik-besedka-teremok-dlya-detskogo-sada</v>
      </c>
      <c r="C153" s="73" t="str">
        <f>Source!H414</f>
        <v>шт.</v>
      </c>
      <c r="D153" s="74">
        <f>Source!I414</f>
        <v>1</v>
      </c>
      <c r="E153" s="72"/>
    </row>
    <row r="154" spans="1:5" ht="42.75" x14ac:dyDescent="0.2">
      <c r="A154" s="71" t="str">
        <f>Source!E415</f>
        <v>59,8</v>
      </c>
      <c r="B154" s="72" t="str">
        <f>Source!G415</f>
        <v>Детская игровая форма, уличный игровой макет "Рейсовый автобус" (ИМН-7) 2350х1080х1670 https://goroddd.ru/makety-i-elementy/tematicheskiy-maket-dlya-detskikh-ploschadok-reysovyy-avtobus-im</v>
      </c>
      <c r="C154" s="73" t="str">
        <f>Source!H415</f>
        <v>шт.</v>
      </c>
      <c r="D154" s="74">
        <f>Source!I415</f>
        <v>1</v>
      </c>
      <c r="E154" s="72"/>
    </row>
    <row r="155" spans="1:5" ht="28.5" x14ac:dyDescent="0.2">
      <c r="A155" s="71" t="str">
        <f>Source!E416</f>
        <v>59,9</v>
      </c>
      <c r="B155" s="72" t="str">
        <f>Source!G416</f>
        <v>Лавочка двухсторонняя для детских садов "Курица-наседка" (СПН-88) 1200х650х780 http://mes.mosedu.ru/</v>
      </c>
      <c r="C155" s="73" t="str">
        <f>Source!H416</f>
        <v>шт.</v>
      </c>
      <c r="D155" s="74">
        <f>Source!I416</f>
        <v>1</v>
      </c>
      <c r="E155" s="72"/>
    </row>
    <row r="156" spans="1:5" ht="16.5" x14ac:dyDescent="0.25">
      <c r="A156" s="66" t="str">
        <f>CONCATENATE("Подраздел: ", Source!G448)</f>
        <v>Подраздел: Установка МАФов площадка № 9</v>
      </c>
      <c r="B156" s="66"/>
      <c r="C156" s="66"/>
      <c r="D156" s="66"/>
      <c r="E156" s="66"/>
    </row>
    <row r="157" spans="1:5" ht="42.75" x14ac:dyDescent="0.2">
      <c r="A157" s="71" t="str">
        <f>Source!E452</f>
        <v>60</v>
      </c>
      <c r="B157" s="72" t="str">
        <f>Source!G452</f>
        <v>Устройство калиток с установкой столбов металлических (без стоимости металлических изделий полотен калиток и стоек опорных) (установка МАФов)</v>
      </c>
      <c r="C157" s="73" t="str">
        <f>Source!H452</f>
        <v>100 шт.</v>
      </c>
      <c r="D157" s="74">
        <f>Source!I452</f>
        <v>0.04</v>
      </c>
      <c r="E157" s="72"/>
    </row>
    <row r="158" spans="1:5" ht="14.25" x14ac:dyDescent="0.2">
      <c r="A158" s="71" t="str">
        <f>Source!E453</f>
        <v>60,1</v>
      </c>
      <c r="B158" s="72" t="str">
        <f>Source!G453</f>
        <v>Кирпич керамический обыкновенный, размер 250х120х65 мм, марка 100</v>
      </c>
      <c r="C158" s="73" t="str">
        <f>Source!H453</f>
        <v>1000 шт.</v>
      </c>
      <c r="D158" s="74">
        <f>Source!I453</f>
        <v>-1.48E-3</v>
      </c>
      <c r="E158" s="72"/>
    </row>
    <row r="159" spans="1:5" ht="14.25" x14ac:dyDescent="0.2">
      <c r="A159" s="71" t="str">
        <f>Source!E454</f>
        <v>60,2</v>
      </c>
      <c r="B159" s="72" t="str">
        <f>Source!G454</f>
        <v>Вибраторы глубинные</v>
      </c>
      <c r="C159" s="73" t="str">
        <f>Source!H454</f>
        <v>маш.-ч</v>
      </c>
      <c r="D159" s="74">
        <f>Source!I454</f>
        <v>-0.21759999999999999</v>
      </c>
      <c r="E159" s="72"/>
    </row>
    <row r="160" spans="1:5" ht="14.25" x14ac:dyDescent="0.2">
      <c r="A160" s="71" t="str">
        <f>Source!E455</f>
        <v>60,3</v>
      </c>
      <c r="B160" s="72" t="str">
        <f>Source!G455</f>
        <v>Установки для сварки ручной дуговой (постоянного тока)</v>
      </c>
      <c r="C160" s="73" t="str">
        <f>Source!H455</f>
        <v>маш.-ч</v>
      </c>
      <c r="D160" s="74">
        <f>Source!I455</f>
        <v>-0.57999999999999996</v>
      </c>
      <c r="E160" s="72"/>
    </row>
    <row r="161" spans="1:5" ht="28.5" x14ac:dyDescent="0.2">
      <c r="A161" s="71" t="str">
        <f>Source!E456</f>
        <v>60,4</v>
      </c>
      <c r="B161" s="72" t="str">
        <f>Source!G456</f>
        <v>Экскаваторы на гусеничном ходу гидравлические, объем ковша до 0,25 м3</v>
      </c>
      <c r="C161" s="73" t="str">
        <f>Source!H456</f>
        <v>маш.-ч</v>
      </c>
      <c r="D161" s="74">
        <f>Source!I456</f>
        <v>-3.5999999999999999E-3</v>
      </c>
      <c r="E161" s="72"/>
    </row>
    <row r="162" spans="1:5" ht="28.5" x14ac:dyDescent="0.2">
      <c r="A162" s="71" t="str">
        <f>Source!E457</f>
        <v>60,5</v>
      </c>
      <c r="B162" s="72" t="str">
        <f>Source!G457</f>
        <v>Смеси бетонные, БСГ, песчаного бетона на обогащенном песке, класс прочности: В12,5 (М150)</v>
      </c>
      <c r="C162" s="73" t="str">
        <f>Source!H457</f>
        <v>м3</v>
      </c>
      <c r="D162" s="74">
        <f>Source!I457</f>
        <v>-0.2</v>
      </c>
      <c r="E162" s="72"/>
    </row>
    <row r="163" spans="1:5" ht="14.25" x14ac:dyDescent="0.2">
      <c r="A163" s="71" t="str">
        <f>Source!E458</f>
        <v>60,6</v>
      </c>
      <c r="B163" s="72" t="str">
        <f>Source!G458</f>
        <v>Электроды, тип Э-42, 46, 50, диаметр 4 - 6 мм</v>
      </c>
      <c r="C163" s="73" t="str">
        <f>Source!H458</f>
        <v>т</v>
      </c>
      <c r="D163" s="74">
        <f>Source!I458</f>
        <v>-8.0000000000000004E-4</v>
      </c>
      <c r="E163" s="72"/>
    </row>
    <row r="164" spans="1:5" ht="42.75" x14ac:dyDescent="0.2">
      <c r="A164" s="71" t="str">
        <f>Source!E459</f>
        <v>60,7</v>
      </c>
      <c r="B164" s="72" t="str">
        <f>Source!G459</f>
        <v>Функциональный уличный игровой домик для детей "Море" (DO-33) 1800х1350х1450  https://goroddd.ru/detdom/ulichnyy-igrovoy-domik-dlya-detey-more</v>
      </c>
      <c r="C164" s="73" t="str">
        <f>Source!H459</f>
        <v>шт.</v>
      </c>
      <c r="D164" s="74">
        <f>Source!I459</f>
        <v>1</v>
      </c>
      <c r="E164" s="72"/>
    </row>
    <row r="165" spans="1:5" ht="42.75" x14ac:dyDescent="0.2">
      <c r="A165" s="71" t="str">
        <f>Source!E460</f>
        <v>60,8</v>
      </c>
      <c r="B165" s="72" t="str">
        <f>Source!G460</f>
        <v>Игровой макет кораблик для детских площадок "Чунга-Чанга" 2880х1100х2100  https://goroddd.ru/makety-i-elementy/ulichnyy-igrovoy-maket-dlya-detey-chunga-changa-imn-88-2880kh110</v>
      </c>
      <c r="C165" s="73" t="str">
        <f>Source!H460</f>
        <v>шт.</v>
      </c>
      <c r="D165" s="74">
        <f>Source!I460</f>
        <v>1</v>
      </c>
      <c r="E165" s="72"/>
    </row>
    <row r="166" spans="1:5" ht="42.75" x14ac:dyDescent="0.2">
      <c r="A166" s="71" t="str">
        <f>Source!E461</f>
        <v>60,9</v>
      </c>
      <c r="B166" s="72" t="str">
        <f>Source!G461</f>
        <v>Фигурная двухсторонняя скамейка для детей "Паровозик из Ромашково" 1250х620х700/900 https://goroddd.ru/detskie-skameiki-i-stoly/figurnaya-dvukhstoronnyaya-skameyka-dlya-detey-parovozik-iz-roma</v>
      </c>
      <c r="C166" s="73" t="str">
        <f>Source!H461</f>
        <v>шт.</v>
      </c>
      <c r="D166" s="74">
        <f>Source!I461</f>
        <v>1</v>
      </c>
      <c r="E166" s="72"/>
    </row>
    <row r="167" spans="1:5" ht="42.75" x14ac:dyDescent="0.2">
      <c r="A167" s="71" t="str">
        <f>Source!E462</f>
        <v>60,10</v>
      </c>
      <c r="B167" s="72" t="str">
        <f>Source!G462</f>
        <v>Уличный игровой детский домик для детских садов "Чиполлино" 1400х1400х1700  https://goroddd.ru/detdom/ulichnyy-detskiy-domik-dlya-detskikh-sadov-chipollino-imn-13-140</v>
      </c>
      <c r="C167" s="73" t="str">
        <f>Source!H462</f>
        <v>шт.</v>
      </c>
      <c r="D167" s="74">
        <f>Source!I462</f>
        <v>1</v>
      </c>
      <c r="E167" s="72"/>
    </row>
    <row r="168" spans="1:5" ht="16.5" x14ac:dyDescent="0.25">
      <c r="A168" s="66" t="str">
        <f>CONCATENATE("Подраздел: ", Source!G494)</f>
        <v>Подраздел: Мусор</v>
      </c>
      <c r="B168" s="66"/>
      <c r="C168" s="66"/>
      <c r="D168" s="66"/>
      <c r="E168" s="66"/>
    </row>
    <row r="169" spans="1:5" ht="14.25" x14ac:dyDescent="0.2">
      <c r="A169" s="71" t="str">
        <f>Source!E498</f>
        <v>61</v>
      </c>
      <c r="B169" s="72" t="str">
        <f>Source!G498</f>
        <v>Погрузка грунта экскаватором в самосвал</v>
      </c>
      <c r="C169" s="73" t="str">
        <f>Source!H498</f>
        <v>10 м3</v>
      </c>
      <c r="D169" s="74">
        <f>Source!I498</f>
        <v>14.026</v>
      </c>
      <c r="E169" s="72"/>
    </row>
    <row r="170" spans="1:5" ht="28.5" x14ac:dyDescent="0.2">
      <c r="A170" s="71" t="str">
        <f>Source!E499</f>
        <v>62</v>
      </c>
      <c r="B170" s="72" t="str">
        <f>Source!G499</f>
        <v>Перевозка грунта автосамосвалами грузоподъемностью до 10 т на расстояние 1 км</v>
      </c>
      <c r="C170" s="73" t="str">
        <f>Source!H499</f>
        <v>м3</v>
      </c>
      <c r="D170" s="74">
        <f>Source!I499</f>
        <v>140.26</v>
      </c>
      <c r="E170" s="72"/>
    </row>
    <row r="171" spans="1:5" ht="28.5" x14ac:dyDescent="0.2">
      <c r="A171" s="71" t="str">
        <f>Source!E500</f>
        <v>63</v>
      </c>
      <c r="B171" s="72" t="str">
        <f>Source!G500</f>
        <v>Перевозка грунта автосамосвалами грузоподъемностью до 10 т - добавляется на каждый последующий 1 км до 100 км (к поз. 49-3401-1-1)</v>
      </c>
      <c r="C171" s="73" t="str">
        <f>Source!H500</f>
        <v>м3</v>
      </c>
      <c r="D171" s="74">
        <f>Source!I500</f>
        <v>140.26</v>
      </c>
      <c r="E171" s="72"/>
    </row>
    <row r="172" spans="1:5" ht="28.5" x14ac:dyDescent="0.2">
      <c r="A172" s="71" t="str">
        <f>Source!E501</f>
        <v>64</v>
      </c>
      <c r="B172" s="72" t="str">
        <f>Source!G501</f>
        <v>Механизированная погрузка строительного мусора в автомобили-самосвалы</v>
      </c>
      <c r="C172" s="73" t="str">
        <f>Source!H501</f>
        <v>т</v>
      </c>
      <c r="D172" s="74">
        <f>Source!I501</f>
        <v>1.7709999999999999</v>
      </c>
      <c r="E172" s="72"/>
    </row>
    <row r="173" spans="1:5" ht="28.5" x14ac:dyDescent="0.2">
      <c r="A173" s="71" t="str">
        <f>Source!E502</f>
        <v>65</v>
      </c>
      <c r="B173" s="72" t="str">
        <f>Source!G502</f>
        <v>Перевозка строительного мусора автосамосвалами грузоподъемностью до 10 т на расстояние 1 км - при механизированной погрузке</v>
      </c>
      <c r="C173" s="73" t="str">
        <f>Source!H502</f>
        <v>т</v>
      </c>
      <c r="D173" s="74">
        <f>Source!I502</f>
        <v>1.7709999999999999</v>
      </c>
      <c r="E173" s="72"/>
    </row>
    <row r="174" spans="1:5" ht="28.5" x14ac:dyDescent="0.2">
      <c r="A174" s="67" t="str">
        <f>Source!E503</f>
        <v>66</v>
      </c>
      <c r="B174" s="68" t="str">
        <f>Source!G503</f>
        <v>Перевозка строительного мусора автосамосвалами грузоподъемностью до 10 т - добавляется на каждый последующий 1 км до 100 км</v>
      </c>
      <c r="C174" s="69" t="str">
        <f>Source!H503</f>
        <v>т</v>
      </c>
      <c r="D174" s="70">
        <f>Source!I503</f>
        <v>1.7709999999999999</v>
      </c>
      <c r="E174" s="68"/>
    </row>
    <row r="177" spans="1:5" ht="15" x14ac:dyDescent="0.25">
      <c r="A177" s="50" t="s">
        <v>578</v>
      </c>
      <c r="B177" s="50"/>
      <c r="C177" s="50" t="s">
        <v>579</v>
      </c>
      <c r="D177" s="50"/>
      <c r="E177" s="50"/>
    </row>
  </sheetData>
  <mergeCells count="16">
    <mergeCell ref="A133:E133"/>
    <mergeCell ref="A145:E145"/>
    <mergeCell ref="A156:E156"/>
    <mergeCell ref="A168:E168"/>
    <mergeCell ref="A21:E21"/>
    <mergeCell ref="A43:E43"/>
    <mergeCell ref="A65:E65"/>
    <mergeCell ref="A85:E85"/>
    <mergeCell ref="A105:E105"/>
    <mergeCell ref="A129:E129"/>
    <mergeCell ref="C5:D5"/>
    <mergeCell ref="C7:D7"/>
    <mergeCell ref="A11:D11"/>
    <mergeCell ref="A12:D12"/>
    <mergeCell ref="A19:E19"/>
    <mergeCell ref="A20:E20"/>
  </mergeCells>
  <pageMargins left="0.4" right="0.2" top="0.2" bottom="0.4" header="0.2" footer="0.2"/>
  <pageSetup paperSize="9" scale="77" fitToHeight="0" orientation="portrait" r:id="rId1"/>
  <headerFooter>
    <oddHeader>&amp;L&amp;8</oddHeader>
    <oddFooter>&amp;R&amp;P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50"/>
  <sheetViews>
    <sheetView workbookViewId="0"/>
  </sheetViews>
  <sheetFormatPr defaultRowHeight="12.75" x14ac:dyDescent="0.2"/>
  <sheetData>
    <row r="1" spans="1:24" x14ac:dyDescent="0.2">
      <c r="A1" t="s">
        <v>604</v>
      </c>
      <c r="B1" t="s">
        <v>605</v>
      </c>
      <c r="C1" t="s">
        <v>606</v>
      </c>
      <c r="D1" t="s">
        <v>607</v>
      </c>
      <c r="E1" t="s">
        <v>608</v>
      </c>
      <c r="F1" t="s">
        <v>609</v>
      </c>
      <c r="G1" t="s">
        <v>610</v>
      </c>
      <c r="H1" t="s">
        <v>611</v>
      </c>
      <c r="I1" t="s">
        <v>612</v>
      </c>
      <c r="J1" t="s">
        <v>613</v>
      </c>
      <c r="K1" t="s">
        <v>614</v>
      </c>
      <c r="L1" t="s">
        <v>615</v>
      </c>
    </row>
    <row r="2" spans="1:24" x14ac:dyDescent="0.2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0</v>
      </c>
      <c r="I2">
        <v>1</v>
      </c>
      <c r="J2">
        <v>0</v>
      </c>
      <c r="K2">
        <v>1</v>
      </c>
      <c r="L2">
        <v>52430918</v>
      </c>
    </row>
    <row r="4" spans="1:24" x14ac:dyDescent="0.2">
      <c r="A4" t="s">
        <v>580</v>
      </c>
      <c r="B4" t="s">
        <v>581</v>
      </c>
      <c r="C4" t="s">
        <v>582</v>
      </c>
      <c r="D4" t="s">
        <v>583</v>
      </c>
      <c r="E4" t="s">
        <v>584</v>
      </c>
      <c r="F4" t="s">
        <v>585</v>
      </c>
      <c r="G4" t="s">
        <v>586</v>
      </c>
      <c r="H4" t="s">
        <v>587</v>
      </c>
      <c r="I4" t="s">
        <v>588</v>
      </c>
      <c r="J4" t="s">
        <v>589</v>
      </c>
      <c r="K4" t="s">
        <v>590</v>
      </c>
      <c r="L4" t="s">
        <v>591</v>
      </c>
      <c r="M4" t="s">
        <v>592</v>
      </c>
      <c r="N4" t="s">
        <v>593</v>
      </c>
      <c r="O4" t="s">
        <v>594</v>
      </c>
      <c r="P4" t="s">
        <v>595</v>
      </c>
      <c r="Q4" t="s">
        <v>596</v>
      </c>
      <c r="R4" t="s">
        <v>597</v>
      </c>
      <c r="S4" t="s">
        <v>598</v>
      </c>
      <c r="T4" t="s">
        <v>599</v>
      </c>
      <c r="U4" t="s">
        <v>600</v>
      </c>
      <c r="V4" t="s">
        <v>601</v>
      </c>
      <c r="W4" t="s">
        <v>602</v>
      </c>
      <c r="X4" t="s">
        <v>603</v>
      </c>
    </row>
    <row r="6" spans="1:24" x14ac:dyDescent="0.2">
      <c r="A6">
        <f>Source!A20</f>
        <v>3</v>
      </c>
      <c r="B6">
        <v>20</v>
      </c>
      <c r="G6" t="str">
        <f>Source!G20</f>
        <v>Новая локальная смета</v>
      </c>
    </row>
    <row r="7" spans="1:24" x14ac:dyDescent="0.2">
      <c r="A7">
        <f>Source!A24</f>
        <v>4</v>
      </c>
      <c r="B7">
        <v>24</v>
      </c>
      <c r="G7" t="str">
        <f>Source!G24</f>
        <v>Детский сад ул. Чоботовская д 7</v>
      </c>
    </row>
    <row r="8" spans="1:24" x14ac:dyDescent="0.2">
      <c r="A8">
        <f>Source!A28</f>
        <v>5</v>
      </c>
      <c r="B8">
        <v>28</v>
      </c>
      <c r="G8" t="str">
        <f>Source!G28</f>
        <v>группа № 6</v>
      </c>
    </row>
    <row r="9" spans="1:24" x14ac:dyDescent="0.2">
      <c r="A9">
        <v>20</v>
      </c>
      <c r="B9">
        <v>3</v>
      </c>
      <c r="C9">
        <v>2</v>
      </c>
      <c r="D9">
        <v>0</v>
      </c>
      <c r="E9">
        <f>SmtRes!AV3</f>
        <v>0</v>
      </c>
      <c r="F9" t="str">
        <f>SmtRes!I3</f>
        <v>22.1-30-84</v>
      </c>
      <c r="G9" t="str">
        <f>SmtRes!K3</f>
        <v>Пилы бензиновые мощностью до 4 кВт, тип "Husqvarna"</v>
      </c>
      <c r="H9" t="str">
        <f>SmtRes!O3</f>
        <v>маш.-ч</v>
      </c>
      <c r="I9">
        <f>SmtRes!Y3*Source!I32</f>
        <v>0.1</v>
      </c>
      <c r="J9">
        <f>SmtRes!AO3</f>
        <v>1</v>
      </c>
      <c r="K9">
        <f>SmtRes!AF3</f>
        <v>327.49</v>
      </c>
      <c r="L9">
        <f>SmtRes!DB3</f>
        <v>32.75</v>
      </c>
      <c r="M9">
        <f>ROUND(ROUND(L9*Source!I32, 6)*1, 2)</f>
        <v>32.75</v>
      </c>
      <c r="N9">
        <f>SmtRes!AB3</f>
        <v>327.49</v>
      </c>
      <c r="O9">
        <f>ROUND(ROUND(L9*Source!I32, 6)*SmtRes!DA3, 2)</f>
        <v>32.75</v>
      </c>
      <c r="P9">
        <f>SmtRes!AG3</f>
        <v>0.28999999999999998</v>
      </c>
      <c r="Q9">
        <f>SmtRes!DC3</f>
        <v>0.03</v>
      </c>
      <c r="R9">
        <f>ROUND(ROUND(Q9*Source!I32, 6)*1, 2)</f>
        <v>0.03</v>
      </c>
      <c r="S9">
        <f>SmtRes!AC3</f>
        <v>0.28999999999999998</v>
      </c>
      <c r="T9">
        <f>ROUND(ROUND(Q9*Source!I32, 6)*SmtRes!AK3, 2)</f>
        <v>0.03</v>
      </c>
      <c r="U9">
        <f>SmtRes!X3</f>
        <v>-1226810776</v>
      </c>
      <c r="V9">
        <v>-1318348741</v>
      </c>
      <c r="W9">
        <v>-857286917</v>
      </c>
      <c r="X9">
        <v>2</v>
      </c>
    </row>
    <row r="10" spans="1:24" x14ac:dyDescent="0.2">
      <c r="A10">
        <v>20</v>
      </c>
      <c r="B10">
        <v>2</v>
      </c>
      <c r="C10">
        <v>2</v>
      </c>
      <c r="D10">
        <v>0</v>
      </c>
      <c r="E10">
        <f>SmtRes!AV2</f>
        <v>0</v>
      </c>
      <c r="F10" t="str">
        <f>SmtRes!I2</f>
        <v>22.1-30-83</v>
      </c>
      <c r="G10" t="str">
        <f>SmtRes!K2</f>
        <v>Пнедробилки</v>
      </c>
      <c r="H10" t="str">
        <f>SmtRes!O2</f>
        <v>маш.-ч</v>
      </c>
      <c r="I10">
        <f>SmtRes!Y2*Source!I32</f>
        <v>0.25</v>
      </c>
      <c r="J10">
        <f>SmtRes!AO2</f>
        <v>1</v>
      </c>
      <c r="K10">
        <f>SmtRes!AF2</f>
        <v>256.3</v>
      </c>
      <c r="L10">
        <f>SmtRes!DB2</f>
        <v>64.08</v>
      </c>
      <c r="M10">
        <f>ROUND(ROUND(L10*Source!I32, 6)*1, 2)</f>
        <v>64.08</v>
      </c>
      <c r="N10">
        <f>SmtRes!AB2</f>
        <v>256.3</v>
      </c>
      <c r="O10">
        <f>ROUND(ROUND(L10*Source!I32, 6)*SmtRes!DA2, 2)</f>
        <v>64.08</v>
      </c>
      <c r="P10">
        <f>SmtRes!AG2</f>
        <v>6.59</v>
      </c>
      <c r="Q10">
        <f>SmtRes!DC2</f>
        <v>1.65</v>
      </c>
      <c r="R10">
        <f>ROUND(ROUND(Q10*Source!I32, 6)*1, 2)</f>
        <v>1.65</v>
      </c>
      <c r="S10">
        <f>SmtRes!AC2</f>
        <v>6.59</v>
      </c>
      <c r="T10">
        <f>ROUND(ROUND(Q10*Source!I32, 6)*SmtRes!AK2, 2)</f>
        <v>1.65</v>
      </c>
      <c r="U10">
        <f>SmtRes!X2</f>
        <v>-1604235188</v>
      </c>
      <c r="V10">
        <v>661330937</v>
      </c>
      <c r="W10">
        <v>2085687882</v>
      </c>
      <c r="X10">
        <v>2</v>
      </c>
    </row>
    <row r="11" spans="1:24" x14ac:dyDescent="0.2">
      <c r="A11">
        <v>20</v>
      </c>
      <c r="B11">
        <v>12</v>
      </c>
      <c r="C11">
        <v>3</v>
      </c>
      <c r="D11">
        <v>0</v>
      </c>
      <c r="E11">
        <f>SmtRes!AV12</f>
        <v>0</v>
      </c>
      <c r="F11" t="str">
        <f>SmtRes!I12</f>
        <v>21.1-25-13</v>
      </c>
      <c r="G11" t="str">
        <f>SmtRes!K12</f>
        <v>Вода</v>
      </c>
      <c r="H11" t="str">
        <f>SmtRes!O12</f>
        <v>м3</v>
      </c>
      <c r="I11">
        <f>SmtRes!Y12*Source!I34</f>
        <v>0.67</v>
      </c>
      <c r="J11">
        <f>SmtRes!AO12</f>
        <v>1</v>
      </c>
      <c r="K11">
        <f>SmtRes!AE12</f>
        <v>35.25</v>
      </c>
      <c r="L11">
        <f>SmtRes!DB12</f>
        <v>176.25</v>
      </c>
      <c r="M11">
        <f>ROUND(ROUND(L11*Source!I34, 6)*1, 2)</f>
        <v>23.62</v>
      </c>
      <c r="N11">
        <f>SmtRes!AA12</f>
        <v>35.25</v>
      </c>
      <c r="O11">
        <f>ROUND(ROUND(L11*Source!I34, 6)*SmtRes!DA12, 2)</f>
        <v>23.62</v>
      </c>
      <c r="P11">
        <f>SmtRes!AG12</f>
        <v>0</v>
      </c>
      <c r="Q11">
        <f>SmtRes!DC12</f>
        <v>0</v>
      </c>
      <c r="R11">
        <f>ROUND(ROUND(Q11*Source!I34, 6)*1, 2)</f>
        <v>0</v>
      </c>
      <c r="S11">
        <f>SmtRes!AC12</f>
        <v>0</v>
      </c>
      <c r="T11">
        <f>ROUND(ROUND(Q11*Source!I34, 6)*SmtRes!AK12, 2)</f>
        <v>0</v>
      </c>
      <c r="U11">
        <f>SmtRes!X12</f>
        <v>1927597627</v>
      </c>
      <c r="V11">
        <v>-1829664509</v>
      </c>
      <c r="W11">
        <v>1819467959</v>
      </c>
      <c r="X11">
        <v>3</v>
      </c>
    </row>
    <row r="12" spans="1:24" x14ac:dyDescent="0.2">
      <c r="A12">
        <v>20</v>
      </c>
      <c r="B12">
        <v>11</v>
      </c>
      <c r="C12">
        <v>3</v>
      </c>
      <c r="D12">
        <v>0</v>
      </c>
      <c r="E12">
        <f>SmtRes!AV11</f>
        <v>0</v>
      </c>
      <c r="F12" t="str">
        <f>SmtRes!I11</f>
        <v>21.1-12-10</v>
      </c>
      <c r="G12" t="str">
        <f>SmtRes!K11</f>
        <v>Песок для дорожных работ, рядовой</v>
      </c>
      <c r="H12" t="str">
        <f>SmtRes!O11</f>
        <v>м3</v>
      </c>
      <c r="I12">
        <f>SmtRes!Y11*Source!I34</f>
        <v>14.74</v>
      </c>
      <c r="J12">
        <f>SmtRes!AO11</f>
        <v>1</v>
      </c>
      <c r="K12">
        <f>SmtRes!AE11</f>
        <v>590.78</v>
      </c>
      <c r="L12">
        <f>SmtRes!DB11</f>
        <v>64985.8</v>
      </c>
      <c r="M12">
        <f>ROUND(ROUND(L12*Source!I34, 6)*1, 2)</f>
        <v>8708.1</v>
      </c>
      <c r="N12">
        <f>SmtRes!AA11</f>
        <v>590.78</v>
      </c>
      <c r="O12">
        <f>ROUND(ROUND(L12*Source!I34, 6)*SmtRes!DA11, 2)</f>
        <v>8708.1</v>
      </c>
      <c r="P12">
        <f>SmtRes!AG11</f>
        <v>0</v>
      </c>
      <c r="Q12">
        <f>SmtRes!DC11</f>
        <v>0</v>
      </c>
      <c r="R12">
        <f>ROUND(ROUND(Q12*Source!I34, 6)*1, 2)</f>
        <v>0</v>
      </c>
      <c r="S12">
        <f>SmtRes!AC11</f>
        <v>0</v>
      </c>
      <c r="T12">
        <f>ROUND(ROUND(Q12*Source!I34, 6)*SmtRes!AK11, 2)</f>
        <v>0</v>
      </c>
      <c r="U12">
        <f>SmtRes!X11</f>
        <v>1152750853</v>
      </c>
      <c r="V12">
        <v>-513833518</v>
      </c>
      <c r="W12">
        <v>445372051</v>
      </c>
      <c r="X12">
        <v>3</v>
      </c>
    </row>
    <row r="13" spans="1:24" x14ac:dyDescent="0.2">
      <c r="A13">
        <v>20</v>
      </c>
      <c r="B13">
        <v>10</v>
      </c>
      <c r="C13">
        <v>2</v>
      </c>
      <c r="D13">
        <v>0</v>
      </c>
      <c r="E13">
        <f>SmtRes!AV10</f>
        <v>0</v>
      </c>
      <c r="F13" t="str">
        <f>SmtRes!I10</f>
        <v>22.1-5-7</v>
      </c>
      <c r="G13" t="str">
        <f>SmtRes!K10</f>
        <v>Катки дорожные самоходные на пневмоколесном ходу, масса до 16 т</v>
      </c>
      <c r="H13" t="str">
        <f>SmtRes!O10</f>
        <v>маш.-ч</v>
      </c>
      <c r="I13">
        <f>SmtRes!Y10*Source!I34</f>
        <v>8.7100000000000011E-2</v>
      </c>
      <c r="J13">
        <f>SmtRes!AO10</f>
        <v>1</v>
      </c>
      <c r="K13">
        <f>SmtRes!AF10</f>
        <v>1213.3399999999999</v>
      </c>
      <c r="L13">
        <f>SmtRes!DB10</f>
        <v>788.67</v>
      </c>
      <c r="M13">
        <f>ROUND(ROUND(L13*Source!I34, 6)*1, 2)</f>
        <v>105.68</v>
      </c>
      <c r="N13">
        <f>SmtRes!AB10</f>
        <v>1213.3399999999999</v>
      </c>
      <c r="O13">
        <f>ROUND(ROUND(L13*Source!I34, 6)*SmtRes!DA10, 2)</f>
        <v>105.68</v>
      </c>
      <c r="P13">
        <f>SmtRes!AG10</f>
        <v>461.6</v>
      </c>
      <c r="Q13">
        <f>SmtRes!DC10</f>
        <v>300.04000000000002</v>
      </c>
      <c r="R13">
        <f>ROUND(ROUND(Q13*Source!I34, 6)*1, 2)</f>
        <v>40.21</v>
      </c>
      <c r="S13">
        <f>SmtRes!AC10</f>
        <v>461.6</v>
      </c>
      <c r="T13">
        <f>ROUND(ROUND(Q13*Source!I34, 6)*SmtRes!AK10, 2)</f>
        <v>40.21</v>
      </c>
      <c r="U13">
        <f>SmtRes!X10</f>
        <v>2142121434</v>
      </c>
      <c r="V13">
        <v>-1456814567</v>
      </c>
      <c r="W13">
        <v>-362114551</v>
      </c>
      <c r="X13">
        <v>2</v>
      </c>
    </row>
    <row r="14" spans="1:24" x14ac:dyDescent="0.2">
      <c r="A14">
        <v>20</v>
      </c>
      <c r="B14">
        <v>9</v>
      </c>
      <c r="C14">
        <v>2</v>
      </c>
      <c r="D14">
        <v>0</v>
      </c>
      <c r="E14">
        <f>SmtRes!AV9</f>
        <v>0</v>
      </c>
      <c r="F14" t="str">
        <f>SmtRes!I9</f>
        <v>22.1-5-48</v>
      </c>
      <c r="G14" t="str">
        <f>SmtRes!K9</f>
        <v>Автогрейдеры, мощность 99-147 кВт (130-200 л.с.)</v>
      </c>
      <c r="H14" t="str">
        <f>SmtRes!O9</f>
        <v>маш.-ч</v>
      </c>
      <c r="I14">
        <f>SmtRes!Y9*Source!I34</f>
        <v>0.25996000000000002</v>
      </c>
      <c r="J14">
        <f>SmtRes!AO9</f>
        <v>1</v>
      </c>
      <c r="K14">
        <f>SmtRes!AF9</f>
        <v>1412.71</v>
      </c>
      <c r="L14">
        <f>SmtRes!DB9</f>
        <v>2740.66</v>
      </c>
      <c r="M14">
        <f>ROUND(ROUND(L14*Source!I34, 6)*1, 2)</f>
        <v>367.25</v>
      </c>
      <c r="N14">
        <f>SmtRes!AB9</f>
        <v>1412.71</v>
      </c>
      <c r="O14">
        <f>ROUND(ROUND(L14*Source!I34, 6)*SmtRes!DA9, 2)</f>
        <v>367.25</v>
      </c>
      <c r="P14">
        <f>SmtRes!AG9</f>
        <v>641.32000000000005</v>
      </c>
      <c r="Q14">
        <f>SmtRes!DC9</f>
        <v>1244.1600000000001</v>
      </c>
      <c r="R14">
        <f>ROUND(ROUND(Q14*Source!I34, 6)*1, 2)</f>
        <v>166.72</v>
      </c>
      <c r="S14">
        <f>SmtRes!AC9</f>
        <v>641.32000000000005</v>
      </c>
      <c r="T14">
        <f>ROUND(ROUND(Q14*Source!I34, 6)*SmtRes!AK9, 2)</f>
        <v>166.72</v>
      </c>
      <c r="U14">
        <f>SmtRes!X9</f>
        <v>1116182101</v>
      </c>
      <c r="V14">
        <v>-405216514</v>
      </c>
      <c r="W14">
        <v>38483568</v>
      </c>
      <c r="X14">
        <v>2</v>
      </c>
    </row>
    <row r="15" spans="1:24" x14ac:dyDescent="0.2">
      <c r="A15">
        <v>20</v>
      </c>
      <c r="B15">
        <v>8</v>
      </c>
      <c r="C15">
        <v>2</v>
      </c>
      <c r="D15">
        <v>0</v>
      </c>
      <c r="E15">
        <f>SmtRes!AV8</f>
        <v>0</v>
      </c>
      <c r="F15" t="str">
        <f>SmtRes!I8</f>
        <v>22.1-5-18</v>
      </c>
      <c r="G15" t="str">
        <f>SmtRes!K8</f>
        <v>Поливомоечные машины, емкость цистерны более 5000 л</v>
      </c>
      <c r="H15" t="str">
        <f>SmtRes!O8</f>
        <v>маш.-ч</v>
      </c>
      <c r="I15">
        <f>SmtRes!Y8*Source!I34</f>
        <v>0.10854000000000001</v>
      </c>
      <c r="J15">
        <f>SmtRes!AO8</f>
        <v>1</v>
      </c>
      <c r="K15">
        <f>SmtRes!AF8</f>
        <v>2020.59</v>
      </c>
      <c r="L15">
        <f>SmtRes!DB8</f>
        <v>1636.68</v>
      </c>
      <c r="M15">
        <f>ROUND(ROUND(L15*Source!I34, 6)*1, 2)</f>
        <v>219.32</v>
      </c>
      <c r="N15">
        <f>SmtRes!AB8</f>
        <v>2020.59</v>
      </c>
      <c r="O15">
        <f>ROUND(ROUND(L15*Source!I34, 6)*SmtRes!DA8, 2)</f>
        <v>219.32</v>
      </c>
      <c r="P15">
        <f>SmtRes!AG8</f>
        <v>458.56</v>
      </c>
      <c r="Q15">
        <f>SmtRes!DC8</f>
        <v>371.43</v>
      </c>
      <c r="R15">
        <f>ROUND(ROUND(Q15*Source!I34, 6)*1, 2)</f>
        <v>49.77</v>
      </c>
      <c r="S15">
        <f>SmtRes!AC8</f>
        <v>458.56</v>
      </c>
      <c r="T15">
        <f>ROUND(ROUND(Q15*Source!I34, 6)*SmtRes!AK8, 2)</f>
        <v>49.77</v>
      </c>
      <c r="U15">
        <f>SmtRes!X8</f>
        <v>2042885981</v>
      </c>
      <c r="V15">
        <v>-76628464</v>
      </c>
      <c r="W15">
        <v>-1269477455</v>
      </c>
      <c r="X15">
        <v>2</v>
      </c>
    </row>
    <row r="16" spans="1:24" x14ac:dyDescent="0.2">
      <c r="A16">
        <v>20</v>
      </c>
      <c r="B16">
        <v>7</v>
      </c>
      <c r="C16">
        <v>2</v>
      </c>
      <c r="D16">
        <v>0</v>
      </c>
      <c r="E16">
        <f>SmtRes!AV7</f>
        <v>0</v>
      </c>
      <c r="F16" t="str">
        <f>SmtRes!I7</f>
        <v>22.1-5-15</v>
      </c>
      <c r="G16" t="str">
        <f>SmtRes!K7</f>
        <v>Катки прицепные пневмоколесные, масса до 50 т</v>
      </c>
      <c r="H16" t="str">
        <f>SmtRes!O7</f>
        <v>маш.-ч</v>
      </c>
      <c r="I16">
        <f>SmtRes!Y7*Source!I34</f>
        <v>0.27872000000000002</v>
      </c>
      <c r="J16">
        <f>SmtRes!AO7</f>
        <v>1</v>
      </c>
      <c r="K16">
        <f>SmtRes!AF7</f>
        <v>430.32</v>
      </c>
      <c r="L16">
        <f>SmtRes!DB7</f>
        <v>895.07</v>
      </c>
      <c r="M16">
        <f>ROUND(ROUND(L16*Source!I34, 6)*1, 2)</f>
        <v>119.94</v>
      </c>
      <c r="N16">
        <f>SmtRes!AB7</f>
        <v>430.32</v>
      </c>
      <c r="O16">
        <f>ROUND(ROUND(L16*Source!I34, 6)*SmtRes!DA7, 2)</f>
        <v>119.94</v>
      </c>
      <c r="P16">
        <f>SmtRes!AG7</f>
        <v>215.31</v>
      </c>
      <c r="Q16">
        <f>SmtRes!DC7</f>
        <v>447.84</v>
      </c>
      <c r="R16">
        <f>ROUND(ROUND(Q16*Source!I34, 6)*1, 2)</f>
        <v>60.01</v>
      </c>
      <c r="S16">
        <f>SmtRes!AC7</f>
        <v>215.31</v>
      </c>
      <c r="T16">
        <f>ROUND(ROUND(Q16*Source!I34, 6)*SmtRes!AK7, 2)</f>
        <v>60.01</v>
      </c>
      <c r="U16">
        <f>SmtRes!X7</f>
        <v>-1512295274</v>
      </c>
      <c r="V16">
        <v>1130639003</v>
      </c>
      <c r="W16">
        <v>-180512758</v>
      </c>
      <c r="X16">
        <v>2</v>
      </c>
    </row>
    <row r="17" spans="1:24" x14ac:dyDescent="0.2">
      <c r="A17">
        <v>20</v>
      </c>
      <c r="B17">
        <v>6</v>
      </c>
      <c r="C17">
        <v>2</v>
      </c>
      <c r="D17">
        <v>0</v>
      </c>
      <c r="E17">
        <f>SmtRes!AV6</f>
        <v>0</v>
      </c>
      <c r="F17" t="str">
        <f>SmtRes!I6</f>
        <v>22.1-2-1</v>
      </c>
      <c r="G17" t="str">
        <f>SmtRes!K6</f>
        <v>Тракторы на гусеничном ходу, мощность до 60 (81) кВт (л.с.)</v>
      </c>
      <c r="H17" t="str">
        <f>SmtRes!O6</f>
        <v>маш.-ч</v>
      </c>
      <c r="I17">
        <f>SmtRes!Y6*Source!I34</f>
        <v>0.27872000000000002</v>
      </c>
      <c r="J17">
        <f>SmtRes!AO6</f>
        <v>1</v>
      </c>
      <c r="K17">
        <f>SmtRes!AF6</f>
        <v>740.94</v>
      </c>
      <c r="L17">
        <f>SmtRes!DB6</f>
        <v>1541.16</v>
      </c>
      <c r="M17">
        <f>ROUND(ROUND(L17*Source!I34, 6)*1, 2)</f>
        <v>206.52</v>
      </c>
      <c r="N17">
        <f>SmtRes!AB6</f>
        <v>740.94</v>
      </c>
      <c r="O17">
        <f>ROUND(ROUND(L17*Source!I34, 6)*SmtRes!DA6, 2)</f>
        <v>206.52</v>
      </c>
      <c r="P17">
        <f>SmtRes!AG6</f>
        <v>413.22</v>
      </c>
      <c r="Q17">
        <f>SmtRes!DC6</f>
        <v>859.5</v>
      </c>
      <c r="R17">
        <f>ROUND(ROUND(Q17*Source!I34, 6)*1, 2)</f>
        <v>115.17</v>
      </c>
      <c r="S17">
        <f>SmtRes!AC6</f>
        <v>413.22</v>
      </c>
      <c r="T17">
        <f>ROUND(ROUND(Q17*Source!I34, 6)*SmtRes!AK6, 2)</f>
        <v>115.17</v>
      </c>
      <c r="U17">
        <f>SmtRes!X6</f>
        <v>2108619810</v>
      </c>
      <c r="V17">
        <v>2092061508</v>
      </c>
      <c r="W17">
        <v>-202122669</v>
      </c>
      <c r="X17">
        <v>2</v>
      </c>
    </row>
    <row r="18" spans="1:24" x14ac:dyDescent="0.2">
      <c r="A18">
        <v>20</v>
      </c>
      <c r="B18">
        <v>18</v>
      </c>
      <c r="C18">
        <v>3</v>
      </c>
      <c r="D18">
        <v>0</v>
      </c>
      <c r="E18">
        <f>SmtRes!AV18</f>
        <v>0</v>
      </c>
      <c r="F18" t="str">
        <f>SmtRes!I18</f>
        <v>21.1-25-13</v>
      </c>
      <c r="G18" t="str">
        <f>SmtRes!K18</f>
        <v>Вода</v>
      </c>
      <c r="H18" t="str">
        <f>SmtRes!O18</f>
        <v>м3</v>
      </c>
      <c r="I18">
        <f>SmtRes!Y18*Source!I35</f>
        <v>2.68</v>
      </c>
      <c r="J18">
        <f>SmtRes!AO18</f>
        <v>1</v>
      </c>
      <c r="K18">
        <f>SmtRes!AE18</f>
        <v>35.25</v>
      </c>
      <c r="L18">
        <f>SmtRes!DB18</f>
        <v>70.5</v>
      </c>
      <c r="M18">
        <f>ROUND(ROUND(L18*Source!I35, 6)*1, 2)</f>
        <v>94.47</v>
      </c>
      <c r="N18">
        <f>SmtRes!AA18</f>
        <v>35.25</v>
      </c>
      <c r="O18">
        <f>ROUND(ROUND(L18*Source!I35, 6)*SmtRes!DA18, 2)</f>
        <v>94.47</v>
      </c>
      <c r="P18">
        <f>SmtRes!AG18</f>
        <v>0</v>
      </c>
      <c r="Q18">
        <f>SmtRes!DC18</f>
        <v>0</v>
      </c>
      <c r="R18">
        <f>ROUND(ROUND(Q18*Source!I35, 6)*1, 2)</f>
        <v>0</v>
      </c>
      <c r="S18">
        <f>SmtRes!AC18</f>
        <v>0</v>
      </c>
      <c r="T18">
        <f>ROUND(ROUND(Q18*Source!I35, 6)*SmtRes!AK18, 2)</f>
        <v>0</v>
      </c>
      <c r="U18">
        <f>SmtRes!X18</f>
        <v>1927597627</v>
      </c>
      <c r="V18">
        <v>-1829664509</v>
      </c>
      <c r="W18">
        <v>1819467959</v>
      </c>
      <c r="X18">
        <v>3</v>
      </c>
    </row>
    <row r="19" spans="1:24" x14ac:dyDescent="0.2">
      <c r="A19">
        <v>20</v>
      </c>
      <c r="B19">
        <v>15</v>
      </c>
      <c r="C19">
        <v>2</v>
      </c>
      <c r="D19">
        <v>0</v>
      </c>
      <c r="E19">
        <f>SmtRes!AV15</f>
        <v>0</v>
      </c>
      <c r="F19" t="str">
        <f>SmtRes!I15</f>
        <v>22.1-5-2</v>
      </c>
      <c r="G19" t="str">
        <f>SmtRes!K15</f>
        <v>Катки самоходные вибрационные, масса до 8 т</v>
      </c>
      <c r="H19" t="str">
        <f>SmtRes!O15</f>
        <v>маш.-ч</v>
      </c>
      <c r="I19">
        <f>SmtRes!Y15*Source!I35</f>
        <v>2.1708000000000003</v>
      </c>
      <c r="J19">
        <f>SmtRes!AO15</f>
        <v>1</v>
      </c>
      <c r="K19">
        <f>SmtRes!AF15</f>
        <v>1261.8699999999999</v>
      </c>
      <c r="L19">
        <f>SmtRes!DB15</f>
        <v>2044.23</v>
      </c>
      <c r="M19">
        <f>ROUND(ROUND(L19*Source!I35, 6)*1, 2)</f>
        <v>2739.27</v>
      </c>
      <c r="N19">
        <f>SmtRes!AB15</f>
        <v>1261.8699999999999</v>
      </c>
      <c r="O19">
        <f>ROUND(ROUND(L19*Source!I35, 6)*SmtRes!DA15, 2)</f>
        <v>2739.27</v>
      </c>
      <c r="P19">
        <f>SmtRes!AG15</f>
        <v>530.02</v>
      </c>
      <c r="Q19">
        <f>SmtRes!DC15</f>
        <v>858.63</v>
      </c>
      <c r="R19">
        <f>ROUND(ROUND(Q19*Source!I35, 6)*1, 2)</f>
        <v>1150.56</v>
      </c>
      <c r="S19">
        <f>SmtRes!AC15</f>
        <v>530.02</v>
      </c>
      <c r="T19">
        <f>ROUND(ROUND(Q19*Source!I35, 6)*SmtRes!AK15, 2)</f>
        <v>1150.56</v>
      </c>
      <c r="U19">
        <f>SmtRes!X15</f>
        <v>-1043398787</v>
      </c>
      <c r="V19">
        <v>-791430524</v>
      </c>
      <c r="W19">
        <v>-1074879534</v>
      </c>
      <c r="X19">
        <v>2</v>
      </c>
    </row>
    <row r="20" spans="1:24" x14ac:dyDescent="0.2">
      <c r="A20">
        <v>20</v>
      </c>
      <c r="B20">
        <v>14</v>
      </c>
      <c r="C20">
        <v>2</v>
      </c>
      <c r="D20">
        <v>0</v>
      </c>
      <c r="E20">
        <f>SmtRes!AV14</f>
        <v>0</v>
      </c>
      <c r="F20" t="str">
        <f>SmtRes!I14</f>
        <v>22.1-5-18</v>
      </c>
      <c r="G20" t="str">
        <f>SmtRes!K14</f>
        <v>Поливомоечные машины, емкость цистерны более 5000 л</v>
      </c>
      <c r="H20" t="str">
        <f>SmtRes!O14</f>
        <v>маш.-ч</v>
      </c>
      <c r="I20">
        <f>SmtRes!Y14*Source!I35</f>
        <v>0.79059999999999997</v>
      </c>
      <c r="J20">
        <f>SmtRes!AO14</f>
        <v>1</v>
      </c>
      <c r="K20">
        <f>SmtRes!AF14</f>
        <v>2020.59</v>
      </c>
      <c r="L20">
        <f>SmtRes!DB14</f>
        <v>1192.1500000000001</v>
      </c>
      <c r="M20">
        <f>ROUND(ROUND(L20*Source!I35, 6)*1, 2)</f>
        <v>1597.48</v>
      </c>
      <c r="N20">
        <f>SmtRes!AB14</f>
        <v>2020.59</v>
      </c>
      <c r="O20">
        <f>ROUND(ROUND(L20*Source!I35, 6)*SmtRes!DA14, 2)</f>
        <v>1597.48</v>
      </c>
      <c r="P20">
        <f>SmtRes!AG14</f>
        <v>458.56</v>
      </c>
      <c r="Q20">
        <f>SmtRes!DC14</f>
        <v>270.55</v>
      </c>
      <c r="R20">
        <f>ROUND(ROUND(Q20*Source!I35, 6)*1, 2)</f>
        <v>362.54</v>
      </c>
      <c r="S20">
        <f>SmtRes!AC14</f>
        <v>458.56</v>
      </c>
      <c r="T20">
        <f>ROUND(ROUND(Q20*Source!I35, 6)*SmtRes!AK14, 2)</f>
        <v>362.54</v>
      </c>
      <c r="U20">
        <f>SmtRes!X14</f>
        <v>2042885981</v>
      </c>
      <c r="V20">
        <v>-76628464</v>
      </c>
      <c r="W20">
        <v>-1269477455</v>
      </c>
      <c r="X20">
        <v>2</v>
      </c>
    </row>
    <row r="21" spans="1:24" x14ac:dyDescent="0.2">
      <c r="A21">
        <f>Source!A36</f>
        <v>18</v>
      </c>
      <c r="B21">
        <v>36</v>
      </c>
      <c r="C21">
        <v>3</v>
      </c>
      <c r="D21">
        <f>Source!BI36</f>
        <v>4</v>
      </c>
      <c r="E21">
        <f>Source!FS36</f>
        <v>0</v>
      </c>
      <c r="F21" t="str">
        <f>Source!F36</f>
        <v>21.1-12-36</v>
      </c>
      <c r="G21" t="str">
        <f>Source!G36</f>
        <v>Щебень из естественного камня для строительных работ, марка 1200-800, фракция 20-40 мм</v>
      </c>
      <c r="H21" t="str">
        <f>Source!H36</f>
        <v>м3</v>
      </c>
      <c r="I21">
        <f>Source!I36</f>
        <v>23.315999999999999</v>
      </c>
      <c r="J21">
        <v>1</v>
      </c>
      <c r="K21">
        <f>Source!AC36</f>
        <v>1763.75</v>
      </c>
      <c r="M21">
        <f>ROUND(K21*I21, 2)</f>
        <v>41123.599999999999</v>
      </c>
      <c r="N21">
        <f>Source!AC36*IF(Source!BC36&lt;&gt; 0, Source!BC36, 1)</f>
        <v>1763.75</v>
      </c>
      <c r="O21">
        <f>ROUND(N21*I21, 2)</f>
        <v>41123.599999999999</v>
      </c>
      <c r="P21">
        <f>Source!AE36</f>
        <v>0</v>
      </c>
      <c r="R21">
        <f>ROUND(P21*I21, 2)</f>
        <v>0</v>
      </c>
      <c r="S21">
        <f>Source!AE36*IF(Source!BS36&lt;&gt; 0, Source!BS36, 1)</f>
        <v>0</v>
      </c>
      <c r="T21">
        <f>ROUND(S21*I21, 2)</f>
        <v>0</v>
      </c>
      <c r="U21">
        <f>Source!GF36</f>
        <v>-886425656</v>
      </c>
      <c r="V21">
        <v>-671760782</v>
      </c>
      <c r="W21">
        <v>345930550</v>
      </c>
      <c r="X21">
        <v>3</v>
      </c>
    </row>
    <row r="22" spans="1:24" x14ac:dyDescent="0.2">
      <c r="A22">
        <v>20</v>
      </c>
      <c r="B22">
        <v>22</v>
      </c>
      <c r="C22">
        <v>3</v>
      </c>
      <c r="D22">
        <v>0</v>
      </c>
      <c r="E22">
        <f>SmtRes!AV22</f>
        <v>0</v>
      </c>
      <c r="F22" t="str">
        <f>SmtRes!I22</f>
        <v>21.3-3-34</v>
      </c>
      <c r="G22" t="str">
        <f>SmtRes!K22</f>
        <v>Смеси асфальтобетонные дорожные горячие песчаные, тип Д, марка III</v>
      </c>
      <c r="H22" t="str">
        <f>SmtRes!O22</f>
        <v>т</v>
      </c>
      <c r="I22">
        <f>SmtRes!Y22*Source!I38</f>
        <v>9.5676000000000005</v>
      </c>
      <c r="J22">
        <f>SmtRes!AO22</f>
        <v>1</v>
      </c>
      <c r="K22">
        <f>SmtRes!AE22</f>
        <v>2652.04</v>
      </c>
      <c r="L22">
        <f>SmtRes!DB22</f>
        <v>18935.57</v>
      </c>
      <c r="M22">
        <f>ROUND(ROUND(L22*Source!I38, 6)*1, 2)</f>
        <v>25373.66</v>
      </c>
      <c r="N22">
        <f>SmtRes!AA22</f>
        <v>2652.04</v>
      </c>
      <c r="O22">
        <f>ROUND(ROUND(L22*Source!I38, 6)*SmtRes!DA22, 2)</f>
        <v>25373.66</v>
      </c>
      <c r="P22">
        <f>SmtRes!AG22</f>
        <v>0</v>
      </c>
      <c r="Q22">
        <f>SmtRes!DC22</f>
        <v>0</v>
      </c>
      <c r="R22">
        <f>ROUND(ROUND(Q22*Source!I38, 6)*1, 2)</f>
        <v>0</v>
      </c>
      <c r="S22">
        <f>SmtRes!AC22</f>
        <v>0</v>
      </c>
      <c r="T22">
        <f>ROUND(ROUND(Q22*Source!I38, 6)*SmtRes!AK22, 2)</f>
        <v>0</v>
      </c>
      <c r="U22">
        <f>SmtRes!X22</f>
        <v>2062870502</v>
      </c>
      <c r="V22">
        <v>-2134407800</v>
      </c>
      <c r="W22">
        <v>-1328752311</v>
      </c>
      <c r="X22">
        <v>3</v>
      </c>
    </row>
    <row r="23" spans="1:24" x14ac:dyDescent="0.2">
      <c r="A23">
        <v>20</v>
      </c>
      <c r="B23">
        <v>21</v>
      </c>
      <c r="C23">
        <v>3</v>
      </c>
      <c r="D23">
        <v>0</v>
      </c>
      <c r="E23">
        <f>SmtRes!AV21</f>
        <v>0</v>
      </c>
      <c r="F23" t="str">
        <f>SmtRes!I21</f>
        <v>21.1-1-3</v>
      </c>
      <c r="G23" t="str">
        <f>SmtRes!K21</f>
        <v>Битумы нефтяные, дорожные жидкие, марка МГ, СГ</v>
      </c>
      <c r="H23" t="str">
        <f>SmtRes!O21</f>
        <v>т</v>
      </c>
      <c r="I23">
        <f>SmtRes!Y21*Source!I38</f>
        <v>8.0399999999999999E-2</v>
      </c>
      <c r="J23">
        <f>SmtRes!AO21</f>
        <v>1</v>
      </c>
      <c r="K23">
        <f>SmtRes!AE21</f>
        <v>25888.1</v>
      </c>
      <c r="L23">
        <f>SmtRes!DB21</f>
        <v>1553.29</v>
      </c>
      <c r="M23">
        <f>ROUND(ROUND(L23*Source!I38, 6)*1, 2)</f>
        <v>2081.41</v>
      </c>
      <c r="N23">
        <f>SmtRes!AA21</f>
        <v>25888.1</v>
      </c>
      <c r="O23">
        <f>ROUND(ROUND(L23*Source!I38, 6)*SmtRes!DA21, 2)</f>
        <v>2081.41</v>
      </c>
      <c r="P23">
        <f>SmtRes!AG21</f>
        <v>0</v>
      </c>
      <c r="Q23">
        <f>SmtRes!DC21</f>
        <v>0</v>
      </c>
      <c r="R23">
        <f>ROUND(ROUND(Q23*Source!I38, 6)*1, 2)</f>
        <v>0</v>
      </c>
      <c r="S23">
        <f>SmtRes!AC21</f>
        <v>0</v>
      </c>
      <c r="T23">
        <f>ROUND(ROUND(Q23*Source!I38, 6)*SmtRes!AK21, 2)</f>
        <v>0</v>
      </c>
      <c r="U23">
        <f>SmtRes!X21</f>
        <v>-68218516</v>
      </c>
      <c r="V23">
        <v>-1520039527</v>
      </c>
      <c r="W23">
        <v>-3533703</v>
      </c>
      <c r="X23">
        <v>3</v>
      </c>
    </row>
    <row r="24" spans="1:24" x14ac:dyDescent="0.2">
      <c r="A24">
        <v>20</v>
      </c>
      <c r="B24">
        <v>20</v>
      </c>
      <c r="C24">
        <v>2</v>
      </c>
      <c r="D24">
        <v>0</v>
      </c>
      <c r="E24">
        <f>SmtRes!AV20</f>
        <v>0</v>
      </c>
      <c r="F24" t="str">
        <f>SmtRes!I20</f>
        <v>22.1-5-2</v>
      </c>
      <c r="G24" t="str">
        <f>SmtRes!K20</f>
        <v>Катки самоходные вибрационные, масса до 8 т</v>
      </c>
      <c r="H24" t="str">
        <f>SmtRes!O20</f>
        <v>маш.-ч</v>
      </c>
      <c r="I24">
        <f>SmtRes!Y20*Source!I38</f>
        <v>1.1926000000000001</v>
      </c>
      <c r="J24">
        <f>SmtRes!AO20</f>
        <v>1</v>
      </c>
      <c r="K24">
        <f>SmtRes!AF20</f>
        <v>1261.8699999999999</v>
      </c>
      <c r="L24">
        <f>SmtRes!DB20</f>
        <v>1123.06</v>
      </c>
      <c r="M24">
        <f>ROUND(ROUND(L24*Source!I38, 6)*1, 2)</f>
        <v>1504.9</v>
      </c>
      <c r="N24">
        <f>SmtRes!AB20</f>
        <v>1261.8699999999999</v>
      </c>
      <c r="O24">
        <f>ROUND(ROUND(L24*Source!I38, 6)*SmtRes!DA20, 2)</f>
        <v>1504.9</v>
      </c>
      <c r="P24">
        <f>SmtRes!AG20</f>
        <v>530.02</v>
      </c>
      <c r="Q24">
        <f>SmtRes!DC20</f>
        <v>471.72</v>
      </c>
      <c r="R24">
        <f>ROUND(ROUND(Q24*Source!I38, 6)*1, 2)</f>
        <v>632.1</v>
      </c>
      <c r="S24">
        <f>SmtRes!AC20</f>
        <v>530.02</v>
      </c>
      <c r="T24">
        <f>ROUND(ROUND(Q24*Source!I38, 6)*SmtRes!AK20, 2)</f>
        <v>632.1</v>
      </c>
      <c r="U24">
        <f>SmtRes!X20</f>
        <v>-1043398787</v>
      </c>
      <c r="V24">
        <v>-791430524</v>
      </c>
      <c r="W24">
        <v>-1074879534</v>
      </c>
      <c r="X24">
        <v>2</v>
      </c>
    </row>
    <row r="25" spans="1:24" x14ac:dyDescent="0.2">
      <c r="A25">
        <v>20</v>
      </c>
      <c r="B25">
        <v>32</v>
      </c>
      <c r="C25">
        <v>3</v>
      </c>
      <c r="D25">
        <v>0</v>
      </c>
      <c r="E25">
        <f>SmtRes!AV32</f>
        <v>0</v>
      </c>
      <c r="F25" t="str">
        <f>SmtRes!I32</f>
        <v>21.1-6-101</v>
      </c>
      <c r="G25" t="str">
        <f>SmtRes!K32</f>
        <v>Пигменты сухие для красок, кислотный желтый</v>
      </c>
      <c r="H25" t="str">
        <f>SmtRes!O32</f>
        <v>т</v>
      </c>
      <c r="I25">
        <f>SmtRes!Y32*Source!I39</f>
        <v>7.0349999999999996E-2</v>
      </c>
      <c r="J25">
        <f>SmtRes!AO32</f>
        <v>1</v>
      </c>
      <c r="K25">
        <f>SmtRes!AE32</f>
        <v>748299.67</v>
      </c>
      <c r="L25">
        <f>SmtRes!DB32</f>
        <v>39285.730000000003</v>
      </c>
      <c r="M25">
        <f>ROUND(ROUND(L25*Source!I39, 6)*1, 2)</f>
        <v>52642.879999999997</v>
      </c>
      <c r="N25">
        <f>SmtRes!AA32</f>
        <v>748299.67</v>
      </c>
      <c r="O25">
        <f>ROUND(ROUND(L25*Source!I39, 6)*SmtRes!DA32, 2)</f>
        <v>52642.879999999997</v>
      </c>
      <c r="P25">
        <f>SmtRes!AG32</f>
        <v>0</v>
      </c>
      <c r="Q25">
        <f>SmtRes!DC32</f>
        <v>0</v>
      </c>
      <c r="R25">
        <f>ROUND(ROUND(Q25*Source!I39, 6)*1, 2)</f>
        <v>0</v>
      </c>
      <c r="S25">
        <f>SmtRes!AC32</f>
        <v>0</v>
      </c>
      <c r="T25">
        <f>ROUND(ROUND(Q25*Source!I39, 6)*SmtRes!AK32, 2)</f>
        <v>0</v>
      </c>
      <c r="U25">
        <f>SmtRes!X32</f>
        <v>-1600259051</v>
      </c>
      <c r="V25">
        <v>-2022093422</v>
      </c>
      <c r="W25">
        <v>1055948583</v>
      </c>
      <c r="X25">
        <v>3</v>
      </c>
    </row>
    <row r="26" spans="1:24" x14ac:dyDescent="0.2">
      <c r="A26">
        <v>20</v>
      </c>
      <c r="B26">
        <v>31</v>
      </c>
      <c r="C26">
        <v>3</v>
      </c>
      <c r="D26">
        <v>0</v>
      </c>
      <c r="E26">
        <f>SmtRes!AV31</f>
        <v>0</v>
      </c>
      <c r="F26" t="str">
        <f>SmtRes!I31</f>
        <v>21.1-25-776</v>
      </c>
      <c r="G26" t="str">
        <f>SmtRes!K31</f>
        <v>Средство связующее универсальное полиуретановое на основе резиновой и каучуковой крошки для устройства высокопрочных эластичных покрытий</v>
      </c>
      <c r="H26" t="str">
        <f>SmtRes!O31</f>
        <v>кг</v>
      </c>
      <c r="I26">
        <f>SmtRes!Y31*Source!I39</f>
        <v>323.61</v>
      </c>
      <c r="J26">
        <f>SmtRes!AO31</f>
        <v>1</v>
      </c>
      <c r="K26">
        <f>SmtRes!AE31</f>
        <v>202.34</v>
      </c>
      <c r="L26">
        <f>SmtRes!DB31</f>
        <v>48865.11</v>
      </c>
      <c r="M26">
        <f>ROUND(ROUND(L26*Source!I39, 6)*1, 2)</f>
        <v>65479.25</v>
      </c>
      <c r="N26">
        <f>SmtRes!AA31</f>
        <v>202.34</v>
      </c>
      <c r="O26">
        <f>ROUND(ROUND(L26*Source!I39, 6)*SmtRes!DA31, 2)</f>
        <v>65479.25</v>
      </c>
      <c r="P26">
        <f>SmtRes!AG31</f>
        <v>0</v>
      </c>
      <c r="Q26">
        <f>SmtRes!DC31</f>
        <v>0</v>
      </c>
      <c r="R26">
        <f>ROUND(ROUND(Q26*Source!I39, 6)*1, 2)</f>
        <v>0</v>
      </c>
      <c r="S26">
        <f>SmtRes!AC31</f>
        <v>0</v>
      </c>
      <c r="T26">
        <f>ROUND(ROUND(Q26*Source!I39, 6)*SmtRes!AK31, 2)</f>
        <v>0</v>
      </c>
      <c r="U26">
        <f>SmtRes!X31</f>
        <v>-319511878</v>
      </c>
      <c r="V26">
        <v>-233522306</v>
      </c>
      <c r="W26">
        <v>1409483656</v>
      </c>
      <c r="X26">
        <v>3</v>
      </c>
    </row>
    <row r="27" spans="1:24" x14ac:dyDescent="0.2">
      <c r="A27">
        <v>20</v>
      </c>
      <c r="B27">
        <v>30</v>
      </c>
      <c r="C27">
        <v>3</v>
      </c>
      <c r="D27">
        <v>0</v>
      </c>
      <c r="E27">
        <f>SmtRes!AV30</f>
        <v>0</v>
      </c>
      <c r="F27" t="str">
        <f>SmtRes!I30</f>
        <v>21.1-25-769</v>
      </c>
      <c r="G27" t="str">
        <f>SmtRes!K30</f>
        <v>Крошка резиновая гранулированная, фракция 2-3 мм</v>
      </c>
      <c r="H27" t="str">
        <f>SmtRes!O30</f>
        <v>кг</v>
      </c>
      <c r="I27">
        <f>SmtRes!Y30*Source!I39</f>
        <v>984.90000000000009</v>
      </c>
      <c r="J27">
        <f>SmtRes!AO30</f>
        <v>1</v>
      </c>
      <c r="K27">
        <f>SmtRes!AE30</f>
        <v>17.77</v>
      </c>
      <c r="L27">
        <f>SmtRes!DB30</f>
        <v>13060.95</v>
      </c>
      <c r="M27">
        <f>ROUND(ROUND(L27*Source!I39, 6)*1, 2)</f>
        <v>17501.669999999998</v>
      </c>
      <c r="N27">
        <f>SmtRes!AA30</f>
        <v>17.77</v>
      </c>
      <c r="O27">
        <f>ROUND(ROUND(L27*Source!I39, 6)*SmtRes!DA30, 2)</f>
        <v>17501.669999999998</v>
      </c>
      <c r="P27">
        <f>SmtRes!AG30</f>
        <v>0</v>
      </c>
      <c r="Q27">
        <f>SmtRes!DC30</f>
        <v>0</v>
      </c>
      <c r="R27">
        <f>ROUND(ROUND(Q27*Source!I39, 6)*1, 2)</f>
        <v>0</v>
      </c>
      <c r="S27">
        <f>SmtRes!AC30</f>
        <v>0</v>
      </c>
      <c r="T27">
        <f>ROUND(ROUND(Q27*Source!I39, 6)*SmtRes!AK30, 2)</f>
        <v>0</v>
      </c>
      <c r="U27">
        <f>SmtRes!X30</f>
        <v>1696686191</v>
      </c>
      <c r="V27">
        <v>711481079</v>
      </c>
      <c r="W27">
        <v>1650918109</v>
      </c>
      <c r="X27">
        <v>3</v>
      </c>
    </row>
    <row r="28" spans="1:24" x14ac:dyDescent="0.2">
      <c r="A28">
        <v>20</v>
      </c>
      <c r="B28">
        <v>29</v>
      </c>
      <c r="C28">
        <v>3</v>
      </c>
      <c r="D28">
        <v>0</v>
      </c>
      <c r="E28">
        <f>SmtRes!AV29</f>
        <v>0</v>
      </c>
      <c r="F28" t="str">
        <f>SmtRes!I29</f>
        <v>21.1-25-343</v>
      </c>
      <c r="G28" t="str">
        <f>SmtRes!K29</f>
        <v>Скипидар живичный</v>
      </c>
      <c r="H28" t="str">
        <f>SmtRes!O29</f>
        <v>т</v>
      </c>
      <c r="I28">
        <f>SmtRes!Y29*Source!I39</f>
        <v>4.2209999999999999E-3</v>
      </c>
      <c r="J28">
        <f>SmtRes!AO29</f>
        <v>1</v>
      </c>
      <c r="K28">
        <f>SmtRes!AE29</f>
        <v>343020.03</v>
      </c>
      <c r="L28">
        <f>SmtRes!DB29</f>
        <v>1080.51</v>
      </c>
      <c r="M28">
        <f>ROUND(ROUND(L28*Source!I39, 6)*1, 2)</f>
        <v>1447.88</v>
      </c>
      <c r="N28">
        <f>SmtRes!AA29</f>
        <v>343020.03</v>
      </c>
      <c r="O28">
        <f>ROUND(ROUND(L28*Source!I39, 6)*SmtRes!DA29, 2)</f>
        <v>1447.88</v>
      </c>
      <c r="P28">
        <f>SmtRes!AG29</f>
        <v>0</v>
      </c>
      <c r="Q28">
        <f>SmtRes!DC29</f>
        <v>0</v>
      </c>
      <c r="R28">
        <f>ROUND(ROUND(Q28*Source!I39, 6)*1, 2)</f>
        <v>0</v>
      </c>
      <c r="S28">
        <f>SmtRes!AC29</f>
        <v>0</v>
      </c>
      <c r="T28">
        <f>ROUND(ROUND(Q28*Source!I39, 6)*SmtRes!AK29, 2)</f>
        <v>0</v>
      </c>
      <c r="U28">
        <f>SmtRes!X29</f>
        <v>1287476064</v>
      </c>
      <c r="V28">
        <v>-2022015353</v>
      </c>
      <c r="W28">
        <v>-1513198188</v>
      </c>
      <c r="X28">
        <v>3</v>
      </c>
    </row>
    <row r="29" spans="1:24" x14ac:dyDescent="0.2">
      <c r="A29">
        <v>20</v>
      </c>
      <c r="B29">
        <v>28</v>
      </c>
      <c r="C29">
        <v>3</v>
      </c>
      <c r="D29">
        <v>0</v>
      </c>
      <c r="E29">
        <f>SmtRes!AV28</f>
        <v>0</v>
      </c>
      <c r="F29" t="str">
        <f>SmtRes!I28</f>
        <v>21.1-25-255</v>
      </c>
      <c r="G29" t="str">
        <f>SmtRes!K28</f>
        <v>Пленка полиэтиленовая, толщина 0,12 - 0,15 мм</v>
      </c>
      <c r="H29" t="str">
        <f>SmtRes!O28</f>
        <v>м2</v>
      </c>
      <c r="I29">
        <f>SmtRes!Y28*Source!I39</f>
        <v>7.5039999999999996</v>
      </c>
      <c r="J29">
        <f>SmtRes!AO28</f>
        <v>1</v>
      </c>
      <c r="K29">
        <f>SmtRes!AE28</f>
        <v>12.02</v>
      </c>
      <c r="L29">
        <f>SmtRes!DB28</f>
        <v>67.31</v>
      </c>
      <c r="M29">
        <f>ROUND(ROUND(L29*Source!I39, 6)*1, 2)</f>
        <v>90.2</v>
      </c>
      <c r="N29">
        <f>SmtRes!AA28</f>
        <v>12.02</v>
      </c>
      <c r="O29">
        <f>ROUND(ROUND(L29*Source!I39, 6)*SmtRes!DA28, 2)</f>
        <v>90.2</v>
      </c>
      <c r="P29">
        <f>SmtRes!AG28</f>
        <v>0</v>
      </c>
      <c r="Q29">
        <f>SmtRes!DC28</f>
        <v>0</v>
      </c>
      <c r="R29">
        <f>ROUND(ROUND(Q29*Source!I39, 6)*1, 2)</f>
        <v>0</v>
      </c>
      <c r="S29">
        <f>SmtRes!AC28</f>
        <v>0</v>
      </c>
      <c r="T29">
        <f>ROUND(ROUND(Q29*Source!I39, 6)*SmtRes!AK28, 2)</f>
        <v>0</v>
      </c>
      <c r="U29">
        <f>SmtRes!X28</f>
        <v>-1185010663</v>
      </c>
      <c r="V29">
        <v>1068066483</v>
      </c>
      <c r="W29">
        <v>2115870156</v>
      </c>
      <c r="X29">
        <v>3</v>
      </c>
    </row>
    <row r="30" spans="1:24" x14ac:dyDescent="0.2">
      <c r="A30">
        <v>20</v>
      </c>
      <c r="B30">
        <v>27</v>
      </c>
      <c r="C30">
        <v>2</v>
      </c>
      <c r="D30">
        <v>0</v>
      </c>
      <c r="E30">
        <f>SmtRes!AV27</f>
        <v>0</v>
      </c>
      <c r="F30" t="str">
        <f>SmtRes!I27</f>
        <v>22.1-6-68</v>
      </c>
      <c r="G30" t="str">
        <f>SmtRes!K27</f>
        <v>Растворосмесители стационарные, емкость до 250 л</v>
      </c>
      <c r="H30" t="str">
        <f>SmtRes!O27</f>
        <v>маш.-ч</v>
      </c>
      <c r="I30">
        <f>SmtRes!Y27*Source!I39</f>
        <v>3.5376000000000003</v>
      </c>
      <c r="J30">
        <f>SmtRes!AO27</f>
        <v>1</v>
      </c>
      <c r="K30">
        <f>SmtRes!AF27</f>
        <v>454.31</v>
      </c>
      <c r="L30">
        <f>SmtRes!DB27</f>
        <v>1199.3800000000001</v>
      </c>
      <c r="M30">
        <f>ROUND(ROUND(L30*Source!I39, 6)*1, 2)</f>
        <v>1607.17</v>
      </c>
      <c r="N30">
        <f>SmtRes!AB27</f>
        <v>454.31</v>
      </c>
      <c r="O30">
        <f>ROUND(ROUND(L30*Source!I39, 6)*SmtRes!DA27, 2)</f>
        <v>1607.17</v>
      </c>
      <c r="P30">
        <f>SmtRes!AG27</f>
        <v>405.68</v>
      </c>
      <c r="Q30">
        <f>SmtRes!DC27</f>
        <v>1071</v>
      </c>
      <c r="R30">
        <f>ROUND(ROUND(Q30*Source!I39, 6)*1, 2)</f>
        <v>1435.14</v>
      </c>
      <c r="S30">
        <f>SmtRes!AC27</f>
        <v>405.68</v>
      </c>
      <c r="T30">
        <f>ROUND(ROUND(Q30*Source!I39, 6)*SmtRes!AK27, 2)</f>
        <v>1435.14</v>
      </c>
      <c r="U30">
        <f>SmtRes!X27</f>
        <v>1110189246</v>
      </c>
      <c r="V30">
        <v>1539087417</v>
      </c>
      <c r="W30">
        <v>-1650330276</v>
      </c>
      <c r="X30">
        <v>2</v>
      </c>
    </row>
    <row r="31" spans="1:24" x14ac:dyDescent="0.2">
      <c r="A31">
        <v>20</v>
      </c>
      <c r="B31">
        <v>26</v>
      </c>
      <c r="C31">
        <v>2</v>
      </c>
      <c r="D31">
        <v>0</v>
      </c>
      <c r="E31">
        <f>SmtRes!AV26</f>
        <v>0</v>
      </c>
      <c r="F31" t="str">
        <f>SmtRes!I26</f>
        <v>22.1-4-8</v>
      </c>
      <c r="G31" t="str">
        <f>SmtRes!K26</f>
        <v>Погрузчики на автомобильном ходу, грузоподъемность до 1 т</v>
      </c>
      <c r="H31" t="str">
        <f>SmtRes!O26</f>
        <v>маш.-ч</v>
      </c>
      <c r="I31">
        <f>SmtRes!Y26*Source!I39</f>
        <v>1.34E-2</v>
      </c>
      <c r="J31">
        <f>SmtRes!AO26</f>
        <v>1</v>
      </c>
      <c r="K31">
        <f>SmtRes!AF26</f>
        <v>616.73</v>
      </c>
      <c r="L31">
        <f>SmtRes!DB26</f>
        <v>6.17</v>
      </c>
      <c r="M31">
        <f>ROUND(ROUND(L31*Source!I39, 6)*1, 2)</f>
        <v>8.27</v>
      </c>
      <c r="N31">
        <f>SmtRes!AB26</f>
        <v>616.73</v>
      </c>
      <c r="O31">
        <f>ROUND(ROUND(L31*Source!I39, 6)*SmtRes!DA26, 2)</f>
        <v>8.27</v>
      </c>
      <c r="P31">
        <f>SmtRes!AG26</f>
        <v>511.29</v>
      </c>
      <c r="Q31">
        <f>SmtRes!DC26</f>
        <v>5.1100000000000003</v>
      </c>
      <c r="R31">
        <f>ROUND(ROUND(Q31*Source!I39, 6)*1, 2)</f>
        <v>6.85</v>
      </c>
      <c r="S31">
        <f>SmtRes!AC26</f>
        <v>511.29</v>
      </c>
      <c r="T31">
        <f>ROUND(ROUND(Q31*Source!I39, 6)*SmtRes!AK26, 2)</f>
        <v>6.85</v>
      </c>
      <c r="U31">
        <f>SmtRes!X26</f>
        <v>-2052459773</v>
      </c>
      <c r="V31">
        <v>579726280</v>
      </c>
      <c r="W31">
        <v>1460056643</v>
      </c>
      <c r="X31">
        <v>2</v>
      </c>
    </row>
    <row r="32" spans="1:24" x14ac:dyDescent="0.2">
      <c r="A32">
        <v>20</v>
      </c>
      <c r="B32">
        <v>25</v>
      </c>
      <c r="C32">
        <v>2</v>
      </c>
      <c r="D32">
        <v>0</v>
      </c>
      <c r="E32">
        <f>SmtRes!AV25</f>
        <v>0</v>
      </c>
      <c r="F32" t="str">
        <f>SmtRes!I25</f>
        <v>22.1-30-102</v>
      </c>
      <c r="G32" t="str">
        <f>SmtRes!K25</f>
        <v>Дрели электрические, двухскоростные, мощностью 600 Вт</v>
      </c>
      <c r="H32" t="str">
        <f>SmtRes!O25</f>
        <v>маш.-ч</v>
      </c>
      <c r="I32">
        <f>SmtRes!Y25*Source!I39</f>
        <v>1.5811999999999999</v>
      </c>
      <c r="J32">
        <f>SmtRes!AO25</f>
        <v>1</v>
      </c>
      <c r="K32">
        <f>SmtRes!AF25</f>
        <v>7.44</v>
      </c>
      <c r="L32">
        <f>SmtRes!DB25</f>
        <v>8.7799999999999994</v>
      </c>
      <c r="M32">
        <f>ROUND(ROUND(L32*Source!I39, 6)*1, 2)</f>
        <v>11.77</v>
      </c>
      <c r="N32">
        <f>SmtRes!AB25</f>
        <v>7.44</v>
      </c>
      <c r="O32">
        <f>ROUND(ROUND(L32*Source!I39, 6)*SmtRes!DA25, 2)</f>
        <v>11.77</v>
      </c>
      <c r="P32">
        <f>SmtRes!AG25</f>
        <v>0.98</v>
      </c>
      <c r="Q32">
        <f>SmtRes!DC25</f>
        <v>1.1599999999999999</v>
      </c>
      <c r="R32">
        <f>ROUND(ROUND(Q32*Source!I39, 6)*1, 2)</f>
        <v>1.55</v>
      </c>
      <c r="S32">
        <f>SmtRes!AC25</f>
        <v>0.98</v>
      </c>
      <c r="T32">
        <f>ROUND(ROUND(Q32*Source!I39, 6)*SmtRes!AK25, 2)</f>
        <v>1.55</v>
      </c>
      <c r="U32">
        <f>SmtRes!X25</f>
        <v>592514182</v>
      </c>
      <c r="V32">
        <v>807016121</v>
      </c>
      <c r="W32">
        <v>83762966</v>
      </c>
      <c r="X32">
        <v>2</v>
      </c>
    </row>
    <row r="33" spans="1:24" x14ac:dyDescent="0.2">
      <c r="A33">
        <v>20</v>
      </c>
      <c r="B33">
        <v>24</v>
      </c>
      <c r="C33">
        <v>2</v>
      </c>
      <c r="D33">
        <v>0</v>
      </c>
      <c r="E33">
        <f>SmtRes!AV24</f>
        <v>0</v>
      </c>
      <c r="F33" t="str">
        <f>SmtRes!I24</f>
        <v>22.1-17-168</v>
      </c>
      <c r="G33" t="str">
        <f>SmtRes!K24</f>
        <v>Укладчики полимерных покрытий на игровых и спортивных площадках, производительность 10-50 м2/ч</v>
      </c>
      <c r="H33" t="str">
        <f>SmtRes!O24</f>
        <v>маш.-ч</v>
      </c>
      <c r="I33">
        <f>SmtRes!Y24*Source!I39</f>
        <v>3.5376000000000003</v>
      </c>
      <c r="J33">
        <f>SmtRes!AO24</f>
        <v>1</v>
      </c>
      <c r="K33">
        <f>SmtRes!AF24</f>
        <v>531.41</v>
      </c>
      <c r="L33">
        <f>SmtRes!DB24</f>
        <v>1402.92</v>
      </c>
      <c r="M33">
        <f>ROUND(ROUND(L33*Source!I39, 6)*1, 2)</f>
        <v>1879.91</v>
      </c>
      <c r="N33">
        <f>SmtRes!AB24</f>
        <v>531.41</v>
      </c>
      <c r="O33">
        <f>ROUND(ROUND(L33*Source!I39, 6)*SmtRes!DA24, 2)</f>
        <v>1879.91</v>
      </c>
      <c r="P33">
        <f>SmtRes!AG24</f>
        <v>373.56</v>
      </c>
      <c r="Q33">
        <f>SmtRes!DC24</f>
        <v>986.2</v>
      </c>
      <c r="R33">
        <f>ROUND(ROUND(Q33*Source!I39, 6)*1, 2)</f>
        <v>1321.51</v>
      </c>
      <c r="S33">
        <f>SmtRes!AC24</f>
        <v>373.56</v>
      </c>
      <c r="T33">
        <f>ROUND(ROUND(Q33*Source!I39, 6)*SmtRes!AK24, 2)</f>
        <v>1321.51</v>
      </c>
      <c r="U33">
        <f>SmtRes!X24</f>
        <v>72422803</v>
      </c>
      <c r="V33">
        <v>1063291144</v>
      </c>
      <c r="W33">
        <v>904665643</v>
      </c>
      <c r="X33">
        <v>2</v>
      </c>
    </row>
    <row r="34" spans="1:24" x14ac:dyDescent="0.2">
      <c r="A34">
        <v>20</v>
      </c>
      <c r="B34">
        <v>38</v>
      </c>
      <c r="C34">
        <v>3</v>
      </c>
      <c r="D34">
        <v>0</v>
      </c>
      <c r="E34">
        <f>SmtRes!AV38</f>
        <v>0</v>
      </c>
      <c r="F34" t="str">
        <f>SmtRes!I38</f>
        <v>21.1-6-101</v>
      </c>
      <c r="G34" t="str">
        <f>SmtRes!K38</f>
        <v>Пигменты сухие для красок, кислотный желтый</v>
      </c>
      <c r="H34" t="str">
        <f>SmtRes!O38</f>
        <v>т</v>
      </c>
      <c r="I34">
        <f>SmtRes!Y38*Source!I40</f>
        <v>1.4070000000000001E-2</v>
      </c>
      <c r="J34">
        <f>SmtRes!AO38</f>
        <v>1</v>
      </c>
      <c r="K34">
        <f>SmtRes!AE38</f>
        <v>748299.67</v>
      </c>
      <c r="L34">
        <f>SmtRes!DB38</f>
        <v>7857.15</v>
      </c>
      <c r="M34">
        <f>ROUND(ROUND(L34*Source!I40, 6)*1, 2)</f>
        <v>10528.58</v>
      </c>
      <c r="N34">
        <f>SmtRes!AA38</f>
        <v>748299.67</v>
      </c>
      <c r="O34">
        <f>ROUND(ROUND(L34*Source!I40, 6)*SmtRes!DA38, 2)</f>
        <v>10528.58</v>
      </c>
      <c r="P34">
        <f>SmtRes!AG38</f>
        <v>0</v>
      </c>
      <c r="Q34">
        <f>SmtRes!DC38</f>
        <v>0</v>
      </c>
      <c r="R34">
        <f>ROUND(ROUND(Q34*Source!I40, 6)*1, 2)</f>
        <v>0</v>
      </c>
      <c r="S34">
        <f>SmtRes!AC38</f>
        <v>0</v>
      </c>
      <c r="T34">
        <f>ROUND(ROUND(Q34*Source!I40, 6)*SmtRes!AK38, 2)</f>
        <v>0</v>
      </c>
      <c r="U34">
        <f>SmtRes!X38</f>
        <v>-1600259051</v>
      </c>
      <c r="V34">
        <v>-2022093422</v>
      </c>
      <c r="W34">
        <v>1055948583</v>
      </c>
      <c r="X34">
        <v>3</v>
      </c>
    </row>
    <row r="35" spans="1:24" x14ac:dyDescent="0.2">
      <c r="A35">
        <v>20</v>
      </c>
      <c r="B35">
        <v>37</v>
      </c>
      <c r="C35">
        <v>3</v>
      </c>
      <c r="D35">
        <v>0</v>
      </c>
      <c r="E35">
        <f>SmtRes!AV37</f>
        <v>0</v>
      </c>
      <c r="F35" t="str">
        <f>SmtRes!I37</f>
        <v>21.1-25-776</v>
      </c>
      <c r="G35" t="str">
        <f>SmtRes!K37</f>
        <v>Средство связующее универсальное полиуретановое на основе резиновой и каучуковой крошки для устройства высокопрочных эластичных покрытий</v>
      </c>
      <c r="H35" t="str">
        <f>SmtRes!O37</f>
        <v>кг</v>
      </c>
      <c r="I35">
        <f>SmtRes!Y37*Source!I40</f>
        <v>56.28</v>
      </c>
      <c r="J35">
        <f>SmtRes!AO37</f>
        <v>1</v>
      </c>
      <c r="K35">
        <f>SmtRes!AE37</f>
        <v>202.34</v>
      </c>
      <c r="L35">
        <f>SmtRes!DB37</f>
        <v>8498.2800000000007</v>
      </c>
      <c r="M35">
        <f>ROUND(ROUND(L35*Source!I40, 6)*1, 2)</f>
        <v>11387.7</v>
      </c>
      <c r="N35">
        <f>SmtRes!AA37</f>
        <v>202.34</v>
      </c>
      <c r="O35">
        <f>ROUND(ROUND(L35*Source!I40, 6)*SmtRes!DA37, 2)</f>
        <v>11387.7</v>
      </c>
      <c r="P35">
        <f>SmtRes!AG37</f>
        <v>0</v>
      </c>
      <c r="Q35">
        <f>SmtRes!DC37</f>
        <v>0</v>
      </c>
      <c r="R35">
        <f>ROUND(ROUND(Q35*Source!I40, 6)*1, 2)</f>
        <v>0</v>
      </c>
      <c r="S35">
        <f>SmtRes!AC37</f>
        <v>0</v>
      </c>
      <c r="T35">
        <f>ROUND(ROUND(Q35*Source!I40, 6)*SmtRes!AK37, 2)</f>
        <v>0</v>
      </c>
      <c r="U35">
        <f>SmtRes!X37</f>
        <v>-319511878</v>
      </c>
      <c r="V35">
        <v>-233522306</v>
      </c>
      <c r="W35">
        <v>1409483656</v>
      </c>
      <c r="X35">
        <v>3</v>
      </c>
    </row>
    <row r="36" spans="1:24" x14ac:dyDescent="0.2">
      <c r="A36">
        <v>20</v>
      </c>
      <c r="B36">
        <v>36</v>
      </c>
      <c r="C36">
        <v>3</v>
      </c>
      <c r="D36">
        <v>0</v>
      </c>
      <c r="E36">
        <f>SmtRes!AV36</f>
        <v>0</v>
      </c>
      <c r="F36" t="str">
        <f>SmtRes!I36</f>
        <v>21.1-25-769</v>
      </c>
      <c r="G36" t="str">
        <f>SmtRes!K36</f>
        <v>Крошка резиновая гранулированная, фракция 2-3 мм</v>
      </c>
      <c r="H36" t="str">
        <f>SmtRes!O36</f>
        <v>кг</v>
      </c>
      <c r="I36">
        <f>SmtRes!Y36*Source!I40</f>
        <v>196.98000000000002</v>
      </c>
      <c r="J36">
        <f>SmtRes!AO36</f>
        <v>1</v>
      </c>
      <c r="K36">
        <f>SmtRes!AE36</f>
        <v>17.77</v>
      </c>
      <c r="L36">
        <f>SmtRes!DB36</f>
        <v>2612.19</v>
      </c>
      <c r="M36">
        <f>ROUND(ROUND(L36*Source!I40, 6)*1, 2)</f>
        <v>3500.33</v>
      </c>
      <c r="N36">
        <f>SmtRes!AA36</f>
        <v>17.77</v>
      </c>
      <c r="O36">
        <f>ROUND(ROUND(L36*Source!I40, 6)*SmtRes!DA36, 2)</f>
        <v>3500.33</v>
      </c>
      <c r="P36">
        <f>SmtRes!AG36</f>
        <v>0</v>
      </c>
      <c r="Q36">
        <f>SmtRes!DC36</f>
        <v>0</v>
      </c>
      <c r="R36">
        <f>ROUND(ROUND(Q36*Source!I40, 6)*1, 2)</f>
        <v>0</v>
      </c>
      <c r="S36">
        <f>SmtRes!AC36</f>
        <v>0</v>
      </c>
      <c r="T36">
        <f>ROUND(ROUND(Q36*Source!I40, 6)*SmtRes!AK36, 2)</f>
        <v>0</v>
      </c>
      <c r="U36">
        <f>SmtRes!X36</f>
        <v>1696686191</v>
      </c>
      <c r="V36">
        <v>711481079</v>
      </c>
      <c r="W36">
        <v>1650918109</v>
      </c>
      <c r="X36">
        <v>3</v>
      </c>
    </row>
    <row r="37" spans="1:24" x14ac:dyDescent="0.2">
      <c r="A37">
        <v>20</v>
      </c>
      <c r="B37">
        <v>35</v>
      </c>
      <c r="C37">
        <v>2</v>
      </c>
      <c r="D37">
        <v>0</v>
      </c>
      <c r="E37">
        <f>SmtRes!AV35</f>
        <v>0</v>
      </c>
      <c r="F37" t="str">
        <f>SmtRes!I35</f>
        <v>22.1-6-68</v>
      </c>
      <c r="G37" t="str">
        <f>SmtRes!K35</f>
        <v>Растворосмесители стационарные, емкость до 250 л</v>
      </c>
      <c r="H37" t="str">
        <f>SmtRes!O35</f>
        <v>маш.-ч</v>
      </c>
      <c r="I37">
        <f>SmtRes!Y35*Source!I40</f>
        <v>0.67</v>
      </c>
      <c r="J37">
        <f>SmtRes!AO35</f>
        <v>1</v>
      </c>
      <c r="K37">
        <f>SmtRes!AF35</f>
        <v>454.31</v>
      </c>
      <c r="L37">
        <f>SmtRes!DB35</f>
        <v>227.16</v>
      </c>
      <c r="M37">
        <f>ROUND(ROUND(L37*Source!I40, 6)*1, 2)</f>
        <v>304.39</v>
      </c>
      <c r="N37">
        <f>SmtRes!AB35</f>
        <v>454.31</v>
      </c>
      <c r="O37">
        <f>ROUND(ROUND(L37*Source!I40, 6)*SmtRes!DA35, 2)</f>
        <v>304.39</v>
      </c>
      <c r="P37">
        <f>SmtRes!AG35</f>
        <v>405.68</v>
      </c>
      <c r="Q37">
        <f>SmtRes!DC35</f>
        <v>202.84</v>
      </c>
      <c r="R37">
        <f>ROUND(ROUND(Q37*Source!I40, 6)*1, 2)</f>
        <v>271.81</v>
      </c>
      <c r="S37">
        <f>SmtRes!AC35</f>
        <v>405.68</v>
      </c>
      <c r="T37">
        <f>ROUND(ROUND(Q37*Source!I40, 6)*SmtRes!AK35, 2)</f>
        <v>271.81</v>
      </c>
      <c r="U37">
        <f>SmtRes!X35</f>
        <v>1110189246</v>
      </c>
      <c r="V37">
        <v>1539087417</v>
      </c>
      <c r="W37">
        <v>-1650330276</v>
      </c>
      <c r="X37">
        <v>2</v>
      </c>
    </row>
    <row r="38" spans="1:24" x14ac:dyDescent="0.2">
      <c r="A38">
        <v>20</v>
      </c>
      <c r="B38">
        <v>34</v>
      </c>
      <c r="C38">
        <v>2</v>
      </c>
      <c r="D38">
        <v>0</v>
      </c>
      <c r="E38">
        <f>SmtRes!AV34</f>
        <v>0</v>
      </c>
      <c r="F38" t="str">
        <f>SmtRes!I34</f>
        <v>22.1-17-168</v>
      </c>
      <c r="G38" t="str">
        <f>SmtRes!K34</f>
        <v>Укладчики полимерных покрытий на игровых и спортивных площадках, производительность 10-50 м2/ч</v>
      </c>
      <c r="H38" t="str">
        <f>SmtRes!O34</f>
        <v>маш.-ч</v>
      </c>
      <c r="I38">
        <f>SmtRes!Y34*Source!I40</f>
        <v>0.67</v>
      </c>
      <c r="J38">
        <f>SmtRes!AO34</f>
        <v>1</v>
      </c>
      <c r="K38">
        <f>SmtRes!AF34</f>
        <v>531.41</v>
      </c>
      <c r="L38">
        <f>SmtRes!DB34</f>
        <v>265.70999999999998</v>
      </c>
      <c r="M38">
        <f>ROUND(ROUND(L38*Source!I40, 6)*1, 2)</f>
        <v>356.05</v>
      </c>
      <c r="N38">
        <f>SmtRes!AB34</f>
        <v>531.41</v>
      </c>
      <c r="O38">
        <f>ROUND(ROUND(L38*Source!I40, 6)*SmtRes!DA34, 2)</f>
        <v>356.05</v>
      </c>
      <c r="P38">
        <f>SmtRes!AG34</f>
        <v>373.56</v>
      </c>
      <c r="Q38">
        <f>SmtRes!DC34</f>
        <v>186.78</v>
      </c>
      <c r="R38">
        <f>ROUND(ROUND(Q38*Source!I40, 6)*1, 2)</f>
        <v>250.29</v>
      </c>
      <c r="S38">
        <f>SmtRes!AC34</f>
        <v>373.56</v>
      </c>
      <c r="T38">
        <f>ROUND(ROUND(Q38*Source!I40, 6)*SmtRes!AK34, 2)</f>
        <v>250.29</v>
      </c>
      <c r="U38">
        <f>SmtRes!X34</f>
        <v>72422803</v>
      </c>
      <c r="V38">
        <v>1063291144</v>
      </c>
      <c r="W38">
        <v>904665643</v>
      </c>
      <c r="X38">
        <v>2</v>
      </c>
    </row>
    <row r="39" spans="1:24" x14ac:dyDescent="0.2">
      <c r="A39">
        <v>20</v>
      </c>
      <c r="B39">
        <v>52</v>
      </c>
      <c r="C39">
        <v>3</v>
      </c>
      <c r="D39">
        <v>0</v>
      </c>
      <c r="E39">
        <f>SmtRes!AV52</f>
        <v>0</v>
      </c>
      <c r="F39" t="str">
        <f>SmtRes!I52</f>
        <v>21.5-3-9</v>
      </c>
      <c r="G39" t="str">
        <f>SmtRes!K52</f>
        <v>Камни бетонные бортовые газонные, марка 2ГБ 60.8.20, цвет серый</v>
      </c>
      <c r="H39" t="str">
        <f>SmtRes!O52</f>
        <v>м3</v>
      </c>
      <c r="I39">
        <f>SmtRes!Y52*Source!I43</f>
        <v>0.83200000000000007</v>
      </c>
      <c r="J39">
        <f>SmtRes!AO52</f>
        <v>1</v>
      </c>
      <c r="K39">
        <f>SmtRes!AE52</f>
        <v>11566.57</v>
      </c>
      <c r="L39">
        <f>SmtRes!DB52</f>
        <v>18506.509999999998</v>
      </c>
      <c r="M39">
        <f>ROUND(ROUND(L39*Source!I43, 6)*1, 2)</f>
        <v>9623.39</v>
      </c>
      <c r="N39">
        <f>SmtRes!AA52</f>
        <v>11566.57</v>
      </c>
      <c r="O39">
        <f>ROUND(ROUND(L39*Source!I43, 6)*SmtRes!DA52, 2)</f>
        <v>9623.39</v>
      </c>
      <c r="P39">
        <f>SmtRes!AG52</f>
        <v>0</v>
      </c>
      <c r="Q39">
        <f>SmtRes!DC52</f>
        <v>0</v>
      </c>
      <c r="R39">
        <f>ROUND(ROUND(Q39*Source!I43, 6)*1, 2)</f>
        <v>0</v>
      </c>
      <c r="S39">
        <f>SmtRes!AC52</f>
        <v>0</v>
      </c>
      <c r="T39">
        <f>ROUND(ROUND(Q39*Source!I43, 6)*SmtRes!AK52, 2)</f>
        <v>0</v>
      </c>
      <c r="U39">
        <f>SmtRes!X52</f>
        <v>892889602</v>
      </c>
      <c r="V39">
        <v>2056656452</v>
      </c>
      <c r="W39">
        <v>-418158513</v>
      </c>
      <c r="X39">
        <v>3</v>
      </c>
    </row>
    <row r="40" spans="1:24" x14ac:dyDescent="0.2">
      <c r="A40">
        <v>20</v>
      </c>
      <c r="B40">
        <v>51</v>
      </c>
      <c r="C40">
        <v>3</v>
      </c>
      <c r="D40">
        <v>0</v>
      </c>
      <c r="E40">
        <f>SmtRes!AV51</f>
        <v>0</v>
      </c>
      <c r="F40" t="str">
        <f>SmtRes!I51</f>
        <v>21.3-2-15</v>
      </c>
      <c r="G40" t="str">
        <f>SmtRes!K51</f>
        <v>Растворы цементные, марка 100</v>
      </c>
      <c r="H40" t="str">
        <f>SmtRes!O51</f>
        <v>м3</v>
      </c>
      <c r="I40">
        <f>SmtRes!Y51*Source!I43</f>
        <v>1.0400000000000001E-2</v>
      </c>
      <c r="J40">
        <f>SmtRes!AO51</f>
        <v>1</v>
      </c>
      <c r="K40">
        <f>SmtRes!AE51</f>
        <v>3392.59</v>
      </c>
      <c r="L40">
        <f>SmtRes!DB51</f>
        <v>67.849999999999994</v>
      </c>
      <c r="M40">
        <f>ROUND(ROUND(L40*Source!I43, 6)*1, 2)</f>
        <v>35.28</v>
      </c>
      <c r="N40">
        <f>SmtRes!AA51</f>
        <v>3392.59</v>
      </c>
      <c r="O40">
        <f>ROUND(ROUND(L40*Source!I43, 6)*SmtRes!DA51, 2)</f>
        <v>35.28</v>
      </c>
      <c r="P40">
        <f>SmtRes!AG51</f>
        <v>0</v>
      </c>
      <c r="Q40">
        <f>SmtRes!DC51</f>
        <v>0</v>
      </c>
      <c r="R40">
        <f>ROUND(ROUND(Q40*Source!I43, 6)*1, 2)</f>
        <v>0</v>
      </c>
      <c r="S40">
        <f>SmtRes!AC51</f>
        <v>0</v>
      </c>
      <c r="T40">
        <f>ROUND(ROUND(Q40*Source!I43, 6)*SmtRes!AK51, 2)</f>
        <v>0</v>
      </c>
      <c r="U40">
        <f>SmtRes!X51</f>
        <v>853860812</v>
      </c>
      <c r="V40">
        <v>1081577658</v>
      </c>
      <c r="W40">
        <v>761304375</v>
      </c>
      <c r="X40">
        <v>3</v>
      </c>
    </row>
    <row r="41" spans="1:24" x14ac:dyDescent="0.2">
      <c r="A41">
        <v>20</v>
      </c>
      <c r="B41">
        <v>50</v>
      </c>
      <c r="C41">
        <v>3</v>
      </c>
      <c r="D41">
        <v>0</v>
      </c>
      <c r="E41">
        <f>SmtRes!AV50</f>
        <v>0</v>
      </c>
      <c r="F41" t="str">
        <f>SmtRes!I50</f>
        <v>21.3-1-69</v>
      </c>
      <c r="G41" t="str">
        <f>SmtRes!K50</f>
        <v>Смеси бетонные, БСГ, тяжелого бетона на гранитном щебне, класс прочности: В15 (М200); П3, фракция 5-20, F50-100, W0-2</v>
      </c>
      <c r="H41" t="str">
        <f>SmtRes!O50</f>
        <v>м3</v>
      </c>
      <c r="I41">
        <f>SmtRes!Y50*Source!I43</f>
        <v>2.2359999999999998</v>
      </c>
      <c r="J41">
        <f>SmtRes!AO50</f>
        <v>1</v>
      </c>
      <c r="K41">
        <f>SmtRes!AE50</f>
        <v>3714.73</v>
      </c>
      <c r="L41">
        <f>SmtRes!DB50</f>
        <v>15973.34</v>
      </c>
      <c r="M41">
        <f>ROUND(ROUND(L41*Source!I43, 6)*1, 2)</f>
        <v>8306.14</v>
      </c>
      <c r="N41">
        <f>SmtRes!AA50</f>
        <v>3714.73</v>
      </c>
      <c r="O41">
        <f>ROUND(ROUND(L41*Source!I43, 6)*SmtRes!DA50, 2)</f>
        <v>8306.14</v>
      </c>
      <c r="P41">
        <f>SmtRes!AG50</f>
        <v>0</v>
      </c>
      <c r="Q41">
        <f>SmtRes!DC50</f>
        <v>0</v>
      </c>
      <c r="R41">
        <f>ROUND(ROUND(Q41*Source!I43, 6)*1, 2)</f>
        <v>0</v>
      </c>
      <c r="S41">
        <f>SmtRes!AC50</f>
        <v>0</v>
      </c>
      <c r="T41">
        <f>ROUND(ROUND(Q41*Source!I43, 6)*SmtRes!AK50, 2)</f>
        <v>0</v>
      </c>
      <c r="U41">
        <f>SmtRes!X50</f>
        <v>426331755</v>
      </c>
      <c r="V41">
        <v>-1437152771</v>
      </c>
      <c r="W41">
        <v>-1406457179</v>
      </c>
      <c r="X41">
        <v>3</v>
      </c>
    </row>
    <row r="42" spans="1:24" x14ac:dyDescent="0.2">
      <c r="A42">
        <v>20</v>
      </c>
      <c r="B42">
        <v>49</v>
      </c>
      <c r="C42">
        <v>2</v>
      </c>
      <c r="D42">
        <v>0</v>
      </c>
      <c r="E42">
        <f>SmtRes!AV49</f>
        <v>0</v>
      </c>
      <c r="F42" t="str">
        <f>SmtRes!I49</f>
        <v>22.1-4-12</v>
      </c>
      <c r="G42" t="str">
        <f>SmtRes!K49</f>
        <v>Погрузчики на автомобильном ходу, грузоподъемность до 5 т</v>
      </c>
      <c r="H42" t="str">
        <f>SmtRes!O49</f>
        <v>маш.-ч</v>
      </c>
      <c r="I42">
        <f>SmtRes!Y49*Source!I43</f>
        <v>0.13520000000000001</v>
      </c>
      <c r="J42">
        <f>SmtRes!AO49</f>
        <v>1</v>
      </c>
      <c r="K42">
        <f>SmtRes!AF49</f>
        <v>683.9</v>
      </c>
      <c r="L42">
        <f>SmtRes!DB49</f>
        <v>177.81</v>
      </c>
      <c r="M42">
        <f>ROUND(ROUND(L42*Source!I43, 6)*1, 2)</f>
        <v>92.46</v>
      </c>
      <c r="N42">
        <f>SmtRes!AB49</f>
        <v>683.9</v>
      </c>
      <c r="O42">
        <f>ROUND(ROUND(L42*Source!I43, 6)*SmtRes!DA49, 2)</f>
        <v>92.46</v>
      </c>
      <c r="P42">
        <f>SmtRes!AG49</f>
        <v>371.27</v>
      </c>
      <c r="Q42">
        <f>SmtRes!DC49</f>
        <v>96.53</v>
      </c>
      <c r="R42">
        <f>ROUND(ROUND(Q42*Source!I43, 6)*1, 2)</f>
        <v>50.2</v>
      </c>
      <c r="S42">
        <f>SmtRes!AC49</f>
        <v>371.27</v>
      </c>
      <c r="T42">
        <f>ROUND(ROUND(Q42*Source!I43, 6)*SmtRes!AK49, 2)</f>
        <v>50.2</v>
      </c>
      <c r="U42">
        <f>SmtRes!X49</f>
        <v>-1323805330</v>
      </c>
      <c r="V42">
        <v>1986574417</v>
      </c>
      <c r="W42">
        <v>-926712809</v>
      </c>
      <c r="X42">
        <v>2</v>
      </c>
    </row>
    <row r="43" spans="1:24" x14ac:dyDescent="0.2">
      <c r="A43">
        <v>20</v>
      </c>
      <c r="B43">
        <v>60</v>
      </c>
      <c r="C43">
        <v>3</v>
      </c>
      <c r="D43">
        <v>0</v>
      </c>
      <c r="E43">
        <f>SmtRes!AV60</f>
        <v>0</v>
      </c>
      <c r="F43" t="str">
        <f>SmtRes!I60</f>
        <v>21.3-2-12</v>
      </c>
      <c r="G43" t="str">
        <f>SmtRes!K60</f>
        <v>Растворы цементные, марка 25</v>
      </c>
      <c r="H43" t="str">
        <f>SmtRes!O60</f>
        <v>м3</v>
      </c>
      <c r="I43">
        <f>SmtRes!Y60*Source!I44</f>
        <v>5.9999999999999995E-4</v>
      </c>
      <c r="J43">
        <f>SmtRes!AO60</f>
        <v>1</v>
      </c>
      <c r="K43">
        <f>SmtRes!AE60</f>
        <v>3323.4</v>
      </c>
      <c r="L43">
        <f>SmtRes!DB60</f>
        <v>49.85</v>
      </c>
      <c r="M43">
        <f>ROUND(ROUND(L43*Source!I44, 6)*1, 2)</f>
        <v>1.99</v>
      </c>
      <c r="N43">
        <f>SmtRes!AA60</f>
        <v>3323.4</v>
      </c>
      <c r="O43">
        <f>ROUND(ROUND(L43*Source!I44, 6)*SmtRes!DA60, 2)</f>
        <v>1.99</v>
      </c>
      <c r="P43">
        <f>SmtRes!AG60</f>
        <v>0</v>
      </c>
      <c r="Q43">
        <f>SmtRes!DC60</f>
        <v>0</v>
      </c>
      <c r="R43">
        <f>ROUND(ROUND(Q43*Source!I44, 6)*1, 2)</f>
        <v>0</v>
      </c>
      <c r="S43">
        <f>SmtRes!AC60</f>
        <v>0</v>
      </c>
      <c r="T43">
        <f>ROUND(ROUND(Q43*Source!I44, 6)*SmtRes!AK60, 2)</f>
        <v>0</v>
      </c>
      <c r="U43">
        <f>SmtRes!X60</f>
        <v>416525707</v>
      </c>
      <c r="V43">
        <v>-1256474786</v>
      </c>
      <c r="W43">
        <v>809277097</v>
      </c>
      <c r="X43">
        <v>3</v>
      </c>
    </row>
    <row r="44" spans="1:24" x14ac:dyDescent="0.2">
      <c r="A44">
        <f>Source!A51</f>
        <v>18</v>
      </c>
      <c r="B44">
        <v>51</v>
      </c>
      <c r="C44">
        <v>3</v>
      </c>
      <c r="D44">
        <f>Source!BI51</f>
        <v>4</v>
      </c>
      <c r="E44">
        <f>Source!FS51</f>
        <v>0</v>
      </c>
      <c r="F44" t="str">
        <f>Source!F51</f>
        <v>по цене поставщика</v>
      </c>
      <c r="G44" t="str">
        <f>Source!G51</f>
        <v>МАФ: Песочница с крышкой "Малыш" (РЕ-45) для детских садов и ДОУ 2000х1500х580  Ссылка: https://goroddd.ru/pesoch/pesochnitca-s-kryshkoy-malysh-dlya-detskikh-sadov-i-dou</v>
      </c>
      <c r="H44" t="str">
        <f>Source!H51</f>
        <v>шт.</v>
      </c>
      <c r="I44">
        <f>Source!I51</f>
        <v>1</v>
      </c>
      <c r="J44">
        <v>1</v>
      </c>
      <c r="K44">
        <f>Source!AC51</f>
        <v>17250</v>
      </c>
      <c r="M44">
        <f>ROUND(K44*I44, 2)</f>
        <v>17250</v>
      </c>
      <c r="N44">
        <f>Source!AC51*IF(Source!BC51&lt;&gt; 0, Source!BC51, 1)</f>
        <v>17250</v>
      </c>
      <c r="O44">
        <f>ROUND(N44*I44, 2)</f>
        <v>17250</v>
      </c>
      <c r="P44">
        <f>Source!AE51</f>
        <v>0</v>
      </c>
      <c r="R44">
        <f>ROUND(P44*I44, 2)</f>
        <v>0</v>
      </c>
      <c r="S44">
        <f>Source!AE51*IF(Source!BS51&lt;&gt; 0, Source!BS51, 1)</f>
        <v>0</v>
      </c>
      <c r="T44">
        <f>ROUND(S44*I44, 2)</f>
        <v>0</v>
      </c>
      <c r="U44">
        <f>Source!GF51</f>
        <v>-292158938</v>
      </c>
      <c r="V44">
        <v>-1695686249</v>
      </c>
      <c r="W44">
        <v>1338406588</v>
      </c>
      <c r="X44">
        <v>3</v>
      </c>
    </row>
    <row r="45" spans="1:24" x14ac:dyDescent="0.2">
      <c r="A45">
        <f>Source!A52</f>
        <v>18</v>
      </c>
      <c r="B45">
        <v>52</v>
      </c>
      <c r="C45">
        <v>3</v>
      </c>
      <c r="D45">
        <f>Source!BI52</f>
        <v>4</v>
      </c>
      <c r="E45">
        <f>Source!FS52</f>
        <v>0</v>
      </c>
      <c r="F45" t="str">
        <f>Source!F52</f>
        <v>по цене поставщика</v>
      </c>
      <c r="G45" t="str">
        <f>Source!G52</f>
        <v>Функциональный уличный игровой домик для детей "Море" (DO-33) 1800х1350х1450  https://goroddd.ru/detdom/ulichnyy-igrovoy-domik-dlya-detey-more</v>
      </c>
      <c r="H45" t="str">
        <f>Source!H52</f>
        <v>шт.</v>
      </c>
      <c r="I45">
        <f>Source!I52</f>
        <v>1</v>
      </c>
      <c r="J45">
        <v>1</v>
      </c>
      <c r="K45">
        <f>Source!AC52</f>
        <v>44166.67</v>
      </c>
      <c r="M45">
        <f>ROUND(K45*I45, 2)</f>
        <v>44166.67</v>
      </c>
      <c r="N45">
        <f>Source!AC52*IF(Source!BC52&lt;&gt; 0, Source!BC52, 1)</f>
        <v>44166.67</v>
      </c>
      <c r="O45">
        <f>ROUND(N45*I45, 2)</f>
        <v>44166.67</v>
      </c>
      <c r="P45">
        <f>Source!AE52</f>
        <v>0</v>
      </c>
      <c r="R45">
        <f>ROUND(P45*I45, 2)</f>
        <v>0</v>
      </c>
      <c r="S45">
        <f>Source!AE52*IF(Source!BS52&lt;&gt; 0, Source!BS52, 1)</f>
        <v>0</v>
      </c>
      <c r="T45">
        <f>ROUND(S45*I45, 2)</f>
        <v>0</v>
      </c>
      <c r="U45">
        <f>Source!GF52</f>
        <v>774189156</v>
      </c>
      <c r="V45">
        <v>613531390</v>
      </c>
      <c r="W45">
        <v>-2073129128</v>
      </c>
      <c r="X45">
        <v>3</v>
      </c>
    </row>
    <row r="46" spans="1:24" x14ac:dyDescent="0.2">
      <c r="A46">
        <f>Source!A53</f>
        <v>18</v>
      </c>
      <c r="B46">
        <v>53</v>
      </c>
      <c r="C46">
        <v>3</v>
      </c>
      <c r="D46">
        <f>Source!BI53</f>
        <v>4</v>
      </c>
      <c r="E46">
        <f>Source!FS53</f>
        <v>0</v>
      </c>
      <c r="F46" t="str">
        <f>Source!F53</f>
        <v>по цене поставщика</v>
      </c>
      <c r="G46" t="str">
        <f>Source!G53</f>
        <v>Детская игровая форма, уличный игровой макет "Рейсовый автобус" (ИМН-7) 2350х1080х1670 https://goroddd.ru/makety-i-elementy/tematicheskiy-maket-dlya-detskikh-ploschadok-reysovyy-avtobus-im</v>
      </c>
      <c r="H46" t="str">
        <f>Source!H53</f>
        <v>шт.</v>
      </c>
      <c r="I46">
        <f>Source!I53</f>
        <v>1</v>
      </c>
      <c r="J46">
        <v>1</v>
      </c>
      <c r="K46">
        <f>Source!AC53</f>
        <v>62333.33</v>
      </c>
      <c r="M46">
        <f>ROUND(K46*I46, 2)</f>
        <v>62333.33</v>
      </c>
      <c r="N46">
        <f>Source!AC53*IF(Source!BC53&lt;&gt; 0, Source!BC53, 1)</f>
        <v>62333.33</v>
      </c>
      <c r="O46">
        <f>ROUND(N46*I46, 2)</f>
        <v>62333.33</v>
      </c>
      <c r="P46">
        <f>Source!AE53</f>
        <v>0</v>
      </c>
      <c r="R46">
        <f>ROUND(P46*I46, 2)</f>
        <v>0</v>
      </c>
      <c r="S46">
        <f>Source!AE53*IF(Source!BS53&lt;&gt; 0, Source!BS53, 1)</f>
        <v>0</v>
      </c>
      <c r="T46">
        <f>ROUND(S46*I46, 2)</f>
        <v>0</v>
      </c>
      <c r="U46">
        <f>Source!GF53</f>
        <v>1794000053</v>
      </c>
      <c r="V46">
        <v>947073593</v>
      </c>
      <c r="W46">
        <v>-1856616728</v>
      </c>
      <c r="X46">
        <v>3</v>
      </c>
    </row>
    <row r="47" spans="1:24" x14ac:dyDescent="0.2">
      <c r="A47">
        <f>Source!A54</f>
        <v>18</v>
      </c>
      <c r="B47">
        <v>54</v>
      </c>
      <c r="C47">
        <v>3</v>
      </c>
      <c r="D47">
        <f>Source!BI54</f>
        <v>4</v>
      </c>
      <c r="E47">
        <f>Source!FS54</f>
        <v>0</v>
      </c>
      <c r="F47" t="str">
        <f>Source!F54</f>
        <v>по цене поставщика</v>
      </c>
      <c r="G47" t="str">
        <f>Source!G54</f>
        <v>Лавочка двухсторонняя для детских садов "Курица-наседка" (СПН-88) 1200х650х780 http://mes.mosedu.ru/</v>
      </c>
      <c r="H47" t="str">
        <f>Source!H54</f>
        <v>шт.</v>
      </c>
      <c r="I47">
        <f>Source!I54</f>
        <v>1</v>
      </c>
      <c r="J47">
        <v>1</v>
      </c>
      <c r="K47">
        <f>Source!AC54</f>
        <v>12391.67</v>
      </c>
      <c r="M47">
        <f>ROUND(K47*I47, 2)</f>
        <v>12391.67</v>
      </c>
      <c r="N47">
        <f>Source!AC54*IF(Source!BC54&lt;&gt; 0, Source!BC54, 1)</f>
        <v>12391.67</v>
      </c>
      <c r="O47">
        <f>ROUND(N47*I47, 2)</f>
        <v>12391.67</v>
      </c>
      <c r="P47">
        <f>Source!AE54</f>
        <v>0</v>
      </c>
      <c r="R47">
        <f>ROUND(P47*I47, 2)</f>
        <v>0</v>
      </c>
      <c r="S47">
        <f>Source!AE54*IF(Source!BS54&lt;&gt; 0, Source!BS54, 1)</f>
        <v>0</v>
      </c>
      <c r="T47">
        <f>ROUND(S47*I47, 2)</f>
        <v>0</v>
      </c>
      <c r="U47">
        <f>Source!GF54</f>
        <v>-106681237</v>
      </c>
      <c r="V47">
        <v>573341076</v>
      </c>
      <c r="W47">
        <v>619025188</v>
      </c>
      <c r="X47">
        <v>3</v>
      </c>
    </row>
    <row r="48" spans="1:24" x14ac:dyDescent="0.2">
      <c r="A48">
        <f>Source!A89</f>
        <v>5</v>
      </c>
      <c r="B48">
        <v>89</v>
      </c>
      <c r="G48" t="str">
        <f>Source!G89</f>
        <v>Игровая площадка группы №12</v>
      </c>
    </row>
    <row r="49" spans="1:24" x14ac:dyDescent="0.2">
      <c r="A49">
        <v>20</v>
      </c>
      <c r="B49">
        <v>73</v>
      </c>
      <c r="C49">
        <v>3</v>
      </c>
      <c r="D49">
        <v>0</v>
      </c>
      <c r="E49">
        <f>SmtRes!AV73</f>
        <v>0</v>
      </c>
      <c r="F49" t="str">
        <f>SmtRes!I73</f>
        <v>21.1-25-13</v>
      </c>
      <c r="G49" t="str">
        <f>SmtRes!K73</f>
        <v>Вода</v>
      </c>
      <c r="H49" t="str">
        <f>SmtRes!O73</f>
        <v>м3</v>
      </c>
      <c r="I49">
        <f>SmtRes!Y73*Source!I94</f>
        <v>0.42000000000000004</v>
      </c>
      <c r="J49">
        <f>SmtRes!AO73</f>
        <v>1</v>
      </c>
      <c r="K49">
        <f>SmtRes!AE73</f>
        <v>35.25</v>
      </c>
      <c r="L49">
        <f>SmtRes!DB73</f>
        <v>176.25</v>
      </c>
      <c r="M49">
        <f>ROUND(ROUND(L49*Source!I94, 6)*1, 2)</f>
        <v>14.81</v>
      </c>
      <c r="N49">
        <f>SmtRes!AA73</f>
        <v>35.25</v>
      </c>
      <c r="O49">
        <f>ROUND(ROUND(L49*Source!I94, 6)*SmtRes!DA73, 2)</f>
        <v>14.81</v>
      </c>
      <c r="P49">
        <f>SmtRes!AG73</f>
        <v>0</v>
      </c>
      <c r="Q49">
        <f>SmtRes!DC73</f>
        <v>0</v>
      </c>
      <c r="R49">
        <f>ROUND(ROUND(Q49*Source!I94, 6)*1, 2)</f>
        <v>0</v>
      </c>
      <c r="S49">
        <f>SmtRes!AC73</f>
        <v>0</v>
      </c>
      <c r="T49">
        <f>ROUND(ROUND(Q49*Source!I94, 6)*SmtRes!AK73, 2)</f>
        <v>0</v>
      </c>
      <c r="U49">
        <f>SmtRes!X73</f>
        <v>1927597627</v>
      </c>
      <c r="V49">
        <v>-1829664509</v>
      </c>
      <c r="W49">
        <v>1819467959</v>
      </c>
      <c r="X49">
        <v>3</v>
      </c>
    </row>
    <row r="50" spans="1:24" x14ac:dyDescent="0.2">
      <c r="A50">
        <v>20</v>
      </c>
      <c r="B50">
        <v>72</v>
      </c>
      <c r="C50">
        <v>3</v>
      </c>
      <c r="D50">
        <v>0</v>
      </c>
      <c r="E50">
        <f>SmtRes!AV72</f>
        <v>0</v>
      </c>
      <c r="F50" t="str">
        <f>SmtRes!I72</f>
        <v>21.1-12-10</v>
      </c>
      <c r="G50" t="str">
        <f>SmtRes!K72</f>
        <v>Песок для дорожных работ, рядовой</v>
      </c>
      <c r="H50" t="str">
        <f>SmtRes!O72</f>
        <v>м3</v>
      </c>
      <c r="I50">
        <f>SmtRes!Y72*Source!I94</f>
        <v>9.24</v>
      </c>
      <c r="J50">
        <f>SmtRes!AO72</f>
        <v>1</v>
      </c>
      <c r="K50">
        <f>SmtRes!AE72</f>
        <v>590.78</v>
      </c>
      <c r="L50">
        <f>SmtRes!DB72</f>
        <v>64985.8</v>
      </c>
      <c r="M50">
        <f>ROUND(ROUND(L50*Source!I94, 6)*1, 2)</f>
        <v>5458.81</v>
      </c>
      <c r="N50">
        <f>SmtRes!AA72</f>
        <v>590.78</v>
      </c>
      <c r="O50">
        <f>ROUND(ROUND(L50*Source!I94, 6)*SmtRes!DA72, 2)</f>
        <v>5458.81</v>
      </c>
      <c r="P50">
        <f>SmtRes!AG72</f>
        <v>0</v>
      </c>
      <c r="Q50">
        <f>SmtRes!DC72</f>
        <v>0</v>
      </c>
      <c r="R50">
        <f>ROUND(ROUND(Q50*Source!I94, 6)*1, 2)</f>
        <v>0</v>
      </c>
      <c r="S50">
        <f>SmtRes!AC72</f>
        <v>0</v>
      </c>
      <c r="T50">
        <f>ROUND(ROUND(Q50*Source!I94, 6)*SmtRes!AK72, 2)</f>
        <v>0</v>
      </c>
      <c r="U50">
        <f>SmtRes!X72</f>
        <v>1152750853</v>
      </c>
      <c r="V50">
        <v>-513833518</v>
      </c>
      <c r="W50">
        <v>445372051</v>
      </c>
      <c r="X50">
        <v>3</v>
      </c>
    </row>
    <row r="51" spans="1:24" x14ac:dyDescent="0.2">
      <c r="A51">
        <v>20</v>
      </c>
      <c r="B51">
        <v>71</v>
      </c>
      <c r="C51">
        <v>2</v>
      </c>
      <c r="D51">
        <v>0</v>
      </c>
      <c r="E51">
        <f>SmtRes!AV71</f>
        <v>0</v>
      </c>
      <c r="F51" t="str">
        <f>SmtRes!I71</f>
        <v>22.1-5-7</v>
      </c>
      <c r="G51" t="str">
        <f>SmtRes!K71</f>
        <v>Катки дорожные самоходные на пневмоколесном ходу, масса до 16 т</v>
      </c>
      <c r="H51" t="str">
        <f>SmtRes!O71</f>
        <v>маш.-ч</v>
      </c>
      <c r="I51">
        <f>SmtRes!Y71*Source!I94</f>
        <v>5.4600000000000003E-2</v>
      </c>
      <c r="J51">
        <f>SmtRes!AO71</f>
        <v>1</v>
      </c>
      <c r="K51">
        <f>SmtRes!AF71</f>
        <v>1213.3399999999999</v>
      </c>
      <c r="L51">
        <f>SmtRes!DB71</f>
        <v>788.67</v>
      </c>
      <c r="M51">
        <f>ROUND(ROUND(L51*Source!I94, 6)*1, 2)</f>
        <v>66.25</v>
      </c>
      <c r="N51">
        <f>SmtRes!AB71</f>
        <v>1213.3399999999999</v>
      </c>
      <c r="O51">
        <f>ROUND(ROUND(L51*Source!I94, 6)*SmtRes!DA71, 2)</f>
        <v>66.25</v>
      </c>
      <c r="P51">
        <f>SmtRes!AG71</f>
        <v>461.6</v>
      </c>
      <c r="Q51">
        <f>SmtRes!DC71</f>
        <v>300.04000000000002</v>
      </c>
      <c r="R51">
        <f>ROUND(ROUND(Q51*Source!I94, 6)*1, 2)</f>
        <v>25.2</v>
      </c>
      <c r="S51">
        <f>SmtRes!AC71</f>
        <v>461.6</v>
      </c>
      <c r="T51">
        <f>ROUND(ROUND(Q51*Source!I94, 6)*SmtRes!AK71, 2)</f>
        <v>25.2</v>
      </c>
      <c r="U51">
        <f>SmtRes!X71</f>
        <v>2142121434</v>
      </c>
      <c r="V51">
        <v>-1456814567</v>
      </c>
      <c r="W51">
        <v>-362114551</v>
      </c>
      <c r="X51">
        <v>2</v>
      </c>
    </row>
    <row r="52" spans="1:24" x14ac:dyDescent="0.2">
      <c r="A52">
        <v>20</v>
      </c>
      <c r="B52">
        <v>70</v>
      </c>
      <c r="C52">
        <v>2</v>
      </c>
      <c r="D52">
        <v>0</v>
      </c>
      <c r="E52">
        <f>SmtRes!AV70</f>
        <v>0</v>
      </c>
      <c r="F52" t="str">
        <f>SmtRes!I70</f>
        <v>22.1-5-48</v>
      </c>
      <c r="G52" t="str">
        <f>SmtRes!K70</f>
        <v>Автогрейдеры, мощность 99-147 кВт (130-200 л.с.)</v>
      </c>
      <c r="H52" t="str">
        <f>SmtRes!O70</f>
        <v>маш.-ч</v>
      </c>
      <c r="I52">
        <f>SmtRes!Y70*Source!I94</f>
        <v>0.16295999999999999</v>
      </c>
      <c r="J52">
        <f>SmtRes!AO70</f>
        <v>1</v>
      </c>
      <c r="K52">
        <f>SmtRes!AF70</f>
        <v>1412.71</v>
      </c>
      <c r="L52">
        <f>SmtRes!DB70</f>
        <v>2740.66</v>
      </c>
      <c r="M52">
        <f>ROUND(ROUND(L52*Source!I94, 6)*1, 2)</f>
        <v>230.22</v>
      </c>
      <c r="N52">
        <f>SmtRes!AB70</f>
        <v>1412.71</v>
      </c>
      <c r="O52">
        <f>ROUND(ROUND(L52*Source!I94, 6)*SmtRes!DA70, 2)</f>
        <v>230.22</v>
      </c>
      <c r="P52">
        <f>SmtRes!AG70</f>
        <v>641.32000000000005</v>
      </c>
      <c r="Q52">
        <f>SmtRes!DC70</f>
        <v>1244.1600000000001</v>
      </c>
      <c r="R52">
        <f>ROUND(ROUND(Q52*Source!I94, 6)*1, 2)</f>
        <v>104.51</v>
      </c>
      <c r="S52">
        <f>SmtRes!AC70</f>
        <v>641.32000000000005</v>
      </c>
      <c r="T52">
        <f>ROUND(ROUND(Q52*Source!I94, 6)*SmtRes!AK70, 2)</f>
        <v>104.51</v>
      </c>
      <c r="U52">
        <f>SmtRes!X70</f>
        <v>1116182101</v>
      </c>
      <c r="V52">
        <v>-405216514</v>
      </c>
      <c r="W52">
        <v>38483568</v>
      </c>
      <c r="X52">
        <v>2</v>
      </c>
    </row>
    <row r="53" spans="1:24" x14ac:dyDescent="0.2">
      <c r="A53">
        <v>20</v>
      </c>
      <c r="B53">
        <v>69</v>
      </c>
      <c r="C53">
        <v>2</v>
      </c>
      <c r="D53">
        <v>0</v>
      </c>
      <c r="E53">
        <f>SmtRes!AV69</f>
        <v>0</v>
      </c>
      <c r="F53" t="str">
        <f>SmtRes!I69</f>
        <v>22.1-5-18</v>
      </c>
      <c r="G53" t="str">
        <f>SmtRes!K69</f>
        <v>Поливомоечные машины, емкость цистерны более 5000 л</v>
      </c>
      <c r="H53" t="str">
        <f>SmtRes!O69</f>
        <v>маш.-ч</v>
      </c>
      <c r="I53">
        <f>SmtRes!Y69*Source!I94</f>
        <v>6.8040000000000003E-2</v>
      </c>
      <c r="J53">
        <f>SmtRes!AO69</f>
        <v>1</v>
      </c>
      <c r="K53">
        <f>SmtRes!AF69</f>
        <v>2020.59</v>
      </c>
      <c r="L53">
        <f>SmtRes!DB69</f>
        <v>1636.68</v>
      </c>
      <c r="M53">
        <f>ROUND(ROUND(L53*Source!I94, 6)*1, 2)</f>
        <v>137.47999999999999</v>
      </c>
      <c r="N53">
        <f>SmtRes!AB69</f>
        <v>2020.59</v>
      </c>
      <c r="O53">
        <f>ROUND(ROUND(L53*Source!I94, 6)*SmtRes!DA69, 2)</f>
        <v>137.47999999999999</v>
      </c>
      <c r="P53">
        <f>SmtRes!AG69</f>
        <v>458.56</v>
      </c>
      <c r="Q53">
        <f>SmtRes!DC69</f>
        <v>371.43</v>
      </c>
      <c r="R53">
        <f>ROUND(ROUND(Q53*Source!I94, 6)*1, 2)</f>
        <v>31.2</v>
      </c>
      <c r="S53">
        <f>SmtRes!AC69</f>
        <v>458.56</v>
      </c>
      <c r="T53">
        <f>ROUND(ROUND(Q53*Source!I94, 6)*SmtRes!AK69, 2)</f>
        <v>31.2</v>
      </c>
      <c r="U53">
        <f>SmtRes!X69</f>
        <v>2042885981</v>
      </c>
      <c r="V53">
        <v>-76628464</v>
      </c>
      <c r="W53">
        <v>-1269477455</v>
      </c>
      <c r="X53">
        <v>2</v>
      </c>
    </row>
    <row r="54" spans="1:24" x14ac:dyDescent="0.2">
      <c r="A54">
        <v>20</v>
      </c>
      <c r="B54">
        <v>68</v>
      </c>
      <c r="C54">
        <v>2</v>
      </c>
      <c r="D54">
        <v>0</v>
      </c>
      <c r="E54">
        <f>SmtRes!AV68</f>
        <v>0</v>
      </c>
      <c r="F54" t="str">
        <f>SmtRes!I68</f>
        <v>22.1-5-15</v>
      </c>
      <c r="G54" t="str">
        <f>SmtRes!K68</f>
        <v>Катки прицепные пневмоколесные, масса до 50 т</v>
      </c>
      <c r="H54" t="str">
        <f>SmtRes!O68</f>
        <v>маш.-ч</v>
      </c>
      <c r="I54">
        <f>SmtRes!Y68*Source!I94</f>
        <v>0.17472000000000001</v>
      </c>
      <c r="J54">
        <f>SmtRes!AO68</f>
        <v>1</v>
      </c>
      <c r="K54">
        <f>SmtRes!AF68</f>
        <v>430.32</v>
      </c>
      <c r="L54">
        <f>SmtRes!DB68</f>
        <v>895.07</v>
      </c>
      <c r="M54">
        <f>ROUND(ROUND(L54*Source!I94, 6)*1, 2)</f>
        <v>75.19</v>
      </c>
      <c r="N54">
        <f>SmtRes!AB68</f>
        <v>430.32</v>
      </c>
      <c r="O54">
        <f>ROUND(ROUND(L54*Source!I94, 6)*SmtRes!DA68, 2)</f>
        <v>75.19</v>
      </c>
      <c r="P54">
        <f>SmtRes!AG68</f>
        <v>215.31</v>
      </c>
      <c r="Q54">
        <f>SmtRes!DC68</f>
        <v>447.84</v>
      </c>
      <c r="R54">
        <f>ROUND(ROUND(Q54*Source!I94, 6)*1, 2)</f>
        <v>37.619999999999997</v>
      </c>
      <c r="S54">
        <f>SmtRes!AC68</f>
        <v>215.31</v>
      </c>
      <c r="T54">
        <f>ROUND(ROUND(Q54*Source!I94, 6)*SmtRes!AK68, 2)</f>
        <v>37.619999999999997</v>
      </c>
      <c r="U54">
        <f>SmtRes!X68</f>
        <v>-1512295274</v>
      </c>
      <c r="V54">
        <v>1130639003</v>
      </c>
      <c r="W54">
        <v>-180512758</v>
      </c>
      <c r="X54">
        <v>2</v>
      </c>
    </row>
    <row r="55" spans="1:24" x14ac:dyDescent="0.2">
      <c r="A55">
        <v>20</v>
      </c>
      <c r="B55">
        <v>67</v>
      </c>
      <c r="C55">
        <v>2</v>
      </c>
      <c r="D55">
        <v>0</v>
      </c>
      <c r="E55">
        <f>SmtRes!AV67</f>
        <v>0</v>
      </c>
      <c r="F55" t="str">
        <f>SmtRes!I67</f>
        <v>22.1-2-1</v>
      </c>
      <c r="G55" t="str">
        <f>SmtRes!K67</f>
        <v>Тракторы на гусеничном ходу, мощность до 60 (81) кВт (л.с.)</v>
      </c>
      <c r="H55" t="str">
        <f>SmtRes!O67</f>
        <v>маш.-ч</v>
      </c>
      <c r="I55">
        <f>SmtRes!Y67*Source!I94</f>
        <v>0.17472000000000001</v>
      </c>
      <c r="J55">
        <f>SmtRes!AO67</f>
        <v>1</v>
      </c>
      <c r="K55">
        <f>SmtRes!AF67</f>
        <v>740.94</v>
      </c>
      <c r="L55">
        <f>SmtRes!DB67</f>
        <v>1541.16</v>
      </c>
      <c r="M55">
        <f>ROUND(ROUND(L55*Source!I94, 6)*1, 2)</f>
        <v>129.46</v>
      </c>
      <c r="N55">
        <f>SmtRes!AB67</f>
        <v>740.94</v>
      </c>
      <c r="O55">
        <f>ROUND(ROUND(L55*Source!I94, 6)*SmtRes!DA67, 2)</f>
        <v>129.46</v>
      </c>
      <c r="P55">
        <f>SmtRes!AG67</f>
        <v>413.22</v>
      </c>
      <c r="Q55">
        <f>SmtRes!DC67</f>
        <v>859.5</v>
      </c>
      <c r="R55">
        <f>ROUND(ROUND(Q55*Source!I94, 6)*1, 2)</f>
        <v>72.2</v>
      </c>
      <c r="S55">
        <f>SmtRes!AC67</f>
        <v>413.22</v>
      </c>
      <c r="T55">
        <f>ROUND(ROUND(Q55*Source!I94, 6)*SmtRes!AK67, 2)</f>
        <v>72.2</v>
      </c>
      <c r="U55">
        <f>SmtRes!X67</f>
        <v>2108619810</v>
      </c>
      <c r="V55">
        <v>2092061508</v>
      </c>
      <c r="W55">
        <v>-202122669</v>
      </c>
      <c r="X55">
        <v>2</v>
      </c>
    </row>
    <row r="56" spans="1:24" x14ac:dyDescent="0.2">
      <c r="A56">
        <v>20</v>
      </c>
      <c r="B56">
        <v>79</v>
      </c>
      <c r="C56">
        <v>3</v>
      </c>
      <c r="D56">
        <v>0</v>
      </c>
      <c r="E56">
        <f>SmtRes!AV79</f>
        <v>0</v>
      </c>
      <c r="F56" t="str">
        <f>SmtRes!I79</f>
        <v>21.1-25-13</v>
      </c>
      <c r="G56" t="str">
        <f>SmtRes!K79</f>
        <v>Вода</v>
      </c>
      <c r="H56" t="str">
        <f>SmtRes!O79</f>
        <v>м3</v>
      </c>
      <c r="I56">
        <f>SmtRes!Y79*Source!I95</f>
        <v>1.68</v>
      </c>
      <c r="J56">
        <f>SmtRes!AO79</f>
        <v>1</v>
      </c>
      <c r="K56">
        <f>SmtRes!AE79</f>
        <v>35.25</v>
      </c>
      <c r="L56">
        <f>SmtRes!DB79</f>
        <v>70.5</v>
      </c>
      <c r="M56">
        <f>ROUND(ROUND(L56*Source!I95, 6)*1, 2)</f>
        <v>59.22</v>
      </c>
      <c r="N56">
        <f>SmtRes!AA79</f>
        <v>35.25</v>
      </c>
      <c r="O56">
        <f>ROUND(ROUND(L56*Source!I95, 6)*SmtRes!DA79, 2)</f>
        <v>59.22</v>
      </c>
      <c r="P56">
        <f>SmtRes!AG79</f>
        <v>0</v>
      </c>
      <c r="Q56">
        <f>SmtRes!DC79</f>
        <v>0</v>
      </c>
      <c r="R56">
        <f>ROUND(ROUND(Q56*Source!I95, 6)*1, 2)</f>
        <v>0</v>
      </c>
      <c r="S56">
        <f>SmtRes!AC79</f>
        <v>0</v>
      </c>
      <c r="T56">
        <f>ROUND(ROUND(Q56*Source!I95, 6)*SmtRes!AK79, 2)</f>
        <v>0</v>
      </c>
      <c r="U56">
        <f>SmtRes!X79</f>
        <v>1927597627</v>
      </c>
      <c r="V56">
        <v>-1829664509</v>
      </c>
      <c r="W56">
        <v>1819467959</v>
      </c>
      <c r="X56">
        <v>3</v>
      </c>
    </row>
    <row r="57" spans="1:24" x14ac:dyDescent="0.2">
      <c r="A57">
        <v>20</v>
      </c>
      <c r="B57">
        <v>76</v>
      </c>
      <c r="C57">
        <v>2</v>
      </c>
      <c r="D57">
        <v>0</v>
      </c>
      <c r="E57">
        <f>SmtRes!AV76</f>
        <v>0</v>
      </c>
      <c r="F57" t="str">
        <f>SmtRes!I76</f>
        <v>22.1-5-2</v>
      </c>
      <c r="G57" t="str">
        <f>SmtRes!K76</f>
        <v>Катки самоходные вибрационные, масса до 8 т</v>
      </c>
      <c r="H57" t="str">
        <f>SmtRes!O76</f>
        <v>маш.-ч</v>
      </c>
      <c r="I57">
        <f>SmtRes!Y76*Source!I95</f>
        <v>1.3608</v>
      </c>
      <c r="J57">
        <f>SmtRes!AO76</f>
        <v>1</v>
      </c>
      <c r="K57">
        <f>SmtRes!AF76</f>
        <v>1261.8699999999999</v>
      </c>
      <c r="L57">
        <f>SmtRes!DB76</f>
        <v>2044.23</v>
      </c>
      <c r="M57">
        <f>ROUND(ROUND(L57*Source!I95, 6)*1, 2)</f>
        <v>1717.15</v>
      </c>
      <c r="N57">
        <f>SmtRes!AB76</f>
        <v>1261.8699999999999</v>
      </c>
      <c r="O57">
        <f>ROUND(ROUND(L57*Source!I95, 6)*SmtRes!DA76, 2)</f>
        <v>1717.15</v>
      </c>
      <c r="P57">
        <f>SmtRes!AG76</f>
        <v>530.02</v>
      </c>
      <c r="Q57">
        <f>SmtRes!DC76</f>
        <v>858.63</v>
      </c>
      <c r="R57">
        <f>ROUND(ROUND(Q57*Source!I95, 6)*1, 2)</f>
        <v>721.25</v>
      </c>
      <c r="S57">
        <f>SmtRes!AC76</f>
        <v>530.02</v>
      </c>
      <c r="T57">
        <f>ROUND(ROUND(Q57*Source!I95, 6)*SmtRes!AK76, 2)</f>
        <v>721.25</v>
      </c>
      <c r="U57">
        <f>SmtRes!X76</f>
        <v>-1043398787</v>
      </c>
      <c r="V57">
        <v>-791430524</v>
      </c>
      <c r="W57">
        <v>-1074879534</v>
      </c>
      <c r="X57">
        <v>2</v>
      </c>
    </row>
    <row r="58" spans="1:24" x14ac:dyDescent="0.2">
      <c r="A58">
        <v>20</v>
      </c>
      <c r="B58">
        <v>75</v>
      </c>
      <c r="C58">
        <v>2</v>
      </c>
      <c r="D58">
        <v>0</v>
      </c>
      <c r="E58">
        <f>SmtRes!AV75</f>
        <v>0</v>
      </c>
      <c r="F58" t="str">
        <f>SmtRes!I75</f>
        <v>22.1-5-18</v>
      </c>
      <c r="G58" t="str">
        <f>SmtRes!K75</f>
        <v>Поливомоечные машины, емкость цистерны более 5000 л</v>
      </c>
      <c r="H58" t="str">
        <f>SmtRes!O75</f>
        <v>маш.-ч</v>
      </c>
      <c r="I58">
        <f>SmtRes!Y75*Source!I95</f>
        <v>0.49559999999999993</v>
      </c>
      <c r="J58">
        <f>SmtRes!AO75</f>
        <v>1</v>
      </c>
      <c r="K58">
        <f>SmtRes!AF75</f>
        <v>2020.59</v>
      </c>
      <c r="L58">
        <f>SmtRes!DB75</f>
        <v>1192.1500000000001</v>
      </c>
      <c r="M58">
        <f>ROUND(ROUND(L58*Source!I95, 6)*1, 2)</f>
        <v>1001.41</v>
      </c>
      <c r="N58">
        <f>SmtRes!AB75</f>
        <v>2020.59</v>
      </c>
      <c r="O58">
        <f>ROUND(ROUND(L58*Source!I95, 6)*SmtRes!DA75, 2)</f>
        <v>1001.41</v>
      </c>
      <c r="P58">
        <f>SmtRes!AG75</f>
        <v>458.56</v>
      </c>
      <c r="Q58">
        <f>SmtRes!DC75</f>
        <v>270.55</v>
      </c>
      <c r="R58">
        <f>ROUND(ROUND(Q58*Source!I95, 6)*1, 2)</f>
        <v>227.26</v>
      </c>
      <c r="S58">
        <f>SmtRes!AC75</f>
        <v>458.56</v>
      </c>
      <c r="T58">
        <f>ROUND(ROUND(Q58*Source!I95, 6)*SmtRes!AK75, 2)</f>
        <v>227.26</v>
      </c>
      <c r="U58">
        <f>SmtRes!X75</f>
        <v>2042885981</v>
      </c>
      <c r="V58">
        <v>-76628464</v>
      </c>
      <c r="W58">
        <v>-1269477455</v>
      </c>
      <c r="X58">
        <v>2</v>
      </c>
    </row>
    <row r="59" spans="1:24" x14ac:dyDescent="0.2">
      <c r="A59">
        <f>Source!A96</f>
        <v>18</v>
      </c>
      <c r="B59">
        <v>96</v>
      </c>
      <c r="C59">
        <v>3</v>
      </c>
      <c r="D59">
        <f>Source!BI96</f>
        <v>4</v>
      </c>
      <c r="E59">
        <f>Source!FS96</f>
        <v>0</v>
      </c>
      <c r="F59" t="str">
        <f>Source!F96</f>
        <v>21.1-12-36</v>
      </c>
      <c r="G59" t="str">
        <f>Source!G96</f>
        <v>Щебень из естественного камня для строительных работ, марка 1200-800, фракция 20-40 мм</v>
      </c>
      <c r="H59" t="str">
        <f>Source!H96</f>
        <v>м3</v>
      </c>
      <c r="I59">
        <f>Source!I96</f>
        <v>14.615999999999998</v>
      </c>
      <c r="J59">
        <v>1</v>
      </c>
      <c r="K59">
        <f>Source!AC96</f>
        <v>1763.75</v>
      </c>
      <c r="M59">
        <f>ROUND(K59*I59, 2)</f>
        <v>25778.97</v>
      </c>
      <c r="N59">
        <f>Source!AC96*IF(Source!BC96&lt;&gt; 0, Source!BC96, 1)</f>
        <v>1763.75</v>
      </c>
      <c r="O59">
        <f>ROUND(N59*I59, 2)</f>
        <v>25778.97</v>
      </c>
      <c r="P59">
        <f>Source!AE96</f>
        <v>0</v>
      </c>
      <c r="R59">
        <f>ROUND(P59*I59, 2)</f>
        <v>0</v>
      </c>
      <c r="S59">
        <f>Source!AE96*IF(Source!BS96&lt;&gt; 0, Source!BS96, 1)</f>
        <v>0</v>
      </c>
      <c r="T59">
        <f>ROUND(S59*I59, 2)</f>
        <v>0</v>
      </c>
      <c r="U59">
        <f>Source!GF96</f>
        <v>-886425656</v>
      </c>
      <c r="V59">
        <v>-671760782</v>
      </c>
      <c r="W59">
        <v>345930550</v>
      </c>
      <c r="X59">
        <v>3</v>
      </c>
    </row>
    <row r="60" spans="1:24" x14ac:dyDescent="0.2">
      <c r="A60">
        <v>20</v>
      </c>
      <c r="B60">
        <v>83</v>
      </c>
      <c r="C60">
        <v>3</v>
      </c>
      <c r="D60">
        <v>0</v>
      </c>
      <c r="E60">
        <f>SmtRes!AV83</f>
        <v>0</v>
      </c>
      <c r="F60" t="str">
        <f>SmtRes!I83</f>
        <v>21.3-3-34</v>
      </c>
      <c r="G60" t="str">
        <f>SmtRes!K83</f>
        <v>Смеси асфальтобетонные дорожные горячие песчаные, тип Д, марка III</v>
      </c>
      <c r="H60" t="str">
        <f>SmtRes!O83</f>
        <v>т</v>
      </c>
      <c r="I60">
        <f>SmtRes!Y83*Source!I98</f>
        <v>5.9975999999999994</v>
      </c>
      <c r="J60">
        <f>SmtRes!AO83</f>
        <v>1</v>
      </c>
      <c r="K60">
        <f>SmtRes!AE83</f>
        <v>2652.04</v>
      </c>
      <c r="L60">
        <f>SmtRes!DB83</f>
        <v>18935.57</v>
      </c>
      <c r="M60">
        <f>ROUND(ROUND(L60*Source!I98, 6)*1, 2)</f>
        <v>15905.88</v>
      </c>
      <c r="N60">
        <f>SmtRes!AA83</f>
        <v>2652.04</v>
      </c>
      <c r="O60">
        <f>ROUND(ROUND(L60*Source!I98, 6)*SmtRes!DA83, 2)</f>
        <v>15905.88</v>
      </c>
      <c r="P60">
        <f>SmtRes!AG83</f>
        <v>0</v>
      </c>
      <c r="Q60">
        <f>SmtRes!DC83</f>
        <v>0</v>
      </c>
      <c r="R60">
        <f>ROUND(ROUND(Q60*Source!I98, 6)*1, 2)</f>
        <v>0</v>
      </c>
      <c r="S60">
        <f>SmtRes!AC83</f>
        <v>0</v>
      </c>
      <c r="T60">
        <f>ROUND(ROUND(Q60*Source!I98, 6)*SmtRes!AK83, 2)</f>
        <v>0</v>
      </c>
      <c r="U60">
        <f>SmtRes!X83</f>
        <v>2062870502</v>
      </c>
      <c r="V60">
        <v>-2134407800</v>
      </c>
      <c r="W60">
        <v>-1328752311</v>
      </c>
      <c r="X60">
        <v>3</v>
      </c>
    </row>
    <row r="61" spans="1:24" x14ac:dyDescent="0.2">
      <c r="A61">
        <v>20</v>
      </c>
      <c r="B61">
        <v>82</v>
      </c>
      <c r="C61">
        <v>3</v>
      </c>
      <c r="D61">
        <v>0</v>
      </c>
      <c r="E61">
        <f>SmtRes!AV82</f>
        <v>0</v>
      </c>
      <c r="F61" t="str">
        <f>SmtRes!I82</f>
        <v>21.1-1-3</v>
      </c>
      <c r="G61" t="str">
        <f>SmtRes!K82</f>
        <v>Битумы нефтяные, дорожные жидкие, марка МГ, СГ</v>
      </c>
      <c r="H61" t="str">
        <f>SmtRes!O82</f>
        <v>т</v>
      </c>
      <c r="I61">
        <f>SmtRes!Y82*Source!I98</f>
        <v>5.0399999999999993E-2</v>
      </c>
      <c r="J61">
        <f>SmtRes!AO82</f>
        <v>1</v>
      </c>
      <c r="K61">
        <f>SmtRes!AE82</f>
        <v>25888.1</v>
      </c>
      <c r="L61">
        <f>SmtRes!DB82</f>
        <v>1553.29</v>
      </c>
      <c r="M61">
        <f>ROUND(ROUND(L61*Source!I98, 6)*1, 2)</f>
        <v>1304.76</v>
      </c>
      <c r="N61">
        <f>SmtRes!AA82</f>
        <v>25888.1</v>
      </c>
      <c r="O61">
        <f>ROUND(ROUND(L61*Source!I98, 6)*SmtRes!DA82, 2)</f>
        <v>1304.76</v>
      </c>
      <c r="P61">
        <f>SmtRes!AG82</f>
        <v>0</v>
      </c>
      <c r="Q61">
        <f>SmtRes!DC82</f>
        <v>0</v>
      </c>
      <c r="R61">
        <f>ROUND(ROUND(Q61*Source!I98, 6)*1, 2)</f>
        <v>0</v>
      </c>
      <c r="S61">
        <f>SmtRes!AC82</f>
        <v>0</v>
      </c>
      <c r="T61">
        <f>ROUND(ROUND(Q61*Source!I98, 6)*SmtRes!AK82, 2)</f>
        <v>0</v>
      </c>
      <c r="U61">
        <f>SmtRes!X82</f>
        <v>-68218516</v>
      </c>
      <c r="V61">
        <v>-1520039527</v>
      </c>
      <c r="W61">
        <v>-3533703</v>
      </c>
      <c r="X61">
        <v>3</v>
      </c>
    </row>
    <row r="62" spans="1:24" x14ac:dyDescent="0.2">
      <c r="A62">
        <v>20</v>
      </c>
      <c r="B62">
        <v>81</v>
      </c>
      <c r="C62">
        <v>2</v>
      </c>
      <c r="D62">
        <v>0</v>
      </c>
      <c r="E62">
        <f>SmtRes!AV81</f>
        <v>0</v>
      </c>
      <c r="F62" t="str">
        <f>SmtRes!I81</f>
        <v>22.1-5-2</v>
      </c>
      <c r="G62" t="str">
        <f>SmtRes!K81</f>
        <v>Катки самоходные вибрационные, масса до 8 т</v>
      </c>
      <c r="H62" t="str">
        <f>SmtRes!O81</f>
        <v>маш.-ч</v>
      </c>
      <c r="I62">
        <f>SmtRes!Y81*Source!I98</f>
        <v>0.74759999999999993</v>
      </c>
      <c r="J62">
        <f>SmtRes!AO81</f>
        <v>1</v>
      </c>
      <c r="K62">
        <f>SmtRes!AF81</f>
        <v>1261.8699999999999</v>
      </c>
      <c r="L62">
        <f>SmtRes!DB81</f>
        <v>1123.06</v>
      </c>
      <c r="M62">
        <f>ROUND(ROUND(L62*Source!I98, 6)*1, 2)</f>
        <v>943.37</v>
      </c>
      <c r="N62">
        <f>SmtRes!AB81</f>
        <v>1261.8699999999999</v>
      </c>
      <c r="O62">
        <f>ROUND(ROUND(L62*Source!I98, 6)*SmtRes!DA81, 2)</f>
        <v>943.37</v>
      </c>
      <c r="P62">
        <f>SmtRes!AG81</f>
        <v>530.02</v>
      </c>
      <c r="Q62">
        <f>SmtRes!DC81</f>
        <v>471.72</v>
      </c>
      <c r="R62">
        <f>ROUND(ROUND(Q62*Source!I98, 6)*1, 2)</f>
        <v>396.24</v>
      </c>
      <c r="S62">
        <f>SmtRes!AC81</f>
        <v>530.02</v>
      </c>
      <c r="T62">
        <f>ROUND(ROUND(Q62*Source!I98, 6)*SmtRes!AK81, 2)</f>
        <v>396.24</v>
      </c>
      <c r="U62">
        <f>SmtRes!X81</f>
        <v>-1043398787</v>
      </c>
      <c r="V62">
        <v>-791430524</v>
      </c>
      <c r="W62">
        <v>-1074879534</v>
      </c>
      <c r="X62">
        <v>2</v>
      </c>
    </row>
    <row r="63" spans="1:24" x14ac:dyDescent="0.2">
      <c r="A63">
        <v>20</v>
      </c>
      <c r="B63">
        <v>93</v>
      </c>
      <c r="C63">
        <v>3</v>
      </c>
      <c r="D63">
        <v>0</v>
      </c>
      <c r="E63">
        <f>SmtRes!AV93</f>
        <v>0</v>
      </c>
      <c r="F63" t="str">
        <f>SmtRes!I93</f>
        <v>21.1-6-101</v>
      </c>
      <c r="G63" t="str">
        <f>SmtRes!K93</f>
        <v>Пигменты сухие для красок, кислотный желтый</v>
      </c>
      <c r="H63" t="str">
        <f>SmtRes!O93</f>
        <v>т</v>
      </c>
      <c r="I63">
        <f>SmtRes!Y93*Source!I99</f>
        <v>4.4099999999999993E-2</v>
      </c>
      <c r="J63">
        <f>SmtRes!AO93</f>
        <v>1</v>
      </c>
      <c r="K63">
        <f>SmtRes!AE93</f>
        <v>748299.67</v>
      </c>
      <c r="L63">
        <f>SmtRes!DB93</f>
        <v>39285.730000000003</v>
      </c>
      <c r="M63">
        <f>ROUND(ROUND(L63*Source!I99, 6)*1, 2)</f>
        <v>33000.01</v>
      </c>
      <c r="N63">
        <f>SmtRes!AA93</f>
        <v>748299.67</v>
      </c>
      <c r="O63">
        <f>ROUND(ROUND(L63*Source!I99, 6)*SmtRes!DA93, 2)</f>
        <v>33000.01</v>
      </c>
      <c r="P63">
        <f>SmtRes!AG93</f>
        <v>0</v>
      </c>
      <c r="Q63">
        <f>SmtRes!DC93</f>
        <v>0</v>
      </c>
      <c r="R63">
        <f>ROUND(ROUND(Q63*Source!I99, 6)*1, 2)</f>
        <v>0</v>
      </c>
      <c r="S63">
        <f>SmtRes!AC93</f>
        <v>0</v>
      </c>
      <c r="T63">
        <f>ROUND(ROUND(Q63*Source!I99, 6)*SmtRes!AK93, 2)</f>
        <v>0</v>
      </c>
      <c r="U63">
        <f>SmtRes!X93</f>
        <v>-1600259051</v>
      </c>
      <c r="V63">
        <v>-2022093422</v>
      </c>
      <c r="W63">
        <v>1055948583</v>
      </c>
      <c r="X63">
        <v>3</v>
      </c>
    </row>
    <row r="64" spans="1:24" x14ac:dyDescent="0.2">
      <c r="A64">
        <v>20</v>
      </c>
      <c r="B64">
        <v>92</v>
      </c>
      <c r="C64">
        <v>3</v>
      </c>
      <c r="D64">
        <v>0</v>
      </c>
      <c r="E64">
        <f>SmtRes!AV92</f>
        <v>0</v>
      </c>
      <c r="F64" t="str">
        <f>SmtRes!I92</f>
        <v>21.1-25-776</v>
      </c>
      <c r="G64" t="str">
        <f>SmtRes!K92</f>
        <v>Средство связующее универсальное полиуретановое на основе резиновой и каучуковой крошки для устройства высокопрочных эластичных покрытий</v>
      </c>
      <c r="H64" t="str">
        <f>SmtRes!O92</f>
        <v>кг</v>
      </c>
      <c r="I64">
        <f>SmtRes!Y92*Source!I99</f>
        <v>202.85999999999999</v>
      </c>
      <c r="J64">
        <f>SmtRes!AO92</f>
        <v>1</v>
      </c>
      <c r="K64">
        <f>SmtRes!AE92</f>
        <v>202.34</v>
      </c>
      <c r="L64">
        <f>SmtRes!DB92</f>
        <v>48865.11</v>
      </c>
      <c r="M64">
        <f>ROUND(ROUND(L64*Source!I99, 6)*1, 2)</f>
        <v>41046.69</v>
      </c>
      <c r="N64">
        <f>SmtRes!AA92</f>
        <v>202.34</v>
      </c>
      <c r="O64">
        <f>ROUND(ROUND(L64*Source!I99, 6)*SmtRes!DA92, 2)</f>
        <v>41046.69</v>
      </c>
      <c r="P64">
        <f>SmtRes!AG92</f>
        <v>0</v>
      </c>
      <c r="Q64">
        <f>SmtRes!DC92</f>
        <v>0</v>
      </c>
      <c r="R64">
        <f>ROUND(ROUND(Q64*Source!I99, 6)*1, 2)</f>
        <v>0</v>
      </c>
      <c r="S64">
        <f>SmtRes!AC92</f>
        <v>0</v>
      </c>
      <c r="T64">
        <f>ROUND(ROUND(Q64*Source!I99, 6)*SmtRes!AK92, 2)</f>
        <v>0</v>
      </c>
      <c r="U64">
        <f>SmtRes!X92</f>
        <v>-319511878</v>
      </c>
      <c r="V64">
        <v>-233522306</v>
      </c>
      <c r="W64">
        <v>1409483656</v>
      </c>
      <c r="X64">
        <v>3</v>
      </c>
    </row>
    <row r="65" spans="1:24" x14ac:dyDescent="0.2">
      <c r="A65">
        <v>20</v>
      </c>
      <c r="B65">
        <v>91</v>
      </c>
      <c r="C65">
        <v>3</v>
      </c>
      <c r="D65">
        <v>0</v>
      </c>
      <c r="E65">
        <f>SmtRes!AV91</f>
        <v>0</v>
      </c>
      <c r="F65" t="str">
        <f>SmtRes!I91</f>
        <v>21.1-25-769</v>
      </c>
      <c r="G65" t="str">
        <f>SmtRes!K91</f>
        <v>Крошка резиновая гранулированная, фракция 2-3 мм</v>
      </c>
      <c r="H65" t="str">
        <f>SmtRes!O91</f>
        <v>кг</v>
      </c>
      <c r="I65">
        <f>SmtRes!Y91*Source!I99</f>
        <v>617.4</v>
      </c>
      <c r="J65">
        <f>SmtRes!AO91</f>
        <v>1</v>
      </c>
      <c r="K65">
        <f>SmtRes!AE91</f>
        <v>17.77</v>
      </c>
      <c r="L65">
        <f>SmtRes!DB91</f>
        <v>13060.95</v>
      </c>
      <c r="M65">
        <f>ROUND(ROUND(L65*Source!I99, 6)*1, 2)</f>
        <v>10971.2</v>
      </c>
      <c r="N65">
        <f>SmtRes!AA91</f>
        <v>17.77</v>
      </c>
      <c r="O65">
        <f>ROUND(ROUND(L65*Source!I99, 6)*SmtRes!DA91, 2)</f>
        <v>10971.2</v>
      </c>
      <c r="P65">
        <f>SmtRes!AG91</f>
        <v>0</v>
      </c>
      <c r="Q65">
        <f>SmtRes!DC91</f>
        <v>0</v>
      </c>
      <c r="R65">
        <f>ROUND(ROUND(Q65*Source!I99, 6)*1, 2)</f>
        <v>0</v>
      </c>
      <c r="S65">
        <f>SmtRes!AC91</f>
        <v>0</v>
      </c>
      <c r="T65">
        <f>ROUND(ROUND(Q65*Source!I99, 6)*SmtRes!AK91, 2)</f>
        <v>0</v>
      </c>
      <c r="U65">
        <f>SmtRes!X91</f>
        <v>1696686191</v>
      </c>
      <c r="V65">
        <v>711481079</v>
      </c>
      <c r="W65">
        <v>1650918109</v>
      </c>
      <c r="X65">
        <v>3</v>
      </c>
    </row>
    <row r="66" spans="1:24" x14ac:dyDescent="0.2">
      <c r="A66">
        <v>20</v>
      </c>
      <c r="B66">
        <v>90</v>
      </c>
      <c r="C66">
        <v>3</v>
      </c>
      <c r="D66">
        <v>0</v>
      </c>
      <c r="E66">
        <f>SmtRes!AV90</f>
        <v>0</v>
      </c>
      <c r="F66" t="str">
        <f>SmtRes!I90</f>
        <v>21.1-25-343</v>
      </c>
      <c r="G66" t="str">
        <f>SmtRes!K90</f>
        <v>Скипидар живичный</v>
      </c>
      <c r="H66" t="str">
        <f>SmtRes!O90</f>
        <v>т</v>
      </c>
      <c r="I66">
        <f>SmtRes!Y90*Source!I99</f>
        <v>2.6459999999999999E-3</v>
      </c>
      <c r="J66">
        <f>SmtRes!AO90</f>
        <v>1</v>
      </c>
      <c r="K66">
        <f>SmtRes!AE90</f>
        <v>343020.03</v>
      </c>
      <c r="L66">
        <f>SmtRes!DB90</f>
        <v>1080.51</v>
      </c>
      <c r="M66">
        <f>ROUND(ROUND(L66*Source!I99, 6)*1, 2)</f>
        <v>907.63</v>
      </c>
      <c r="N66">
        <f>SmtRes!AA90</f>
        <v>343020.03</v>
      </c>
      <c r="O66">
        <f>ROUND(ROUND(L66*Source!I99, 6)*SmtRes!DA90, 2)</f>
        <v>907.63</v>
      </c>
      <c r="P66">
        <f>SmtRes!AG90</f>
        <v>0</v>
      </c>
      <c r="Q66">
        <f>SmtRes!DC90</f>
        <v>0</v>
      </c>
      <c r="R66">
        <f>ROUND(ROUND(Q66*Source!I99, 6)*1, 2)</f>
        <v>0</v>
      </c>
      <c r="S66">
        <f>SmtRes!AC90</f>
        <v>0</v>
      </c>
      <c r="T66">
        <f>ROUND(ROUND(Q66*Source!I99, 6)*SmtRes!AK90, 2)</f>
        <v>0</v>
      </c>
      <c r="U66">
        <f>SmtRes!X90</f>
        <v>1287476064</v>
      </c>
      <c r="V66">
        <v>-2022015353</v>
      </c>
      <c r="W66">
        <v>-1513198188</v>
      </c>
      <c r="X66">
        <v>3</v>
      </c>
    </row>
    <row r="67" spans="1:24" x14ac:dyDescent="0.2">
      <c r="A67">
        <v>20</v>
      </c>
      <c r="B67">
        <v>89</v>
      </c>
      <c r="C67">
        <v>3</v>
      </c>
      <c r="D67">
        <v>0</v>
      </c>
      <c r="E67">
        <f>SmtRes!AV89</f>
        <v>0</v>
      </c>
      <c r="F67" t="str">
        <f>SmtRes!I89</f>
        <v>21.1-25-255</v>
      </c>
      <c r="G67" t="str">
        <f>SmtRes!K89</f>
        <v>Пленка полиэтиленовая, толщина 0,12 - 0,15 мм</v>
      </c>
      <c r="H67" t="str">
        <f>SmtRes!O89</f>
        <v>м2</v>
      </c>
      <c r="I67">
        <f>SmtRes!Y89*Source!I99</f>
        <v>4.7039999999999997</v>
      </c>
      <c r="J67">
        <f>SmtRes!AO89</f>
        <v>1</v>
      </c>
      <c r="K67">
        <f>SmtRes!AE89</f>
        <v>12.02</v>
      </c>
      <c r="L67">
        <f>SmtRes!DB89</f>
        <v>67.31</v>
      </c>
      <c r="M67">
        <f>ROUND(ROUND(L67*Source!I99, 6)*1, 2)</f>
        <v>56.54</v>
      </c>
      <c r="N67">
        <f>SmtRes!AA89</f>
        <v>12.02</v>
      </c>
      <c r="O67">
        <f>ROUND(ROUND(L67*Source!I99, 6)*SmtRes!DA89, 2)</f>
        <v>56.54</v>
      </c>
      <c r="P67">
        <f>SmtRes!AG89</f>
        <v>0</v>
      </c>
      <c r="Q67">
        <f>SmtRes!DC89</f>
        <v>0</v>
      </c>
      <c r="R67">
        <f>ROUND(ROUND(Q67*Source!I99, 6)*1, 2)</f>
        <v>0</v>
      </c>
      <c r="S67">
        <f>SmtRes!AC89</f>
        <v>0</v>
      </c>
      <c r="T67">
        <f>ROUND(ROUND(Q67*Source!I99, 6)*SmtRes!AK89, 2)</f>
        <v>0</v>
      </c>
      <c r="U67">
        <f>SmtRes!X89</f>
        <v>-1185010663</v>
      </c>
      <c r="V67">
        <v>1068066483</v>
      </c>
      <c r="W67">
        <v>2115870156</v>
      </c>
      <c r="X67">
        <v>3</v>
      </c>
    </row>
    <row r="68" spans="1:24" x14ac:dyDescent="0.2">
      <c r="A68">
        <v>20</v>
      </c>
      <c r="B68">
        <v>88</v>
      </c>
      <c r="C68">
        <v>2</v>
      </c>
      <c r="D68">
        <v>0</v>
      </c>
      <c r="E68">
        <f>SmtRes!AV88</f>
        <v>0</v>
      </c>
      <c r="F68" t="str">
        <f>SmtRes!I88</f>
        <v>22.1-6-68</v>
      </c>
      <c r="G68" t="str">
        <f>SmtRes!K88</f>
        <v>Растворосмесители стационарные, емкость до 250 л</v>
      </c>
      <c r="H68" t="str">
        <f>SmtRes!O88</f>
        <v>маш.-ч</v>
      </c>
      <c r="I68">
        <f>SmtRes!Y88*Source!I99</f>
        <v>2.2176</v>
      </c>
      <c r="J68">
        <f>SmtRes!AO88</f>
        <v>1</v>
      </c>
      <c r="K68">
        <f>SmtRes!AF88</f>
        <v>454.31</v>
      </c>
      <c r="L68">
        <f>SmtRes!DB88</f>
        <v>1199.3800000000001</v>
      </c>
      <c r="M68">
        <f>ROUND(ROUND(L68*Source!I99, 6)*1, 2)</f>
        <v>1007.48</v>
      </c>
      <c r="N68">
        <f>SmtRes!AB88</f>
        <v>454.31</v>
      </c>
      <c r="O68">
        <f>ROUND(ROUND(L68*Source!I99, 6)*SmtRes!DA88, 2)</f>
        <v>1007.48</v>
      </c>
      <c r="P68">
        <f>SmtRes!AG88</f>
        <v>405.68</v>
      </c>
      <c r="Q68">
        <f>SmtRes!DC88</f>
        <v>1071</v>
      </c>
      <c r="R68">
        <f>ROUND(ROUND(Q68*Source!I99, 6)*1, 2)</f>
        <v>899.64</v>
      </c>
      <c r="S68">
        <f>SmtRes!AC88</f>
        <v>405.68</v>
      </c>
      <c r="T68">
        <f>ROUND(ROUND(Q68*Source!I99, 6)*SmtRes!AK88, 2)</f>
        <v>899.64</v>
      </c>
      <c r="U68">
        <f>SmtRes!X88</f>
        <v>1110189246</v>
      </c>
      <c r="V68">
        <v>1539087417</v>
      </c>
      <c r="W68">
        <v>-1650330276</v>
      </c>
      <c r="X68">
        <v>2</v>
      </c>
    </row>
    <row r="69" spans="1:24" x14ac:dyDescent="0.2">
      <c r="A69">
        <v>20</v>
      </c>
      <c r="B69">
        <v>87</v>
      </c>
      <c r="C69">
        <v>2</v>
      </c>
      <c r="D69">
        <v>0</v>
      </c>
      <c r="E69">
        <f>SmtRes!AV87</f>
        <v>0</v>
      </c>
      <c r="F69" t="str">
        <f>SmtRes!I87</f>
        <v>22.1-4-8</v>
      </c>
      <c r="G69" t="str">
        <f>SmtRes!K87</f>
        <v>Погрузчики на автомобильном ходу, грузоподъемность до 1 т</v>
      </c>
      <c r="H69" t="str">
        <f>SmtRes!O87</f>
        <v>маш.-ч</v>
      </c>
      <c r="I69">
        <f>SmtRes!Y87*Source!I99</f>
        <v>8.3999999999999995E-3</v>
      </c>
      <c r="J69">
        <f>SmtRes!AO87</f>
        <v>1</v>
      </c>
      <c r="K69">
        <f>SmtRes!AF87</f>
        <v>616.73</v>
      </c>
      <c r="L69">
        <f>SmtRes!DB87</f>
        <v>6.17</v>
      </c>
      <c r="M69">
        <f>ROUND(ROUND(L69*Source!I99, 6)*1, 2)</f>
        <v>5.18</v>
      </c>
      <c r="N69">
        <f>SmtRes!AB87</f>
        <v>616.73</v>
      </c>
      <c r="O69">
        <f>ROUND(ROUND(L69*Source!I99, 6)*SmtRes!DA87, 2)</f>
        <v>5.18</v>
      </c>
      <c r="P69">
        <f>SmtRes!AG87</f>
        <v>511.29</v>
      </c>
      <c r="Q69">
        <f>SmtRes!DC87</f>
        <v>5.1100000000000003</v>
      </c>
      <c r="R69">
        <f>ROUND(ROUND(Q69*Source!I99, 6)*1, 2)</f>
        <v>4.29</v>
      </c>
      <c r="S69">
        <f>SmtRes!AC87</f>
        <v>511.29</v>
      </c>
      <c r="T69">
        <f>ROUND(ROUND(Q69*Source!I99, 6)*SmtRes!AK87, 2)</f>
        <v>4.29</v>
      </c>
      <c r="U69">
        <f>SmtRes!X87</f>
        <v>-2052459773</v>
      </c>
      <c r="V69">
        <v>579726280</v>
      </c>
      <c r="W69">
        <v>1460056643</v>
      </c>
      <c r="X69">
        <v>2</v>
      </c>
    </row>
    <row r="70" spans="1:24" x14ac:dyDescent="0.2">
      <c r="A70">
        <v>20</v>
      </c>
      <c r="B70">
        <v>86</v>
      </c>
      <c r="C70">
        <v>2</v>
      </c>
      <c r="D70">
        <v>0</v>
      </c>
      <c r="E70">
        <f>SmtRes!AV86</f>
        <v>0</v>
      </c>
      <c r="F70" t="str">
        <f>SmtRes!I86</f>
        <v>22.1-30-102</v>
      </c>
      <c r="G70" t="str">
        <f>SmtRes!K86</f>
        <v>Дрели электрические, двухскоростные, мощностью 600 Вт</v>
      </c>
      <c r="H70" t="str">
        <f>SmtRes!O86</f>
        <v>маш.-ч</v>
      </c>
      <c r="I70">
        <f>SmtRes!Y86*Source!I99</f>
        <v>0.99119999999999986</v>
      </c>
      <c r="J70">
        <f>SmtRes!AO86</f>
        <v>1</v>
      </c>
      <c r="K70">
        <f>SmtRes!AF86</f>
        <v>7.44</v>
      </c>
      <c r="L70">
        <f>SmtRes!DB86</f>
        <v>8.7799999999999994</v>
      </c>
      <c r="M70">
        <f>ROUND(ROUND(L70*Source!I99, 6)*1, 2)</f>
        <v>7.38</v>
      </c>
      <c r="N70">
        <f>SmtRes!AB86</f>
        <v>7.44</v>
      </c>
      <c r="O70">
        <f>ROUND(ROUND(L70*Source!I99, 6)*SmtRes!DA86, 2)</f>
        <v>7.38</v>
      </c>
      <c r="P70">
        <f>SmtRes!AG86</f>
        <v>0.98</v>
      </c>
      <c r="Q70">
        <f>SmtRes!DC86</f>
        <v>1.1599999999999999</v>
      </c>
      <c r="R70">
        <f>ROUND(ROUND(Q70*Source!I99, 6)*1, 2)</f>
        <v>0.97</v>
      </c>
      <c r="S70">
        <f>SmtRes!AC86</f>
        <v>0.98</v>
      </c>
      <c r="T70">
        <f>ROUND(ROUND(Q70*Source!I99, 6)*SmtRes!AK86, 2)</f>
        <v>0.97</v>
      </c>
      <c r="U70">
        <f>SmtRes!X86</f>
        <v>592514182</v>
      </c>
      <c r="V70">
        <v>807016121</v>
      </c>
      <c r="W70">
        <v>83762966</v>
      </c>
      <c r="X70">
        <v>2</v>
      </c>
    </row>
    <row r="71" spans="1:24" x14ac:dyDescent="0.2">
      <c r="A71">
        <v>20</v>
      </c>
      <c r="B71">
        <v>85</v>
      </c>
      <c r="C71">
        <v>2</v>
      </c>
      <c r="D71">
        <v>0</v>
      </c>
      <c r="E71">
        <f>SmtRes!AV85</f>
        <v>0</v>
      </c>
      <c r="F71" t="str">
        <f>SmtRes!I85</f>
        <v>22.1-17-168</v>
      </c>
      <c r="G71" t="str">
        <f>SmtRes!K85</f>
        <v>Укладчики полимерных покрытий на игровых и спортивных площадках, производительность 10-50 м2/ч</v>
      </c>
      <c r="H71" t="str">
        <f>SmtRes!O85</f>
        <v>маш.-ч</v>
      </c>
      <c r="I71">
        <f>SmtRes!Y85*Source!I99</f>
        <v>2.2176</v>
      </c>
      <c r="J71">
        <f>SmtRes!AO85</f>
        <v>1</v>
      </c>
      <c r="K71">
        <f>SmtRes!AF85</f>
        <v>531.41</v>
      </c>
      <c r="L71">
        <f>SmtRes!DB85</f>
        <v>1402.92</v>
      </c>
      <c r="M71">
        <f>ROUND(ROUND(L71*Source!I99, 6)*1, 2)</f>
        <v>1178.45</v>
      </c>
      <c r="N71">
        <f>SmtRes!AB85</f>
        <v>531.41</v>
      </c>
      <c r="O71">
        <f>ROUND(ROUND(L71*Source!I99, 6)*SmtRes!DA85, 2)</f>
        <v>1178.45</v>
      </c>
      <c r="P71">
        <f>SmtRes!AG85</f>
        <v>373.56</v>
      </c>
      <c r="Q71">
        <f>SmtRes!DC85</f>
        <v>986.2</v>
      </c>
      <c r="R71">
        <f>ROUND(ROUND(Q71*Source!I99, 6)*1, 2)</f>
        <v>828.41</v>
      </c>
      <c r="S71">
        <f>SmtRes!AC85</f>
        <v>373.56</v>
      </c>
      <c r="T71">
        <f>ROUND(ROUND(Q71*Source!I99, 6)*SmtRes!AK85, 2)</f>
        <v>828.41</v>
      </c>
      <c r="U71">
        <f>SmtRes!X85</f>
        <v>72422803</v>
      </c>
      <c r="V71">
        <v>1063291144</v>
      </c>
      <c r="W71">
        <v>904665643</v>
      </c>
      <c r="X71">
        <v>2</v>
      </c>
    </row>
    <row r="72" spans="1:24" x14ac:dyDescent="0.2">
      <c r="A72">
        <v>20</v>
      </c>
      <c r="B72">
        <v>99</v>
      </c>
      <c r="C72">
        <v>3</v>
      </c>
      <c r="D72">
        <v>0</v>
      </c>
      <c r="E72">
        <f>SmtRes!AV99</f>
        <v>0</v>
      </c>
      <c r="F72" t="str">
        <f>SmtRes!I99</f>
        <v>21.1-6-101</v>
      </c>
      <c r="G72" t="str">
        <f>SmtRes!K99</f>
        <v>Пигменты сухие для красок, кислотный желтый</v>
      </c>
      <c r="H72" t="str">
        <f>SmtRes!O99</f>
        <v>т</v>
      </c>
      <c r="I72">
        <f>SmtRes!Y99*Source!I100</f>
        <v>8.8199999999999997E-3</v>
      </c>
      <c r="J72">
        <f>SmtRes!AO99</f>
        <v>1</v>
      </c>
      <c r="K72">
        <f>SmtRes!AE99</f>
        <v>748299.67</v>
      </c>
      <c r="L72">
        <f>SmtRes!DB99</f>
        <v>7857.15</v>
      </c>
      <c r="M72">
        <f>ROUND(ROUND(L72*Source!I100, 6)*1, 2)</f>
        <v>6600.01</v>
      </c>
      <c r="N72">
        <f>SmtRes!AA99</f>
        <v>748299.67</v>
      </c>
      <c r="O72">
        <f>ROUND(ROUND(L72*Source!I100, 6)*SmtRes!DA99, 2)</f>
        <v>6600.01</v>
      </c>
      <c r="P72">
        <f>SmtRes!AG99</f>
        <v>0</v>
      </c>
      <c r="Q72">
        <f>SmtRes!DC99</f>
        <v>0</v>
      </c>
      <c r="R72">
        <f>ROUND(ROUND(Q72*Source!I100, 6)*1, 2)</f>
        <v>0</v>
      </c>
      <c r="S72">
        <f>SmtRes!AC99</f>
        <v>0</v>
      </c>
      <c r="T72">
        <f>ROUND(ROUND(Q72*Source!I100, 6)*SmtRes!AK99, 2)</f>
        <v>0</v>
      </c>
      <c r="U72">
        <f>SmtRes!X99</f>
        <v>-1600259051</v>
      </c>
      <c r="V72">
        <v>-2022093422</v>
      </c>
      <c r="W72">
        <v>1055948583</v>
      </c>
      <c r="X72">
        <v>3</v>
      </c>
    </row>
    <row r="73" spans="1:24" x14ac:dyDescent="0.2">
      <c r="A73">
        <v>20</v>
      </c>
      <c r="B73">
        <v>98</v>
      </c>
      <c r="C73">
        <v>3</v>
      </c>
      <c r="D73">
        <v>0</v>
      </c>
      <c r="E73">
        <f>SmtRes!AV98</f>
        <v>0</v>
      </c>
      <c r="F73" t="str">
        <f>SmtRes!I98</f>
        <v>21.1-25-776</v>
      </c>
      <c r="G73" t="str">
        <f>SmtRes!K98</f>
        <v>Средство связующее универсальное полиуретановое на основе резиновой и каучуковой крошки для устройства высокопрочных эластичных покрытий</v>
      </c>
      <c r="H73" t="str">
        <f>SmtRes!O98</f>
        <v>кг</v>
      </c>
      <c r="I73">
        <f>SmtRes!Y98*Source!I100</f>
        <v>35.28</v>
      </c>
      <c r="J73">
        <f>SmtRes!AO98</f>
        <v>1</v>
      </c>
      <c r="K73">
        <f>SmtRes!AE98</f>
        <v>202.34</v>
      </c>
      <c r="L73">
        <f>SmtRes!DB98</f>
        <v>8498.2800000000007</v>
      </c>
      <c r="M73">
        <f>ROUND(ROUND(L73*Source!I100, 6)*1, 2)</f>
        <v>7138.56</v>
      </c>
      <c r="N73">
        <f>SmtRes!AA98</f>
        <v>202.34</v>
      </c>
      <c r="O73">
        <f>ROUND(ROUND(L73*Source!I100, 6)*SmtRes!DA98, 2)</f>
        <v>7138.56</v>
      </c>
      <c r="P73">
        <f>SmtRes!AG98</f>
        <v>0</v>
      </c>
      <c r="Q73">
        <f>SmtRes!DC98</f>
        <v>0</v>
      </c>
      <c r="R73">
        <f>ROUND(ROUND(Q73*Source!I100, 6)*1, 2)</f>
        <v>0</v>
      </c>
      <c r="S73">
        <f>SmtRes!AC98</f>
        <v>0</v>
      </c>
      <c r="T73">
        <f>ROUND(ROUND(Q73*Source!I100, 6)*SmtRes!AK98, 2)</f>
        <v>0</v>
      </c>
      <c r="U73">
        <f>SmtRes!X98</f>
        <v>-319511878</v>
      </c>
      <c r="V73">
        <v>-233522306</v>
      </c>
      <c r="W73">
        <v>1409483656</v>
      </c>
      <c r="X73">
        <v>3</v>
      </c>
    </row>
    <row r="74" spans="1:24" x14ac:dyDescent="0.2">
      <c r="A74">
        <v>20</v>
      </c>
      <c r="B74">
        <v>97</v>
      </c>
      <c r="C74">
        <v>3</v>
      </c>
      <c r="D74">
        <v>0</v>
      </c>
      <c r="E74">
        <f>SmtRes!AV97</f>
        <v>0</v>
      </c>
      <c r="F74" t="str">
        <f>SmtRes!I97</f>
        <v>21.1-25-769</v>
      </c>
      <c r="G74" t="str">
        <f>SmtRes!K97</f>
        <v>Крошка резиновая гранулированная, фракция 2-3 мм</v>
      </c>
      <c r="H74" t="str">
        <f>SmtRes!O97</f>
        <v>кг</v>
      </c>
      <c r="I74">
        <f>SmtRes!Y97*Source!I100</f>
        <v>123.47999999999999</v>
      </c>
      <c r="J74">
        <f>SmtRes!AO97</f>
        <v>1</v>
      </c>
      <c r="K74">
        <f>SmtRes!AE97</f>
        <v>17.77</v>
      </c>
      <c r="L74">
        <f>SmtRes!DB97</f>
        <v>2612.19</v>
      </c>
      <c r="M74">
        <f>ROUND(ROUND(L74*Source!I100, 6)*1, 2)</f>
        <v>2194.2399999999998</v>
      </c>
      <c r="N74">
        <f>SmtRes!AA97</f>
        <v>17.77</v>
      </c>
      <c r="O74">
        <f>ROUND(ROUND(L74*Source!I100, 6)*SmtRes!DA97, 2)</f>
        <v>2194.2399999999998</v>
      </c>
      <c r="P74">
        <f>SmtRes!AG97</f>
        <v>0</v>
      </c>
      <c r="Q74">
        <f>SmtRes!DC97</f>
        <v>0</v>
      </c>
      <c r="R74">
        <f>ROUND(ROUND(Q74*Source!I100, 6)*1, 2)</f>
        <v>0</v>
      </c>
      <c r="S74">
        <f>SmtRes!AC97</f>
        <v>0</v>
      </c>
      <c r="T74">
        <f>ROUND(ROUND(Q74*Source!I100, 6)*SmtRes!AK97, 2)</f>
        <v>0</v>
      </c>
      <c r="U74">
        <f>SmtRes!X97</f>
        <v>1696686191</v>
      </c>
      <c r="V74">
        <v>711481079</v>
      </c>
      <c r="W74">
        <v>1650918109</v>
      </c>
      <c r="X74">
        <v>3</v>
      </c>
    </row>
    <row r="75" spans="1:24" x14ac:dyDescent="0.2">
      <c r="A75">
        <v>20</v>
      </c>
      <c r="B75">
        <v>96</v>
      </c>
      <c r="C75">
        <v>2</v>
      </c>
      <c r="D75">
        <v>0</v>
      </c>
      <c r="E75">
        <f>SmtRes!AV96</f>
        <v>0</v>
      </c>
      <c r="F75" t="str">
        <f>SmtRes!I96</f>
        <v>22.1-6-68</v>
      </c>
      <c r="G75" t="str">
        <f>SmtRes!K96</f>
        <v>Растворосмесители стационарные, емкость до 250 л</v>
      </c>
      <c r="H75" t="str">
        <f>SmtRes!O96</f>
        <v>маш.-ч</v>
      </c>
      <c r="I75">
        <f>SmtRes!Y96*Source!I100</f>
        <v>0.42</v>
      </c>
      <c r="J75">
        <f>SmtRes!AO96</f>
        <v>1</v>
      </c>
      <c r="K75">
        <f>SmtRes!AF96</f>
        <v>454.31</v>
      </c>
      <c r="L75">
        <f>SmtRes!DB96</f>
        <v>227.16</v>
      </c>
      <c r="M75">
        <f>ROUND(ROUND(L75*Source!I100, 6)*1, 2)</f>
        <v>190.81</v>
      </c>
      <c r="N75">
        <f>SmtRes!AB96</f>
        <v>454.31</v>
      </c>
      <c r="O75">
        <f>ROUND(ROUND(L75*Source!I100, 6)*SmtRes!DA96, 2)</f>
        <v>190.81</v>
      </c>
      <c r="P75">
        <f>SmtRes!AG96</f>
        <v>405.68</v>
      </c>
      <c r="Q75">
        <f>SmtRes!DC96</f>
        <v>202.84</v>
      </c>
      <c r="R75">
        <f>ROUND(ROUND(Q75*Source!I100, 6)*1, 2)</f>
        <v>170.39</v>
      </c>
      <c r="S75">
        <f>SmtRes!AC96</f>
        <v>405.68</v>
      </c>
      <c r="T75">
        <f>ROUND(ROUND(Q75*Source!I100, 6)*SmtRes!AK96, 2)</f>
        <v>170.39</v>
      </c>
      <c r="U75">
        <f>SmtRes!X96</f>
        <v>1110189246</v>
      </c>
      <c r="V75">
        <v>1539087417</v>
      </c>
      <c r="W75">
        <v>-1650330276</v>
      </c>
      <c r="X75">
        <v>2</v>
      </c>
    </row>
    <row r="76" spans="1:24" x14ac:dyDescent="0.2">
      <c r="A76">
        <v>20</v>
      </c>
      <c r="B76">
        <v>95</v>
      </c>
      <c r="C76">
        <v>2</v>
      </c>
      <c r="D76">
        <v>0</v>
      </c>
      <c r="E76">
        <f>SmtRes!AV95</f>
        <v>0</v>
      </c>
      <c r="F76" t="str">
        <f>SmtRes!I95</f>
        <v>22.1-17-168</v>
      </c>
      <c r="G76" t="str">
        <f>SmtRes!K95</f>
        <v>Укладчики полимерных покрытий на игровых и спортивных площадках, производительность 10-50 м2/ч</v>
      </c>
      <c r="H76" t="str">
        <f>SmtRes!O95</f>
        <v>маш.-ч</v>
      </c>
      <c r="I76">
        <f>SmtRes!Y95*Source!I100</f>
        <v>0.42</v>
      </c>
      <c r="J76">
        <f>SmtRes!AO95</f>
        <v>1</v>
      </c>
      <c r="K76">
        <f>SmtRes!AF95</f>
        <v>531.41</v>
      </c>
      <c r="L76">
        <f>SmtRes!DB95</f>
        <v>265.70999999999998</v>
      </c>
      <c r="M76">
        <f>ROUND(ROUND(L76*Source!I100, 6)*1, 2)</f>
        <v>223.2</v>
      </c>
      <c r="N76">
        <f>SmtRes!AB95</f>
        <v>531.41</v>
      </c>
      <c r="O76">
        <f>ROUND(ROUND(L76*Source!I100, 6)*SmtRes!DA95, 2)</f>
        <v>223.2</v>
      </c>
      <c r="P76">
        <f>SmtRes!AG95</f>
        <v>373.56</v>
      </c>
      <c r="Q76">
        <f>SmtRes!DC95</f>
        <v>186.78</v>
      </c>
      <c r="R76">
        <f>ROUND(ROUND(Q76*Source!I100, 6)*1, 2)</f>
        <v>156.9</v>
      </c>
      <c r="S76">
        <f>SmtRes!AC95</f>
        <v>373.56</v>
      </c>
      <c r="T76">
        <f>ROUND(ROUND(Q76*Source!I100, 6)*SmtRes!AK95, 2)</f>
        <v>156.9</v>
      </c>
      <c r="U76">
        <f>SmtRes!X95</f>
        <v>72422803</v>
      </c>
      <c r="V76">
        <v>1063291144</v>
      </c>
      <c r="W76">
        <v>904665643</v>
      </c>
      <c r="X76">
        <v>2</v>
      </c>
    </row>
    <row r="77" spans="1:24" x14ac:dyDescent="0.2">
      <c r="A77">
        <v>20</v>
      </c>
      <c r="B77">
        <v>113</v>
      </c>
      <c r="C77">
        <v>3</v>
      </c>
      <c r="D77">
        <v>0</v>
      </c>
      <c r="E77">
        <f>SmtRes!AV113</f>
        <v>0</v>
      </c>
      <c r="F77" t="str">
        <f>SmtRes!I113</f>
        <v>21.5-3-9</v>
      </c>
      <c r="G77" t="str">
        <f>SmtRes!K113</f>
        <v>Камни бетонные бортовые газонные, марка 2ГБ 60.8.20, цвет серый</v>
      </c>
      <c r="H77" t="str">
        <f>SmtRes!O113</f>
        <v>м3</v>
      </c>
      <c r="I77">
        <f>SmtRes!Y113*Source!I103</f>
        <v>0.58879999999999999</v>
      </c>
      <c r="J77">
        <f>SmtRes!AO113</f>
        <v>1</v>
      </c>
      <c r="K77">
        <f>SmtRes!AE113</f>
        <v>11566.57</v>
      </c>
      <c r="L77">
        <f>SmtRes!DB113</f>
        <v>18506.509999999998</v>
      </c>
      <c r="M77">
        <f>ROUND(ROUND(L77*Source!I103, 6)*1, 2)</f>
        <v>6810.4</v>
      </c>
      <c r="N77">
        <f>SmtRes!AA113</f>
        <v>11566.57</v>
      </c>
      <c r="O77">
        <f>ROUND(ROUND(L77*Source!I103, 6)*SmtRes!DA113, 2)</f>
        <v>6810.4</v>
      </c>
      <c r="P77">
        <f>SmtRes!AG113</f>
        <v>0</v>
      </c>
      <c r="Q77">
        <f>SmtRes!DC113</f>
        <v>0</v>
      </c>
      <c r="R77">
        <f>ROUND(ROUND(Q77*Source!I103, 6)*1, 2)</f>
        <v>0</v>
      </c>
      <c r="S77">
        <f>SmtRes!AC113</f>
        <v>0</v>
      </c>
      <c r="T77">
        <f>ROUND(ROUND(Q77*Source!I103, 6)*SmtRes!AK113, 2)</f>
        <v>0</v>
      </c>
      <c r="U77">
        <f>SmtRes!X113</f>
        <v>892889602</v>
      </c>
      <c r="V77">
        <v>2056656452</v>
      </c>
      <c r="W77">
        <v>-418158513</v>
      </c>
      <c r="X77">
        <v>3</v>
      </c>
    </row>
    <row r="78" spans="1:24" x14ac:dyDescent="0.2">
      <c r="A78">
        <v>20</v>
      </c>
      <c r="B78">
        <v>112</v>
      </c>
      <c r="C78">
        <v>3</v>
      </c>
      <c r="D78">
        <v>0</v>
      </c>
      <c r="E78">
        <f>SmtRes!AV112</f>
        <v>0</v>
      </c>
      <c r="F78" t="str">
        <f>SmtRes!I112</f>
        <v>21.3-2-15</v>
      </c>
      <c r="G78" t="str">
        <f>SmtRes!K112</f>
        <v>Растворы цементные, марка 100</v>
      </c>
      <c r="H78" t="str">
        <f>SmtRes!O112</f>
        <v>м3</v>
      </c>
      <c r="I78">
        <f>SmtRes!Y112*Source!I103</f>
        <v>7.3600000000000002E-3</v>
      </c>
      <c r="J78">
        <f>SmtRes!AO112</f>
        <v>1</v>
      </c>
      <c r="K78">
        <f>SmtRes!AE112</f>
        <v>3392.59</v>
      </c>
      <c r="L78">
        <f>SmtRes!DB112</f>
        <v>67.849999999999994</v>
      </c>
      <c r="M78">
        <f>ROUND(ROUND(L78*Source!I103, 6)*1, 2)</f>
        <v>24.97</v>
      </c>
      <c r="N78">
        <f>SmtRes!AA112</f>
        <v>3392.59</v>
      </c>
      <c r="O78">
        <f>ROUND(ROUND(L78*Source!I103, 6)*SmtRes!DA112, 2)</f>
        <v>24.97</v>
      </c>
      <c r="P78">
        <f>SmtRes!AG112</f>
        <v>0</v>
      </c>
      <c r="Q78">
        <f>SmtRes!DC112</f>
        <v>0</v>
      </c>
      <c r="R78">
        <f>ROUND(ROUND(Q78*Source!I103, 6)*1, 2)</f>
        <v>0</v>
      </c>
      <c r="S78">
        <f>SmtRes!AC112</f>
        <v>0</v>
      </c>
      <c r="T78">
        <f>ROUND(ROUND(Q78*Source!I103, 6)*SmtRes!AK112, 2)</f>
        <v>0</v>
      </c>
      <c r="U78">
        <f>SmtRes!X112</f>
        <v>853860812</v>
      </c>
      <c r="V78">
        <v>1081577658</v>
      </c>
      <c r="W78">
        <v>761304375</v>
      </c>
      <c r="X78">
        <v>3</v>
      </c>
    </row>
    <row r="79" spans="1:24" x14ac:dyDescent="0.2">
      <c r="A79">
        <v>20</v>
      </c>
      <c r="B79">
        <v>111</v>
      </c>
      <c r="C79">
        <v>3</v>
      </c>
      <c r="D79">
        <v>0</v>
      </c>
      <c r="E79">
        <f>SmtRes!AV111</f>
        <v>0</v>
      </c>
      <c r="F79" t="str">
        <f>SmtRes!I111</f>
        <v>21.3-1-69</v>
      </c>
      <c r="G79" t="str">
        <f>SmtRes!K111</f>
        <v>Смеси бетонные, БСГ, тяжелого бетона на гранитном щебне, класс прочности: В15 (М200); П3, фракция 5-20, F50-100, W0-2</v>
      </c>
      <c r="H79" t="str">
        <f>SmtRes!O111</f>
        <v>м3</v>
      </c>
      <c r="I79">
        <f>SmtRes!Y111*Source!I103</f>
        <v>1.5823999999999998</v>
      </c>
      <c r="J79">
        <f>SmtRes!AO111</f>
        <v>1</v>
      </c>
      <c r="K79">
        <f>SmtRes!AE111</f>
        <v>3714.73</v>
      </c>
      <c r="L79">
        <f>SmtRes!DB111</f>
        <v>15973.34</v>
      </c>
      <c r="M79">
        <f>ROUND(ROUND(L79*Source!I103, 6)*1, 2)</f>
        <v>5878.19</v>
      </c>
      <c r="N79">
        <f>SmtRes!AA111</f>
        <v>3714.73</v>
      </c>
      <c r="O79">
        <f>ROUND(ROUND(L79*Source!I103, 6)*SmtRes!DA111, 2)</f>
        <v>5878.19</v>
      </c>
      <c r="P79">
        <f>SmtRes!AG111</f>
        <v>0</v>
      </c>
      <c r="Q79">
        <f>SmtRes!DC111</f>
        <v>0</v>
      </c>
      <c r="R79">
        <f>ROUND(ROUND(Q79*Source!I103, 6)*1, 2)</f>
        <v>0</v>
      </c>
      <c r="S79">
        <f>SmtRes!AC111</f>
        <v>0</v>
      </c>
      <c r="T79">
        <f>ROUND(ROUND(Q79*Source!I103, 6)*SmtRes!AK111, 2)</f>
        <v>0</v>
      </c>
      <c r="U79">
        <f>SmtRes!X111</f>
        <v>426331755</v>
      </c>
      <c r="V79">
        <v>-1437152771</v>
      </c>
      <c r="W79">
        <v>-1406457179</v>
      </c>
      <c r="X79">
        <v>3</v>
      </c>
    </row>
    <row r="80" spans="1:24" x14ac:dyDescent="0.2">
      <c r="A80">
        <v>20</v>
      </c>
      <c r="B80">
        <v>110</v>
      </c>
      <c r="C80">
        <v>2</v>
      </c>
      <c r="D80">
        <v>0</v>
      </c>
      <c r="E80">
        <f>SmtRes!AV110</f>
        <v>0</v>
      </c>
      <c r="F80" t="str">
        <f>SmtRes!I110</f>
        <v>22.1-4-12</v>
      </c>
      <c r="G80" t="str">
        <f>SmtRes!K110</f>
        <v>Погрузчики на автомобильном ходу, грузоподъемность до 5 т</v>
      </c>
      <c r="H80" t="str">
        <f>SmtRes!O110</f>
        <v>маш.-ч</v>
      </c>
      <c r="I80">
        <f>SmtRes!Y110*Source!I103</f>
        <v>9.5680000000000001E-2</v>
      </c>
      <c r="J80">
        <f>SmtRes!AO110</f>
        <v>1</v>
      </c>
      <c r="K80">
        <f>SmtRes!AF110</f>
        <v>683.9</v>
      </c>
      <c r="L80">
        <f>SmtRes!DB110</f>
        <v>177.81</v>
      </c>
      <c r="M80">
        <f>ROUND(ROUND(L80*Source!I103, 6)*1, 2)</f>
        <v>65.430000000000007</v>
      </c>
      <c r="N80">
        <f>SmtRes!AB110</f>
        <v>683.9</v>
      </c>
      <c r="O80">
        <f>ROUND(ROUND(L80*Source!I103, 6)*SmtRes!DA110, 2)</f>
        <v>65.430000000000007</v>
      </c>
      <c r="P80">
        <f>SmtRes!AG110</f>
        <v>371.27</v>
      </c>
      <c r="Q80">
        <f>SmtRes!DC110</f>
        <v>96.53</v>
      </c>
      <c r="R80">
        <f>ROUND(ROUND(Q80*Source!I103, 6)*1, 2)</f>
        <v>35.520000000000003</v>
      </c>
      <c r="S80">
        <f>SmtRes!AC110</f>
        <v>371.27</v>
      </c>
      <c r="T80">
        <f>ROUND(ROUND(Q80*Source!I103, 6)*SmtRes!AK110, 2)</f>
        <v>35.520000000000003</v>
      </c>
      <c r="U80">
        <f>SmtRes!X110</f>
        <v>-1323805330</v>
      </c>
      <c r="V80">
        <v>1986574417</v>
      </c>
      <c r="W80">
        <v>-926712809</v>
      </c>
      <c r="X80">
        <v>2</v>
      </c>
    </row>
    <row r="81" spans="1:24" x14ac:dyDescent="0.2">
      <c r="A81">
        <v>20</v>
      </c>
      <c r="B81">
        <v>121</v>
      </c>
      <c r="C81">
        <v>3</v>
      </c>
      <c r="D81">
        <v>0</v>
      </c>
      <c r="E81">
        <f>SmtRes!AV121</f>
        <v>0</v>
      </c>
      <c r="F81" t="str">
        <f>SmtRes!I121</f>
        <v>21.3-2-12</v>
      </c>
      <c r="G81" t="str">
        <f>SmtRes!K121</f>
        <v>Растворы цементные, марка 25</v>
      </c>
      <c r="H81" t="str">
        <f>SmtRes!O121</f>
        <v>м3</v>
      </c>
      <c r="I81">
        <f>SmtRes!Y121*Source!I104</f>
        <v>7.5000000000000002E-4</v>
      </c>
      <c r="J81">
        <f>SmtRes!AO121</f>
        <v>1</v>
      </c>
      <c r="K81">
        <f>SmtRes!AE121</f>
        <v>3323.4</v>
      </c>
      <c r="L81">
        <f>SmtRes!DB121</f>
        <v>49.85</v>
      </c>
      <c r="M81">
        <f>ROUND(ROUND(L81*Source!I104, 6)*1, 2)</f>
        <v>2.4900000000000002</v>
      </c>
      <c r="N81">
        <f>SmtRes!AA121</f>
        <v>3323.4</v>
      </c>
      <c r="O81">
        <f>ROUND(ROUND(L81*Source!I104, 6)*SmtRes!DA121, 2)</f>
        <v>2.4900000000000002</v>
      </c>
      <c r="P81">
        <f>SmtRes!AG121</f>
        <v>0</v>
      </c>
      <c r="Q81">
        <f>SmtRes!DC121</f>
        <v>0</v>
      </c>
      <c r="R81">
        <f>ROUND(ROUND(Q81*Source!I104, 6)*1, 2)</f>
        <v>0</v>
      </c>
      <c r="S81">
        <f>SmtRes!AC121</f>
        <v>0</v>
      </c>
      <c r="T81">
        <f>ROUND(ROUND(Q81*Source!I104, 6)*SmtRes!AK121, 2)</f>
        <v>0</v>
      </c>
      <c r="U81">
        <f>SmtRes!X121</f>
        <v>416525707</v>
      </c>
      <c r="V81">
        <v>-1256474786</v>
      </c>
      <c r="W81">
        <v>809277097</v>
      </c>
      <c r="X81">
        <v>3</v>
      </c>
    </row>
    <row r="82" spans="1:24" x14ac:dyDescent="0.2">
      <c r="A82">
        <f>Source!A111</f>
        <v>18</v>
      </c>
      <c r="B82">
        <v>111</v>
      </c>
      <c r="C82">
        <v>3</v>
      </c>
      <c r="D82">
        <f>Source!BI111</f>
        <v>4</v>
      </c>
      <c r="E82">
        <f>Source!FS111</f>
        <v>0</v>
      </c>
      <c r="F82" t="str">
        <f>Source!F111</f>
        <v>по цене поставщика</v>
      </c>
      <c r="G82" t="str">
        <f>Source!G111</f>
        <v>МАФ: Песочница с крышкой "Малыш" (РЕ-45) для детских садов и ДОУ 2000х1500х580  Ссылка: https://goroddd.ru/pesoch/pesochnitca-s-kryshkoy-malysh-dlya-detskikh-sadov-i-dou</v>
      </c>
      <c r="H82" t="str">
        <f>Source!H111</f>
        <v>шт.</v>
      </c>
      <c r="I82">
        <f>Source!I111</f>
        <v>1</v>
      </c>
      <c r="J82">
        <v>1</v>
      </c>
      <c r="K82">
        <f>Source!AC111</f>
        <v>17250</v>
      </c>
      <c r="M82">
        <f>ROUND(K82*I82, 2)</f>
        <v>17250</v>
      </c>
      <c r="N82">
        <f>Source!AC111*IF(Source!BC111&lt;&gt; 0, Source!BC111, 1)</f>
        <v>17250</v>
      </c>
      <c r="O82">
        <f>ROUND(N82*I82, 2)</f>
        <v>17250</v>
      </c>
      <c r="P82">
        <f>Source!AE111</f>
        <v>0</v>
      </c>
      <c r="R82">
        <f>ROUND(P82*I82, 2)</f>
        <v>0</v>
      </c>
      <c r="S82">
        <f>Source!AE111*IF(Source!BS111&lt;&gt; 0, Source!BS111, 1)</f>
        <v>0</v>
      </c>
      <c r="T82">
        <f>ROUND(S82*I82, 2)</f>
        <v>0</v>
      </c>
      <c r="U82">
        <f>Source!GF111</f>
        <v>-292158938</v>
      </c>
      <c r="V82">
        <v>-1695686249</v>
      </c>
      <c r="W82">
        <v>1338406588</v>
      </c>
      <c r="X82">
        <v>3</v>
      </c>
    </row>
    <row r="83" spans="1:24" x14ac:dyDescent="0.2">
      <c r="A83">
        <f>Source!A112</f>
        <v>18</v>
      </c>
      <c r="B83">
        <v>112</v>
      </c>
      <c r="C83">
        <v>3</v>
      </c>
      <c r="D83">
        <f>Source!BI112</f>
        <v>4</v>
      </c>
      <c r="E83">
        <f>Source!FS112</f>
        <v>0</v>
      </c>
      <c r="F83" t="str">
        <f>Source!F112</f>
        <v>по цене поставщика</v>
      </c>
      <c r="G83" t="str">
        <f>Source!G112</f>
        <v>Уличный игровой детский домик для детских садов "Чиполлино" 1400х1400х1700  https://goroddd.ru/detdom/ulichnyy-detskiy-domik-dlya-detskikh-sadov-chipollino-imn-13-140</v>
      </c>
      <c r="H83" t="str">
        <f>Source!H112</f>
        <v>шт.</v>
      </c>
      <c r="I83">
        <f>Source!I112</f>
        <v>1</v>
      </c>
      <c r="J83">
        <v>1</v>
      </c>
      <c r="K83">
        <f>Source!AC112</f>
        <v>43083.33</v>
      </c>
      <c r="M83">
        <f>ROUND(K83*I83, 2)</f>
        <v>43083.33</v>
      </c>
      <c r="N83">
        <f>Source!AC112*IF(Source!BC112&lt;&gt; 0, Source!BC112, 1)</f>
        <v>43083.33</v>
      </c>
      <c r="O83">
        <f>ROUND(N83*I83, 2)</f>
        <v>43083.33</v>
      </c>
      <c r="P83">
        <f>Source!AE112</f>
        <v>0</v>
      </c>
      <c r="R83">
        <f>ROUND(P83*I83, 2)</f>
        <v>0</v>
      </c>
      <c r="S83">
        <f>Source!AE112*IF(Source!BS112&lt;&gt; 0, Source!BS112, 1)</f>
        <v>0</v>
      </c>
      <c r="T83">
        <f>ROUND(S83*I83, 2)</f>
        <v>0</v>
      </c>
      <c r="U83">
        <f>Source!GF112</f>
        <v>-797437268</v>
      </c>
      <c r="V83">
        <v>74673736</v>
      </c>
      <c r="W83">
        <v>-1016610539</v>
      </c>
      <c r="X83">
        <v>3</v>
      </c>
    </row>
    <row r="84" spans="1:24" x14ac:dyDescent="0.2">
      <c r="A84">
        <f>Source!A113</f>
        <v>18</v>
      </c>
      <c r="B84">
        <v>113</v>
      </c>
      <c r="C84">
        <v>3</v>
      </c>
      <c r="D84">
        <f>Source!BI113</f>
        <v>4</v>
      </c>
      <c r="E84">
        <f>Source!FS113</f>
        <v>0</v>
      </c>
      <c r="F84" t="str">
        <f>Source!F113</f>
        <v>по цене поставщика</v>
      </c>
      <c r="G84" t="str">
        <f>Source!G113</f>
        <v>Игровой макет кораблик для детских площадок "Чунга-Чанга" 2880х1100х2100  https://goroddd.ru/makety-i-elementy/ulichnyy-igrovoy-maket-dlya-detey-chunga-changa-imn-88-2880kh110</v>
      </c>
      <c r="H84" t="str">
        <f>Source!H113</f>
        <v>шт.</v>
      </c>
      <c r="I84">
        <f>Source!I113</f>
        <v>1</v>
      </c>
      <c r="J84">
        <v>1</v>
      </c>
      <c r="K84">
        <f>Source!AC113</f>
        <v>40166.67</v>
      </c>
      <c r="M84">
        <f>ROUND(K84*I84, 2)</f>
        <v>40166.67</v>
      </c>
      <c r="N84">
        <f>Source!AC113*IF(Source!BC113&lt;&gt; 0, Source!BC113, 1)</f>
        <v>40166.67</v>
      </c>
      <c r="O84">
        <f>ROUND(N84*I84, 2)</f>
        <v>40166.67</v>
      </c>
      <c r="P84">
        <f>Source!AE113</f>
        <v>0</v>
      </c>
      <c r="R84">
        <f>ROUND(P84*I84, 2)</f>
        <v>0</v>
      </c>
      <c r="S84">
        <f>Source!AE113*IF(Source!BS113&lt;&gt; 0, Source!BS113, 1)</f>
        <v>0</v>
      </c>
      <c r="T84">
        <f>ROUND(S84*I84, 2)</f>
        <v>0</v>
      </c>
      <c r="U84">
        <f>Source!GF113</f>
        <v>954585822</v>
      </c>
      <c r="V84">
        <v>-2146178687</v>
      </c>
      <c r="W84">
        <v>-520045571</v>
      </c>
      <c r="X84">
        <v>3</v>
      </c>
    </row>
    <row r="85" spans="1:24" x14ac:dyDescent="0.2">
      <c r="A85">
        <f>Source!A114</f>
        <v>18</v>
      </c>
      <c r="B85">
        <v>114</v>
      </c>
      <c r="C85">
        <v>3</v>
      </c>
      <c r="D85">
        <f>Source!BI114</f>
        <v>4</v>
      </c>
      <c r="E85">
        <f>Source!FS114</f>
        <v>0</v>
      </c>
      <c r="F85" t="str">
        <f>Source!F114</f>
        <v>по цене поставщика</v>
      </c>
      <c r="G85" t="str">
        <f>Source!G114</f>
        <v>МАФ: Игровое оборудование паровозик для детских садов и ДОУ "Разноцветный паровозик" (ИМН-66) 1900х1000х1600  https://goroddd.ru/makety-i-elementy/igrovoy-maket-dlya-detskikh-ploschadok-raznotcvetnyy-parovozik-i</v>
      </c>
      <c r="H85" t="str">
        <f>Source!H114</f>
        <v>шт.</v>
      </c>
      <c r="I85">
        <f>Source!I114</f>
        <v>1</v>
      </c>
      <c r="J85">
        <v>1</v>
      </c>
      <c r="K85">
        <f>Source!AC114</f>
        <v>48916.67</v>
      </c>
      <c r="M85">
        <f>ROUND(K85*I85, 2)</f>
        <v>48916.67</v>
      </c>
      <c r="N85">
        <f>Source!AC114*IF(Source!BC114&lt;&gt; 0, Source!BC114, 1)</f>
        <v>48916.67</v>
      </c>
      <c r="O85">
        <f>ROUND(N85*I85, 2)</f>
        <v>48916.67</v>
      </c>
      <c r="P85">
        <f>Source!AE114</f>
        <v>0</v>
      </c>
      <c r="R85">
        <f>ROUND(P85*I85, 2)</f>
        <v>0</v>
      </c>
      <c r="S85">
        <f>Source!AE114*IF(Source!BS114&lt;&gt; 0, Source!BS114, 1)</f>
        <v>0</v>
      </c>
      <c r="T85">
        <f>ROUND(S85*I85, 2)</f>
        <v>0</v>
      </c>
      <c r="U85">
        <f>Source!GF114</f>
        <v>-696338570</v>
      </c>
      <c r="V85">
        <v>-1847164477</v>
      </c>
      <c r="W85">
        <v>-82390964</v>
      </c>
      <c r="X85">
        <v>3</v>
      </c>
    </row>
    <row r="86" spans="1:24" x14ac:dyDescent="0.2">
      <c r="A86">
        <f>Source!A115</f>
        <v>18</v>
      </c>
      <c r="B86">
        <v>115</v>
      </c>
      <c r="C86">
        <v>3</v>
      </c>
      <c r="D86">
        <f>Source!BI115</f>
        <v>4</v>
      </c>
      <c r="E86">
        <f>Source!FS115</f>
        <v>0</v>
      </c>
      <c r="F86" t="str">
        <f>Source!F115</f>
        <v>по цене поставщика</v>
      </c>
      <c r="G86" t="str">
        <f>Source!G115</f>
        <v>Детская лавочка со спинкой "Пятнашки" на металлическом каркасе 1600х400х700 https://goroddd.ru/detskie-skameiki-i-stoly/detskaya-lavochka-so-spinkoy-pyatnashki</v>
      </c>
      <c r="H86" t="str">
        <f>Source!H115</f>
        <v>шт.</v>
      </c>
      <c r="I86">
        <f>Source!I115</f>
        <v>1</v>
      </c>
      <c r="J86">
        <v>1</v>
      </c>
      <c r="K86">
        <f>Source!AC115</f>
        <v>10833.33</v>
      </c>
      <c r="M86">
        <f>ROUND(K86*I86, 2)</f>
        <v>10833.33</v>
      </c>
      <c r="N86">
        <f>Source!AC115*IF(Source!BC115&lt;&gt; 0, Source!BC115, 1)</f>
        <v>10833.33</v>
      </c>
      <c r="O86">
        <f>ROUND(N86*I86, 2)</f>
        <v>10833.33</v>
      </c>
      <c r="P86">
        <f>Source!AE115</f>
        <v>0</v>
      </c>
      <c r="R86">
        <f>ROUND(P86*I86, 2)</f>
        <v>0</v>
      </c>
      <c r="S86">
        <f>Source!AE115*IF(Source!BS115&lt;&gt; 0, Source!BS115, 1)</f>
        <v>0</v>
      </c>
      <c r="T86">
        <f>ROUND(S86*I86, 2)</f>
        <v>0</v>
      </c>
      <c r="U86">
        <f>Source!GF115</f>
        <v>1617365214</v>
      </c>
      <c r="V86">
        <v>-1534774958</v>
      </c>
      <c r="W86">
        <v>727427344</v>
      </c>
      <c r="X86">
        <v>3</v>
      </c>
    </row>
    <row r="87" spans="1:24" x14ac:dyDescent="0.2">
      <c r="A87">
        <f>Source!A147</f>
        <v>5</v>
      </c>
      <c r="B87">
        <v>147</v>
      </c>
      <c r="G87" t="str">
        <f>Source!G147</f>
        <v>Игровая площадка группы № 11</v>
      </c>
    </row>
    <row r="88" spans="1:24" x14ac:dyDescent="0.2">
      <c r="A88">
        <v>20</v>
      </c>
      <c r="B88">
        <v>135</v>
      </c>
      <c r="C88">
        <v>3</v>
      </c>
      <c r="D88">
        <v>0</v>
      </c>
      <c r="E88">
        <f>SmtRes!AV135</f>
        <v>0</v>
      </c>
      <c r="F88" t="str">
        <f>SmtRes!I135</f>
        <v>21.1-25-13</v>
      </c>
      <c r="G88" t="str">
        <f>SmtRes!K135</f>
        <v>Вода</v>
      </c>
      <c r="H88" t="str">
        <f>SmtRes!O135</f>
        <v>м3</v>
      </c>
      <c r="I88">
        <f>SmtRes!Y135*Source!I152</f>
        <v>0.51649999999999996</v>
      </c>
      <c r="J88">
        <f>SmtRes!AO135</f>
        <v>1</v>
      </c>
      <c r="K88">
        <f>SmtRes!AE135</f>
        <v>35.25</v>
      </c>
      <c r="L88">
        <f>SmtRes!DB135</f>
        <v>176.25</v>
      </c>
      <c r="M88">
        <f>ROUND(ROUND(L88*Source!I152, 6)*1, 2)</f>
        <v>18.21</v>
      </c>
      <c r="N88">
        <f>SmtRes!AA135</f>
        <v>35.25</v>
      </c>
      <c r="O88">
        <f>ROUND(ROUND(L88*Source!I152, 6)*SmtRes!DA135, 2)</f>
        <v>18.21</v>
      </c>
      <c r="P88">
        <f>SmtRes!AG135</f>
        <v>0</v>
      </c>
      <c r="Q88">
        <f>SmtRes!DC135</f>
        <v>0</v>
      </c>
      <c r="R88">
        <f>ROUND(ROUND(Q88*Source!I152, 6)*1, 2)</f>
        <v>0</v>
      </c>
      <c r="S88">
        <f>SmtRes!AC135</f>
        <v>0</v>
      </c>
      <c r="T88">
        <f>ROUND(ROUND(Q88*Source!I152, 6)*SmtRes!AK135, 2)</f>
        <v>0</v>
      </c>
      <c r="U88">
        <f>SmtRes!X135</f>
        <v>1927597627</v>
      </c>
      <c r="V88">
        <v>-1829664509</v>
      </c>
      <c r="W88">
        <v>1819467959</v>
      </c>
      <c r="X88">
        <v>3</v>
      </c>
    </row>
    <row r="89" spans="1:24" x14ac:dyDescent="0.2">
      <c r="A89">
        <v>20</v>
      </c>
      <c r="B89">
        <v>134</v>
      </c>
      <c r="C89">
        <v>3</v>
      </c>
      <c r="D89">
        <v>0</v>
      </c>
      <c r="E89">
        <f>SmtRes!AV134</f>
        <v>0</v>
      </c>
      <c r="F89" t="str">
        <f>SmtRes!I134</f>
        <v>21.1-12-10</v>
      </c>
      <c r="G89" t="str">
        <f>SmtRes!K134</f>
        <v>Песок для дорожных работ, рядовой</v>
      </c>
      <c r="H89" t="str">
        <f>SmtRes!O134</f>
        <v>м3</v>
      </c>
      <c r="I89">
        <f>SmtRes!Y134*Source!I152</f>
        <v>11.363</v>
      </c>
      <c r="J89">
        <f>SmtRes!AO134</f>
        <v>1</v>
      </c>
      <c r="K89">
        <f>SmtRes!AE134</f>
        <v>590.78</v>
      </c>
      <c r="L89">
        <f>SmtRes!DB134</f>
        <v>64985.8</v>
      </c>
      <c r="M89">
        <f>ROUND(ROUND(L89*Source!I152, 6)*1, 2)</f>
        <v>6713.03</v>
      </c>
      <c r="N89">
        <f>SmtRes!AA134</f>
        <v>590.78</v>
      </c>
      <c r="O89">
        <f>ROUND(ROUND(L89*Source!I152, 6)*SmtRes!DA134, 2)</f>
        <v>6713.03</v>
      </c>
      <c r="P89">
        <f>SmtRes!AG134</f>
        <v>0</v>
      </c>
      <c r="Q89">
        <f>SmtRes!DC134</f>
        <v>0</v>
      </c>
      <c r="R89">
        <f>ROUND(ROUND(Q89*Source!I152, 6)*1, 2)</f>
        <v>0</v>
      </c>
      <c r="S89">
        <f>SmtRes!AC134</f>
        <v>0</v>
      </c>
      <c r="T89">
        <f>ROUND(ROUND(Q89*Source!I152, 6)*SmtRes!AK134, 2)</f>
        <v>0</v>
      </c>
      <c r="U89">
        <f>SmtRes!X134</f>
        <v>1152750853</v>
      </c>
      <c r="V89">
        <v>-513833518</v>
      </c>
      <c r="W89">
        <v>445372051</v>
      </c>
      <c r="X89">
        <v>3</v>
      </c>
    </row>
    <row r="90" spans="1:24" x14ac:dyDescent="0.2">
      <c r="A90">
        <v>20</v>
      </c>
      <c r="B90">
        <v>133</v>
      </c>
      <c r="C90">
        <v>2</v>
      </c>
      <c r="D90">
        <v>0</v>
      </c>
      <c r="E90">
        <f>SmtRes!AV133</f>
        <v>0</v>
      </c>
      <c r="F90" t="str">
        <f>SmtRes!I133</f>
        <v>22.1-5-7</v>
      </c>
      <c r="G90" t="str">
        <f>SmtRes!K133</f>
        <v>Катки дорожные самоходные на пневмоколесном ходу, масса до 16 т</v>
      </c>
      <c r="H90" t="str">
        <f>SmtRes!O133</f>
        <v>маш.-ч</v>
      </c>
      <c r="I90">
        <f>SmtRes!Y133*Source!I152</f>
        <v>6.714500000000001E-2</v>
      </c>
      <c r="J90">
        <f>SmtRes!AO133</f>
        <v>1</v>
      </c>
      <c r="K90">
        <f>SmtRes!AF133</f>
        <v>1213.3399999999999</v>
      </c>
      <c r="L90">
        <f>SmtRes!DB133</f>
        <v>788.67</v>
      </c>
      <c r="M90">
        <f>ROUND(ROUND(L90*Source!I152, 6)*1, 2)</f>
        <v>81.47</v>
      </c>
      <c r="N90">
        <f>SmtRes!AB133</f>
        <v>1213.3399999999999</v>
      </c>
      <c r="O90">
        <f>ROUND(ROUND(L90*Source!I152, 6)*SmtRes!DA133, 2)</f>
        <v>81.47</v>
      </c>
      <c r="P90">
        <f>SmtRes!AG133</f>
        <v>461.6</v>
      </c>
      <c r="Q90">
        <f>SmtRes!DC133</f>
        <v>300.04000000000002</v>
      </c>
      <c r="R90">
        <f>ROUND(ROUND(Q90*Source!I152, 6)*1, 2)</f>
        <v>30.99</v>
      </c>
      <c r="S90">
        <f>SmtRes!AC133</f>
        <v>461.6</v>
      </c>
      <c r="T90">
        <f>ROUND(ROUND(Q90*Source!I152, 6)*SmtRes!AK133, 2)</f>
        <v>30.99</v>
      </c>
      <c r="U90">
        <f>SmtRes!X133</f>
        <v>2142121434</v>
      </c>
      <c r="V90">
        <v>-1456814567</v>
      </c>
      <c r="W90">
        <v>-362114551</v>
      </c>
      <c r="X90">
        <v>2</v>
      </c>
    </row>
    <row r="91" spans="1:24" x14ac:dyDescent="0.2">
      <c r="A91">
        <v>20</v>
      </c>
      <c r="B91">
        <v>132</v>
      </c>
      <c r="C91">
        <v>2</v>
      </c>
      <c r="D91">
        <v>0</v>
      </c>
      <c r="E91">
        <f>SmtRes!AV132</f>
        <v>0</v>
      </c>
      <c r="F91" t="str">
        <f>SmtRes!I132</f>
        <v>22.1-5-48</v>
      </c>
      <c r="G91" t="str">
        <f>SmtRes!K132</f>
        <v>Автогрейдеры, мощность 99-147 кВт (130-200 л.с.)</v>
      </c>
      <c r="H91" t="str">
        <f>SmtRes!O132</f>
        <v>маш.-ч</v>
      </c>
      <c r="I91">
        <f>SmtRes!Y132*Source!I152</f>
        <v>0.200402</v>
      </c>
      <c r="J91">
        <f>SmtRes!AO132</f>
        <v>1</v>
      </c>
      <c r="K91">
        <f>SmtRes!AF132</f>
        <v>1412.71</v>
      </c>
      <c r="L91">
        <f>SmtRes!DB132</f>
        <v>2740.66</v>
      </c>
      <c r="M91">
        <f>ROUND(ROUND(L91*Source!I152, 6)*1, 2)</f>
        <v>283.11</v>
      </c>
      <c r="N91">
        <f>SmtRes!AB132</f>
        <v>1412.71</v>
      </c>
      <c r="O91">
        <f>ROUND(ROUND(L91*Source!I152, 6)*SmtRes!DA132, 2)</f>
        <v>283.11</v>
      </c>
      <c r="P91">
        <f>SmtRes!AG132</f>
        <v>641.32000000000005</v>
      </c>
      <c r="Q91">
        <f>SmtRes!DC132</f>
        <v>1244.1600000000001</v>
      </c>
      <c r="R91">
        <f>ROUND(ROUND(Q91*Source!I152, 6)*1, 2)</f>
        <v>128.52000000000001</v>
      </c>
      <c r="S91">
        <f>SmtRes!AC132</f>
        <v>641.32000000000005</v>
      </c>
      <c r="T91">
        <f>ROUND(ROUND(Q91*Source!I152, 6)*SmtRes!AK132, 2)</f>
        <v>128.52000000000001</v>
      </c>
      <c r="U91">
        <f>SmtRes!X132</f>
        <v>1116182101</v>
      </c>
      <c r="V91">
        <v>-405216514</v>
      </c>
      <c r="W91">
        <v>38483568</v>
      </c>
      <c r="X91">
        <v>2</v>
      </c>
    </row>
    <row r="92" spans="1:24" x14ac:dyDescent="0.2">
      <c r="A92">
        <v>20</v>
      </c>
      <c r="B92">
        <v>131</v>
      </c>
      <c r="C92">
        <v>2</v>
      </c>
      <c r="D92">
        <v>0</v>
      </c>
      <c r="E92">
        <f>SmtRes!AV131</f>
        <v>0</v>
      </c>
      <c r="F92" t="str">
        <f>SmtRes!I131</f>
        <v>22.1-5-18</v>
      </c>
      <c r="G92" t="str">
        <f>SmtRes!K131</f>
        <v>Поливомоечные машины, емкость цистерны более 5000 л</v>
      </c>
      <c r="H92" t="str">
        <f>SmtRes!O131</f>
        <v>маш.-ч</v>
      </c>
      <c r="I92">
        <f>SmtRes!Y131*Source!I152</f>
        <v>8.3673000000000011E-2</v>
      </c>
      <c r="J92">
        <f>SmtRes!AO131</f>
        <v>1</v>
      </c>
      <c r="K92">
        <f>SmtRes!AF131</f>
        <v>2020.59</v>
      </c>
      <c r="L92">
        <f>SmtRes!DB131</f>
        <v>1636.68</v>
      </c>
      <c r="M92">
        <f>ROUND(ROUND(L92*Source!I152, 6)*1, 2)</f>
        <v>169.07</v>
      </c>
      <c r="N92">
        <f>SmtRes!AB131</f>
        <v>2020.59</v>
      </c>
      <c r="O92">
        <f>ROUND(ROUND(L92*Source!I152, 6)*SmtRes!DA131, 2)</f>
        <v>169.07</v>
      </c>
      <c r="P92">
        <f>SmtRes!AG131</f>
        <v>458.56</v>
      </c>
      <c r="Q92">
        <f>SmtRes!DC131</f>
        <v>371.43</v>
      </c>
      <c r="R92">
        <f>ROUND(ROUND(Q92*Source!I152, 6)*1, 2)</f>
        <v>38.369999999999997</v>
      </c>
      <c r="S92">
        <f>SmtRes!AC131</f>
        <v>458.56</v>
      </c>
      <c r="T92">
        <f>ROUND(ROUND(Q92*Source!I152, 6)*SmtRes!AK131, 2)</f>
        <v>38.369999999999997</v>
      </c>
      <c r="U92">
        <f>SmtRes!X131</f>
        <v>2042885981</v>
      </c>
      <c r="V92">
        <v>-76628464</v>
      </c>
      <c r="W92">
        <v>-1269477455</v>
      </c>
      <c r="X92">
        <v>2</v>
      </c>
    </row>
    <row r="93" spans="1:24" x14ac:dyDescent="0.2">
      <c r="A93">
        <v>20</v>
      </c>
      <c r="B93">
        <v>130</v>
      </c>
      <c r="C93">
        <v>2</v>
      </c>
      <c r="D93">
        <v>0</v>
      </c>
      <c r="E93">
        <f>SmtRes!AV130</f>
        <v>0</v>
      </c>
      <c r="F93" t="str">
        <f>SmtRes!I130</f>
        <v>22.1-5-15</v>
      </c>
      <c r="G93" t="str">
        <f>SmtRes!K130</f>
        <v>Катки прицепные пневмоколесные, масса до 50 т</v>
      </c>
      <c r="H93" t="str">
        <f>SmtRes!O130</f>
        <v>маш.-ч</v>
      </c>
      <c r="I93">
        <f>SmtRes!Y130*Source!I152</f>
        <v>0.21486400000000003</v>
      </c>
      <c r="J93">
        <f>SmtRes!AO130</f>
        <v>1</v>
      </c>
      <c r="K93">
        <f>SmtRes!AF130</f>
        <v>430.32</v>
      </c>
      <c r="L93">
        <f>SmtRes!DB130</f>
        <v>895.07</v>
      </c>
      <c r="M93">
        <f>ROUND(ROUND(L93*Source!I152, 6)*1, 2)</f>
        <v>92.46</v>
      </c>
      <c r="N93">
        <f>SmtRes!AB130</f>
        <v>430.32</v>
      </c>
      <c r="O93">
        <f>ROUND(ROUND(L93*Source!I152, 6)*SmtRes!DA130, 2)</f>
        <v>92.46</v>
      </c>
      <c r="P93">
        <f>SmtRes!AG130</f>
        <v>215.31</v>
      </c>
      <c r="Q93">
        <f>SmtRes!DC130</f>
        <v>447.84</v>
      </c>
      <c r="R93">
        <f>ROUND(ROUND(Q93*Source!I152, 6)*1, 2)</f>
        <v>46.26</v>
      </c>
      <c r="S93">
        <f>SmtRes!AC130</f>
        <v>215.31</v>
      </c>
      <c r="T93">
        <f>ROUND(ROUND(Q93*Source!I152, 6)*SmtRes!AK130, 2)</f>
        <v>46.26</v>
      </c>
      <c r="U93">
        <f>SmtRes!X130</f>
        <v>-1512295274</v>
      </c>
      <c r="V93">
        <v>1130639003</v>
      </c>
      <c r="W93">
        <v>-180512758</v>
      </c>
      <c r="X93">
        <v>2</v>
      </c>
    </row>
    <row r="94" spans="1:24" x14ac:dyDescent="0.2">
      <c r="A94">
        <v>20</v>
      </c>
      <c r="B94">
        <v>129</v>
      </c>
      <c r="C94">
        <v>2</v>
      </c>
      <c r="D94">
        <v>0</v>
      </c>
      <c r="E94">
        <f>SmtRes!AV129</f>
        <v>0</v>
      </c>
      <c r="F94" t="str">
        <f>SmtRes!I129</f>
        <v>22.1-2-1</v>
      </c>
      <c r="G94" t="str">
        <f>SmtRes!K129</f>
        <v>Тракторы на гусеничном ходу, мощность до 60 (81) кВт (л.с.)</v>
      </c>
      <c r="H94" t="str">
        <f>SmtRes!O129</f>
        <v>маш.-ч</v>
      </c>
      <c r="I94">
        <f>SmtRes!Y129*Source!I152</f>
        <v>0.21486400000000003</v>
      </c>
      <c r="J94">
        <f>SmtRes!AO129</f>
        <v>1</v>
      </c>
      <c r="K94">
        <f>SmtRes!AF129</f>
        <v>740.94</v>
      </c>
      <c r="L94">
        <f>SmtRes!DB129</f>
        <v>1541.16</v>
      </c>
      <c r="M94">
        <f>ROUND(ROUND(L94*Source!I152, 6)*1, 2)</f>
        <v>159.19999999999999</v>
      </c>
      <c r="N94">
        <f>SmtRes!AB129</f>
        <v>740.94</v>
      </c>
      <c r="O94">
        <f>ROUND(ROUND(L94*Source!I152, 6)*SmtRes!DA129, 2)</f>
        <v>159.19999999999999</v>
      </c>
      <c r="P94">
        <f>SmtRes!AG129</f>
        <v>413.22</v>
      </c>
      <c r="Q94">
        <f>SmtRes!DC129</f>
        <v>859.5</v>
      </c>
      <c r="R94">
        <f>ROUND(ROUND(Q94*Source!I152, 6)*1, 2)</f>
        <v>88.79</v>
      </c>
      <c r="S94">
        <f>SmtRes!AC129</f>
        <v>413.22</v>
      </c>
      <c r="T94">
        <f>ROUND(ROUND(Q94*Source!I152, 6)*SmtRes!AK129, 2)</f>
        <v>88.79</v>
      </c>
      <c r="U94">
        <f>SmtRes!X129</f>
        <v>2108619810</v>
      </c>
      <c r="V94">
        <v>2092061508</v>
      </c>
      <c r="W94">
        <v>-202122669</v>
      </c>
      <c r="X94">
        <v>2</v>
      </c>
    </row>
    <row r="95" spans="1:24" x14ac:dyDescent="0.2">
      <c r="A95">
        <v>20</v>
      </c>
      <c r="B95">
        <v>141</v>
      </c>
      <c r="C95">
        <v>3</v>
      </c>
      <c r="D95">
        <v>0</v>
      </c>
      <c r="E95">
        <f>SmtRes!AV141</f>
        <v>0</v>
      </c>
      <c r="F95" t="str">
        <f>SmtRes!I141</f>
        <v>21.1-25-13</v>
      </c>
      <c r="G95" t="str">
        <f>SmtRes!K141</f>
        <v>Вода</v>
      </c>
      <c r="H95" t="str">
        <f>SmtRes!O141</f>
        <v>м3</v>
      </c>
      <c r="I95">
        <f>SmtRes!Y141*Source!I153</f>
        <v>2.0464000000000002</v>
      </c>
      <c r="J95">
        <f>SmtRes!AO141</f>
        <v>1</v>
      </c>
      <c r="K95">
        <f>SmtRes!AE141</f>
        <v>35.25</v>
      </c>
      <c r="L95">
        <f>SmtRes!DB141</f>
        <v>70.5</v>
      </c>
      <c r="M95">
        <f>ROUND(ROUND(L95*Source!I153, 6)*1, 2)</f>
        <v>72.14</v>
      </c>
      <c r="N95">
        <f>SmtRes!AA141</f>
        <v>35.25</v>
      </c>
      <c r="O95">
        <f>ROUND(ROUND(L95*Source!I153, 6)*SmtRes!DA141, 2)</f>
        <v>72.14</v>
      </c>
      <c r="P95">
        <f>SmtRes!AG141</f>
        <v>0</v>
      </c>
      <c r="Q95">
        <f>SmtRes!DC141</f>
        <v>0</v>
      </c>
      <c r="R95">
        <f>ROUND(ROUND(Q95*Source!I153, 6)*1, 2)</f>
        <v>0</v>
      </c>
      <c r="S95">
        <f>SmtRes!AC141</f>
        <v>0</v>
      </c>
      <c r="T95">
        <f>ROUND(ROUND(Q95*Source!I153, 6)*SmtRes!AK141, 2)</f>
        <v>0</v>
      </c>
      <c r="U95">
        <f>SmtRes!X141</f>
        <v>1927597627</v>
      </c>
      <c r="V95">
        <v>-1829664509</v>
      </c>
      <c r="W95">
        <v>1819467959</v>
      </c>
      <c r="X95">
        <v>3</v>
      </c>
    </row>
    <row r="96" spans="1:24" x14ac:dyDescent="0.2">
      <c r="A96">
        <v>20</v>
      </c>
      <c r="B96">
        <v>138</v>
      </c>
      <c r="C96">
        <v>2</v>
      </c>
      <c r="D96">
        <v>0</v>
      </c>
      <c r="E96">
        <f>SmtRes!AV138</f>
        <v>0</v>
      </c>
      <c r="F96" t="str">
        <f>SmtRes!I138</f>
        <v>22.1-5-2</v>
      </c>
      <c r="G96" t="str">
        <f>SmtRes!K138</f>
        <v>Катки самоходные вибрационные, масса до 8 т</v>
      </c>
      <c r="H96" t="str">
        <f>SmtRes!O138</f>
        <v>маш.-ч</v>
      </c>
      <c r="I96">
        <f>SmtRes!Y138*Source!I153</f>
        <v>1.6575840000000004</v>
      </c>
      <c r="J96">
        <f>SmtRes!AO138</f>
        <v>1</v>
      </c>
      <c r="K96">
        <f>SmtRes!AF138</f>
        <v>1261.8699999999999</v>
      </c>
      <c r="L96">
        <f>SmtRes!DB138</f>
        <v>2044.23</v>
      </c>
      <c r="M96">
        <f>ROUND(ROUND(L96*Source!I153, 6)*1, 2)</f>
        <v>2091.66</v>
      </c>
      <c r="N96">
        <f>SmtRes!AB138</f>
        <v>1261.8699999999999</v>
      </c>
      <c r="O96">
        <f>ROUND(ROUND(L96*Source!I153, 6)*SmtRes!DA138, 2)</f>
        <v>2091.66</v>
      </c>
      <c r="P96">
        <f>SmtRes!AG138</f>
        <v>530.02</v>
      </c>
      <c r="Q96">
        <f>SmtRes!DC138</f>
        <v>858.63</v>
      </c>
      <c r="R96">
        <f>ROUND(ROUND(Q96*Source!I153, 6)*1, 2)</f>
        <v>878.55</v>
      </c>
      <c r="S96">
        <f>SmtRes!AC138</f>
        <v>530.02</v>
      </c>
      <c r="T96">
        <f>ROUND(ROUND(Q96*Source!I153, 6)*SmtRes!AK138, 2)</f>
        <v>878.55</v>
      </c>
      <c r="U96">
        <f>SmtRes!X138</f>
        <v>-1043398787</v>
      </c>
      <c r="V96">
        <v>-791430524</v>
      </c>
      <c r="W96">
        <v>-1074879534</v>
      </c>
      <c r="X96">
        <v>2</v>
      </c>
    </row>
    <row r="97" spans="1:24" x14ac:dyDescent="0.2">
      <c r="A97">
        <v>20</v>
      </c>
      <c r="B97">
        <v>137</v>
      </c>
      <c r="C97">
        <v>2</v>
      </c>
      <c r="D97">
        <v>0</v>
      </c>
      <c r="E97">
        <f>SmtRes!AV137</f>
        <v>0</v>
      </c>
      <c r="F97" t="str">
        <f>SmtRes!I137</f>
        <v>22.1-5-18</v>
      </c>
      <c r="G97" t="str">
        <f>SmtRes!K137</f>
        <v>Поливомоечные машины, емкость цистерны более 5000 л</v>
      </c>
      <c r="H97" t="str">
        <f>SmtRes!O137</f>
        <v>маш.-ч</v>
      </c>
      <c r="I97">
        <f>SmtRes!Y137*Source!I153</f>
        <v>0.603688</v>
      </c>
      <c r="J97">
        <f>SmtRes!AO137</f>
        <v>1</v>
      </c>
      <c r="K97">
        <f>SmtRes!AF137</f>
        <v>2020.59</v>
      </c>
      <c r="L97">
        <f>SmtRes!DB137</f>
        <v>1192.1500000000001</v>
      </c>
      <c r="M97">
        <f>ROUND(ROUND(L97*Source!I153, 6)*1, 2)</f>
        <v>1219.81</v>
      </c>
      <c r="N97">
        <f>SmtRes!AB137</f>
        <v>2020.59</v>
      </c>
      <c r="O97">
        <f>ROUND(ROUND(L97*Source!I153, 6)*SmtRes!DA137, 2)</f>
        <v>1219.81</v>
      </c>
      <c r="P97">
        <f>SmtRes!AG137</f>
        <v>458.56</v>
      </c>
      <c r="Q97">
        <f>SmtRes!DC137</f>
        <v>270.55</v>
      </c>
      <c r="R97">
        <f>ROUND(ROUND(Q97*Source!I153, 6)*1, 2)</f>
        <v>276.83</v>
      </c>
      <c r="S97">
        <f>SmtRes!AC137</f>
        <v>458.56</v>
      </c>
      <c r="T97">
        <f>ROUND(ROUND(Q97*Source!I153, 6)*SmtRes!AK137, 2)</f>
        <v>276.83</v>
      </c>
      <c r="U97">
        <f>SmtRes!X137</f>
        <v>2042885981</v>
      </c>
      <c r="V97">
        <v>-76628464</v>
      </c>
      <c r="W97">
        <v>-1269477455</v>
      </c>
      <c r="X97">
        <v>2</v>
      </c>
    </row>
    <row r="98" spans="1:24" x14ac:dyDescent="0.2">
      <c r="A98">
        <f>Source!A154</f>
        <v>18</v>
      </c>
      <c r="B98">
        <v>154</v>
      </c>
      <c r="C98">
        <v>3</v>
      </c>
      <c r="D98">
        <f>Source!BI154</f>
        <v>4</v>
      </c>
      <c r="E98">
        <f>Source!FS154</f>
        <v>0</v>
      </c>
      <c r="F98" t="str">
        <f>Source!F154</f>
        <v>21.1-12-36</v>
      </c>
      <c r="G98" t="str">
        <f>Source!G154</f>
        <v>Щебень из естественного камня для строительных работ, марка 1200-800, фракция 20-40 мм</v>
      </c>
      <c r="H98" t="str">
        <f>Source!H154</f>
        <v>м3</v>
      </c>
      <c r="I98">
        <f>Source!I154</f>
        <v>17.80368</v>
      </c>
      <c r="J98">
        <v>1</v>
      </c>
      <c r="K98">
        <f>Source!AC154</f>
        <v>1763.75</v>
      </c>
      <c r="M98">
        <f>ROUND(K98*I98, 2)</f>
        <v>31401.24</v>
      </c>
      <c r="N98">
        <f>Source!AC154*IF(Source!BC154&lt;&gt; 0, Source!BC154, 1)</f>
        <v>1763.75</v>
      </c>
      <c r="O98">
        <f>ROUND(N98*I98, 2)</f>
        <v>31401.24</v>
      </c>
      <c r="P98">
        <f>Source!AE154</f>
        <v>0</v>
      </c>
      <c r="R98">
        <f>ROUND(P98*I98, 2)</f>
        <v>0</v>
      </c>
      <c r="S98">
        <f>Source!AE154*IF(Source!BS154&lt;&gt; 0, Source!BS154, 1)</f>
        <v>0</v>
      </c>
      <c r="T98">
        <f>ROUND(S98*I98, 2)</f>
        <v>0</v>
      </c>
      <c r="U98">
        <f>Source!GF154</f>
        <v>-886425656</v>
      </c>
      <c r="V98">
        <v>-671760782</v>
      </c>
      <c r="W98">
        <v>345930550</v>
      </c>
      <c r="X98">
        <v>3</v>
      </c>
    </row>
    <row r="99" spans="1:24" x14ac:dyDescent="0.2">
      <c r="A99">
        <v>20</v>
      </c>
      <c r="B99">
        <v>145</v>
      </c>
      <c r="C99">
        <v>3</v>
      </c>
      <c r="D99">
        <v>0</v>
      </c>
      <c r="E99">
        <f>SmtRes!AV145</f>
        <v>0</v>
      </c>
      <c r="F99" t="str">
        <f>SmtRes!I145</f>
        <v>21.3-3-34</v>
      </c>
      <c r="G99" t="str">
        <f>SmtRes!K145</f>
        <v>Смеси асфальтобетонные дорожные горячие песчаные, тип Д, марка III</v>
      </c>
      <c r="H99" t="str">
        <f>SmtRes!O145</f>
        <v>т</v>
      </c>
      <c r="I99">
        <f>SmtRes!Y145*Source!I156</f>
        <v>7.3056480000000006</v>
      </c>
      <c r="J99">
        <f>SmtRes!AO145</f>
        <v>1</v>
      </c>
      <c r="K99">
        <f>SmtRes!AE145</f>
        <v>2652.04</v>
      </c>
      <c r="L99">
        <f>SmtRes!DB145</f>
        <v>18935.57</v>
      </c>
      <c r="M99">
        <f>ROUND(ROUND(L99*Source!I156, 6)*1, 2)</f>
        <v>19374.88</v>
      </c>
      <c r="N99">
        <f>SmtRes!AA145</f>
        <v>2652.04</v>
      </c>
      <c r="O99">
        <f>ROUND(ROUND(L99*Source!I156, 6)*SmtRes!DA145, 2)</f>
        <v>19374.88</v>
      </c>
      <c r="P99">
        <f>SmtRes!AG145</f>
        <v>0</v>
      </c>
      <c r="Q99">
        <f>SmtRes!DC145</f>
        <v>0</v>
      </c>
      <c r="R99">
        <f>ROUND(ROUND(Q99*Source!I156, 6)*1, 2)</f>
        <v>0</v>
      </c>
      <c r="S99">
        <f>SmtRes!AC145</f>
        <v>0</v>
      </c>
      <c r="T99">
        <f>ROUND(ROUND(Q99*Source!I156, 6)*SmtRes!AK145, 2)</f>
        <v>0</v>
      </c>
      <c r="U99">
        <f>SmtRes!X145</f>
        <v>2062870502</v>
      </c>
      <c r="V99">
        <v>-2134407800</v>
      </c>
      <c r="W99">
        <v>-1328752311</v>
      </c>
      <c r="X99">
        <v>3</v>
      </c>
    </row>
    <row r="100" spans="1:24" x14ac:dyDescent="0.2">
      <c r="A100">
        <v>20</v>
      </c>
      <c r="B100">
        <v>144</v>
      </c>
      <c r="C100">
        <v>3</v>
      </c>
      <c r="D100">
        <v>0</v>
      </c>
      <c r="E100">
        <f>SmtRes!AV144</f>
        <v>0</v>
      </c>
      <c r="F100" t="str">
        <f>SmtRes!I144</f>
        <v>21.1-1-3</v>
      </c>
      <c r="G100" t="str">
        <f>SmtRes!K144</f>
        <v>Битумы нефтяные, дорожные жидкие, марка МГ, СГ</v>
      </c>
      <c r="H100" t="str">
        <f>SmtRes!O144</f>
        <v>т</v>
      </c>
      <c r="I100">
        <f>SmtRes!Y144*Source!I156</f>
        <v>6.1392000000000002E-2</v>
      </c>
      <c r="J100">
        <f>SmtRes!AO144</f>
        <v>1</v>
      </c>
      <c r="K100">
        <f>SmtRes!AE144</f>
        <v>25888.1</v>
      </c>
      <c r="L100">
        <f>SmtRes!DB144</f>
        <v>1553.29</v>
      </c>
      <c r="M100">
        <f>ROUND(ROUND(L100*Source!I156, 6)*1, 2)</f>
        <v>1589.33</v>
      </c>
      <c r="N100">
        <f>SmtRes!AA144</f>
        <v>25888.1</v>
      </c>
      <c r="O100">
        <f>ROUND(ROUND(L100*Source!I156, 6)*SmtRes!DA144, 2)</f>
        <v>1589.33</v>
      </c>
      <c r="P100">
        <f>SmtRes!AG144</f>
        <v>0</v>
      </c>
      <c r="Q100">
        <f>SmtRes!DC144</f>
        <v>0</v>
      </c>
      <c r="R100">
        <f>ROUND(ROUND(Q100*Source!I156, 6)*1, 2)</f>
        <v>0</v>
      </c>
      <c r="S100">
        <f>SmtRes!AC144</f>
        <v>0</v>
      </c>
      <c r="T100">
        <f>ROUND(ROUND(Q100*Source!I156, 6)*SmtRes!AK144, 2)</f>
        <v>0</v>
      </c>
      <c r="U100">
        <f>SmtRes!X144</f>
        <v>-68218516</v>
      </c>
      <c r="V100">
        <v>-1520039527</v>
      </c>
      <c r="W100">
        <v>-3533703</v>
      </c>
      <c r="X100">
        <v>3</v>
      </c>
    </row>
    <row r="101" spans="1:24" x14ac:dyDescent="0.2">
      <c r="A101">
        <v>20</v>
      </c>
      <c r="B101">
        <v>143</v>
      </c>
      <c r="C101">
        <v>2</v>
      </c>
      <c r="D101">
        <v>0</v>
      </c>
      <c r="E101">
        <f>SmtRes!AV143</f>
        <v>0</v>
      </c>
      <c r="F101" t="str">
        <f>SmtRes!I143</f>
        <v>22.1-5-2</v>
      </c>
      <c r="G101" t="str">
        <f>SmtRes!K143</f>
        <v>Катки самоходные вибрационные, масса до 8 т</v>
      </c>
      <c r="H101" t="str">
        <f>SmtRes!O143</f>
        <v>маш.-ч</v>
      </c>
      <c r="I101">
        <f>SmtRes!Y143*Source!I156</f>
        <v>0.91064800000000012</v>
      </c>
      <c r="J101">
        <f>SmtRes!AO143</f>
        <v>1</v>
      </c>
      <c r="K101">
        <f>SmtRes!AF143</f>
        <v>1261.8699999999999</v>
      </c>
      <c r="L101">
        <f>SmtRes!DB143</f>
        <v>1123.06</v>
      </c>
      <c r="M101">
        <f>ROUND(ROUND(L101*Source!I156, 6)*1, 2)</f>
        <v>1149.1099999999999</v>
      </c>
      <c r="N101">
        <f>SmtRes!AB143</f>
        <v>1261.8699999999999</v>
      </c>
      <c r="O101">
        <f>ROUND(ROUND(L101*Source!I156, 6)*SmtRes!DA143, 2)</f>
        <v>1149.1099999999999</v>
      </c>
      <c r="P101">
        <f>SmtRes!AG143</f>
        <v>530.02</v>
      </c>
      <c r="Q101">
        <f>SmtRes!DC143</f>
        <v>471.72</v>
      </c>
      <c r="R101">
        <f>ROUND(ROUND(Q101*Source!I156, 6)*1, 2)</f>
        <v>482.66</v>
      </c>
      <c r="S101">
        <f>SmtRes!AC143</f>
        <v>530.02</v>
      </c>
      <c r="T101">
        <f>ROUND(ROUND(Q101*Source!I156, 6)*SmtRes!AK143, 2)</f>
        <v>482.66</v>
      </c>
      <c r="U101">
        <f>SmtRes!X143</f>
        <v>-1043398787</v>
      </c>
      <c r="V101">
        <v>-791430524</v>
      </c>
      <c r="W101">
        <v>-1074879534</v>
      </c>
      <c r="X101">
        <v>2</v>
      </c>
    </row>
    <row r="102" spans="1:24" x14ac:dyDescent="0.2">
      <c r="A102">
        <v>20</v>
      </c>
      <c r="B102">
        <v>155</v>
      </c>
      <c r="C102">
        <v>3</v>
      </c>
      <c r="D102">
        <v>0</v>
      </c>
      <c r="E102">
        <f>SmtRes!AV155</f>
        <v>0</v>
      </c>
      <c r="F102" t="str">
        <f>SmtRes!I155</f>
        <v>21.1-6-101</v>
      </c>
      <c r="G102" t="str">
        <f>SmtRes!K155</f>
        <v>Пигменты сухие для красок, кислотный желтый</v>
      </c>
      <c r="H102" t="str">
        <f>SmtRes!O155</f>
        <v>т</v>
      </c>
      <c r="I102">
        <f>SmtRes!Y155*Source!I157</f>
        <v>5.3718000000000002E-2</v>
      </c>
      <c r="J102">
        <f>SmtRes!AO155</f>
        <v>1</v>
      </c>
      <c r="K102">
        <f>SmtRes!AE155</f>
        <v>748299.67</v>
      </c>
      <c r="L102">
        <f>SmtRes!DB155</f>
        <v>39285.730000000003</v>
      </c>
      <c r="M102">
        <f>ROUND(ROUND(L102*Source!I157, 6)*1, 2)</f>
        <v>40197.160000000003</v>
      </c>
      <c r="N102">
        <f>SmtRes!AA155</f>
        <v>748299.67</v>
      </c>
      <c r="O102">
        <f>ROUND(ROUND(L102*Source!I157, 6)*SmtRes!DA155, 2)</f>
        <v>40197.160000000003</v>
      </c>
      <c r="P102">
        <f>SmtRes!AG155</f>
        <v>0</v>
      </c>
      <c r="Q102">
        <f>SmtRes!DC155</f>
        <v>0</v>
      </c>
      <c r="R102">
        <f>ROUND(ROUND(Q102*Source!I157, 6)*1, 2)</f>
        <v>0</v>
      </c>
      <c r="S102">
        <f>SmtRes!AC155</f>
        <v>0</v>
      </c>
      <c r="T102">
        <f>ROUND(ROUND(Q102*Source!I157, 6)*SmtRes!AK155, 2)</f>
        <v>0</v>
      </c>
      <c r="U102">
        <f>SmtRes!X155</f>
        <v>-1600259051</v>
      </c>
      <c r="V102">
        <v>-2022093422</v>
      </c>
      <c r="W102">
        <v>1055948583</v>
      </c>
      <c r="X102">
        <v>3</v>
      </c>
    </row>
    <row r="103" spans="1:24" x14ac:dyDescent="0.2">
      <c r="A103">
        <v>20</v>
      </c>
      <c r="B103">
        <v>154</v>
      </c>
      <c r="C103">
        <v>3</v>
      </c>
      <c r="D103">
        <v>0</v>
      </c>
      <c r="E103">
        <f>SmtRes!AV154</f>
        <v>0</v>
      </c>
      <c r="F103" t="str">
        <f>SmtRes!I154</f>
        <v>21.1-25-776</v>
      </c>
      <c r="G103" t="str">
        <f>SmtRes!K154</f>
        <v>Средство связующее универсальное полиуретановое на основе резиновой и каучуковой крошки для устройства высокопрочных эластичных покрытий</v>
      </c>
      <c r="H103" t="str">
        <f>SmtRes!O154</f>
        <v>кг</v>
      </c>
      <c r="I103">
        <f>SmtRes!Y154*Source!I157</f>
        <v>247.10280000000003</v>
      </c>
      <c r="J103">
        <f>SmtRes!AO154</f>
        <v>1</v>
      </c>
      <c r="K103">
        <f>SmtRes!AE154</f>
        <v>202.34</v>
      </c>
      <c r="L103">
        <f>SmtRes!DB154</f>
        <v>48865.11</v>
      </c>
      <c r="M103">
        <f>ROUND(ROUND(L103*Source!I157, 6)*1, 2)</f>
        <v>49998.78</v>
      </c>
      <c r="N103">
        <f>SmtRes!AA154</f>
        <v>202.34</v>
      </c>
      <c r="O103">
        <f>ROUND(ROUND(L103*Source!I157, 6)*SmtRes!DA154, 2)</f>
        <v>49998.78</v>
      </c>
      <c r="P103">
        <f>SmtRes!AG154</f>
        <v>0</v>
      </c>
      <c r="Q103">
        <f>SmtRes!DC154</f>
        <v>0</v>
      </c>
      <c r="R103">
        <f>ROUND(ROUND(Q103*Source!I157, 6)*1, 2)</f>
        <v>0</v>
      </c>
      <c r="S103">
        <f>SmtRes!AC154</f>
        <v>0</v>
      </c>
      <c r="T103">
        <f>ROUND(ROUND(Q103*Source!I157, 6)*SmtRes!AK154, 2)</f>
        <v>0</v>
      </c>
      <c r="U103">
        <f>SmtRes!X154</f>
        <v>-319511878</v>
      </c>
      <c r="V103">
        <v>-233522306</v>
      </c>
      <c r="W103">
        <v>1409483656</v>
      </c>
      <c r="X103">
        <v>3</v>
      </c>
    </row>
    <row r="104" spans="1:24" x14ac:dyDescent="0.2">
      <c r="A104">
        <v>20</v>
      </c>
      <c r="B104">
        <v>153</v>
      </c>
      <c r="C104">
        <v>3</v>
      </c>
      <c r="D104">
        <v>0</v>
      </c>
      <c r="E104">
        <f>SmtRes!AV153</f>
        <v>0</v>
      </c>
      <c r="F104" t="str">
        <f>SmtRes!I153</f>
        <v>21.1-25-769</v>
      </c>
      <c r="G104" t="str">
        <f>SmtRes!K153</f>
        <v>Крошка резиновая гранулированная, фракция 2-3 мм</v>
      </c>
      <c r="H104" t="str">
        <f>SmtRes!O153</f>
        <v>кг</v>
      </c>
      <c r="I104">
        <f>SmtRes!Y153*Source!I157</f>
        <v>752.05200000000013</v>
      </c>
      <c r="J104">
        <f>SmtRes!AO153</f>
        <v>1</v>
      </c>
      <c r="K104">
        <f>SmtRes!AE153</f>
        <v>17.77</v>
      </c>
      <c r="L104">
        <f>SmtRes!DB153</f>
        <v>13060.95</v>
      </c>
      <c r="M104">
        <f>ROUND(ROUND(L104*Source!I157, 6)*1, 2)</f>
        <v>13363.96</v>
      </c>
      <c r="N104">
        <f>SmtRes!AA153</f>
        <v>17.77</v>
      </c>
      <c r="O104">
        <f>ROUND(ROUND(L104*Source!I157, 6)*SmtRes!DA153, 2)</f>
        <v>13363.96</v>
      </c>
      <c r="P104">
        <f>SmtRes!AG153</f>
        <v>0</v>
      </c>
      <c r="Q104">
        <f>SmtRes!DC153</f>
        <v>0</v>
      </c>
      <c r="R104">
        <f>ROUND(ROUND(Q104*Source!I157, 6)*1, 2)</f>
        <v>0</v>
      </c>
      <c r="S104">
        <f>SmtRes!AC153</f>
        <v>0</v>
      </c>
      <c r="T104">
        <f>ROUND(ROUND(Q104*Source!I157, 6)*SmtRes!AK153, 2)</f>
        <v>0</v>
      </c>
      <c r="U104">
        <f>SmtRes!X153</f>
        <v>1696686191</v>
      </c>
      <c r="V104">
        <v>711481079</v>
      </c>
      <c r="W104">
        <v>1650918109</v>
      </c>
      <c r="X104">
        <v>3</v>
      </c>
    </row>
    <row r="105" spans="1:24" x14ac:dyDescent="0.2">
      <c r="A105">
        <v>20</v>
      </c>
      <c r="B105">
        <v>152</v>
      </c>
      <c r="C105">
        <v>3</v>
      </c>
      <c r="D105">
        <v>0</v>
      </c>
      <c r="E105">
        <f>SmtRes!AV152</f>
        <v>0</v>
      </c>
      <c r="F105" t="str">
        <f>SmtRes!I152</f>
        <v>21.1-25-343</v>
      </c>
      <c r="G105" t="str">
        <f>SmtRes!K152</f>
        <v>Скипидар живичный</v>
      </c>
      <c r="H105" t="str">
        <f>SmtRes!O152</f>
        <v>т</v>
      </c>
      <c r="I105">
        <f>SmtRes!Y152*Source!I157</f>
        <v>3.2230800000000006E-3</v>
      </c>
      <c r="J105">
        <f>SmtRes!AO152</f>
        <v>1</v>
      </c>
      <c r="K105">
        <f>SmtRes!AE152</f>
        <v>343020.03</v>
      </c>
      <c r="L105">
        <f>SmtRes!DB152</f>
        <v>1080.51</v>
      </c>
      <c r="M105">
        <f>ROUND(ROUND(L105*Source!I157, 6)*1, 2)</f>
        <v>1105.58</v>
      </c>
      <c r="N105">
        <f>SmtRes!AA152</f>
        <v>343020.03</v>
      </c>
      <c r="O105">
        <f>ROUND(ROUND(L105*Source!I157, 6)*SmtRes!DA152, 2)</f>
        <v>1105.58</v>
      </c>
      <c r="P105">
        <f>SmtRes!AG152</f>
        <v>0</v>
      </c>
      <c r="Q105">
        <f>SmtRes!DC152</f>
        <v>0</v>
      </c>
      <c r="R105">
        <f>ROUND(ROUND(Q105*Source!I157, 6)*1, 2)</f>
        <v>0</v>
      </c>
      <c r="S105">
        <f>SmtRes!AC152</f>
        <v>0</v>
      </c>
      <c r="T105">
        <f>ROUND(ROUND(Q105*Source!I157, 6)*SmtRes!AK152, 2)</f>
        <v>0</v>
      </c>
      <c r="U105">
        <f>SmtRes!X152</f>
        <v>1287476064</v>
      </c>
      <c r="V105">
        <v>-2022015353</v>
      </c>
      <c r="W105">
        <v>-1513198188</v>
      </c>
      <c r="X105">
        <v>3</v>
      </c>
    </row>
    <row r="106" spans="1:24" x14ac:dyDescent="0.2">
      <c r="A106">
        <v>20</v>
      </c>
      <c r="B106">
        <v>151</v>
      </c>
      <c r="C106">
        <v>3</v>
      </c>
      <c r="D106">
        <v>0</v>
      </c>
      <c r="E106">
        <f>SmtRes!AV151</f>
        <v>0</v>
      </c>
      <c r="F106" t="str">
        <f>SmtRes!I151</f>
        <v>21.1-25-255</v>
      </c>
      <c r="G106" t="str">
        <f>SmtRes!K151</f>
        <v>Пленка полиэтиленовая, толщина 0,12 - 0,15 мм</v>
      </c>
      <c r="H106" t="str">
        <f>SmtRes!O151</f>
        <v>м2</v>
      </c>
      <c r="I106">
        <f>SmtRes!Y151*Source!I157</f>
        <v>5.7299199999999999</v>
      </c>
      <c r="J106">
        <f>SmtRes!AO151</f>
        <v>1</v>
      </c>
      <c r="K106">
        <f>SmtRes!AE151</f>
        <v>12.02</v>
      </c>
      <c r="L106">
        <f>SmtRes!DB151</f>
        <v>67.31</v>
      </c>
      <c r="M106">
        <f>ROUND(ROUND(L106*Source!I157, 6)*1, 2)</f>
        <v>68.87</v>
      </c>
      <c r="N106">
        <f>SmtRes!AA151</f>
        <v>12.02</v>
      </c>
      <c r="O106">
        <f>ROUND(ROUND(L106*Source!I157, 6)*SmtRes!DA151, 2)</f>
        <v>68.87</v>
      </c>
      <c r="P106">
        <f>SmtRes!AG151</f>
        <v>0</v>
      </c>
      <c r="Q106">
        <f>SmtRes!DC151</f>
        <v>0</v>
      </c>
      <c r="R106">
        <f>ROUND(ROUND(Q106*Source!I157, 6)*1, 2)</f>
        <v>0</v>
      </c>
      <c r="S106">
        <f>SmtRes!AC151</f>
        <v>0</v>
      </c>
      <c r="T106">
        <f>ROUND(ROUND(Q106*Source!I157, 6)*SmtRes!AK151, 2)</f>
        <v>0</v>
      </c>
      <c r="U106">
        <f>SmtRes!X151</f>
        <v>-1185010663</v>
      </c>
      <c r="V106">
        <v>1068066483</v>
      </c>
      <c r="W106">
        <v>2115870156</v>
      </c>
      <c r="X106">
        <v>3</v>
      </c>
    </row>
    <row r="107" spans="1:24" x14ac:dyDescent="0.2">
      <c r="A107">
        <v>20</v>
      </c>
      <c r="B107">
        <v>150</v>
      </c>
      <c r="C107">
        <v>2</v>
      </c>
      <c r="D107">
        <v>0</v>
      </c>
      <c r="E107">
        <f>SmtRes!AV150</f>
        <v>0</v>
      </c>
      <c r="F107" t="str">
        <f>SmtRes!I150</f>
        <v>22.1-6-68</v>
      </c>
      <c r="G107" t="str">
        <f>SmtRes!K150</f>
        <v>Растворосмесители стационарные, емкость до 250 л</v>
      </c>
      <c r="H107" t="str">
        <f>SmtRes!O150</f>
        <v>маш.-ч</v>
      </c>
      <c r="I107">
        <f>SmtRes!Y150*Source!I157</f>
        <v>2.7012480000000005</v>
      </c>
      <c r="J107">
        <f>SmtRes!AO150</f>
        <v>1</v>
      </c>
      <c r="K107">
        <f>SmtRes!AF150</f>
        <v>454.31</v>
      </c>
      <c r="L107">
        <f>SmtRes!DB150</f>
        <v>1199.3800000000001</v>
      </c>
      <c r="M107">
        <f>ROUND(ROUND(L107*Source!I157, 6)*1, 2)</f>
        <v>1227.21</v>
      </c>
      <c r="N107">
        <f>SmtRes!AB150</f>
        <v>454.31</v>
      </c>
      <c r="O107">
        <f>ROUND(ROUND(L107*Source!I157, 6)*SmtRes!DA150, 2)</f>
        <v>1227.21</v>
      </c>
      <c r="P107">
        <f>SmtRes!AG150</f>
        <v>405.68</v>
      </c>
      <c r="Q107">
        <f>SmtRes!DC150</f>
        <v>1071</v>
      </c>
      <c r="R107">
        <f>ROUND(ROUND(Q107*Source!I157, 6)*1, 2)</f>
        <v>1095.8499999999999</v>
      </c>
      <c r="S107">
        <f>SmtRes!AC150</f>
        <v>405.68</v>
      </c>
      <c r="T107">
        <f>ROUND(ROUND(Q107*Source!I157, 6)*SmtRes!AK150, 2)</f>
        <v>1095.8499999999999</v>
      </c>
      <c r="U107">
        <f>SmtRes!X150</f>
        <v>1110189246</v>
      </c>
      <c r="V107">
        <v>1539087417</v>
      </c>
      <c r="W107">
        <v>-1650330276</v>
      </c>
      <c r="X107">
        <v>2</v>
      </c>
    </row>
    <row r="108" spans="1:24" x14ac:dyDescent="0.2">
      <c r="A108">
        <v>20</v>
      </c>
      <c r="B108">
        <v>149</v>
      </c>
      <c r="C108">
        <v>2</v>
      </c>
      <c r="D108">
        <v>0</v>
      </c>
      <c r="E108">
        <f>SmtRes!AV149</f>
        <v>0</v>
      </c>
      <c r="F108" t="str">
        <f>SmtRes!I149</f>
        <v>22.1-4-8</v>
      </c>
      <c r="G108" t="str">
        <f>SmtRes!K149</f>
        <v>Погрузчики на автомобильном ходу, грузоподъемность до 1 т</v>
      </c>
      <c r="H108" t="str">
        <f>SmtRes!O149</f>
        <v>маш.-ч</v>
      </c>
      <c r="I108">
        <f>SmtRes!Y149*Source!I157</f>
        <v>1.0232000000000002E-2</v>
      </c>
      <c r="J108">
        <f>SmtRes!AO149</f>
        <v>1</v>
      </c>
      <c r="K108">
        <f>SmtRes!AF149</f>
        <v>616.73</v>
      </c>
      <c r="L108">
        <f>SmtRes!DB149</f>
        <v>6.17</v>
      </c>
      <c r="M108">
        <f>ROUND(ROUND(L108*Source!I157, 6)*1, 2)</f>
        <v>6.31</v>
      </c>
      <c r="N108">
        <f>SmtRes!AB149</f>
        <v>616.73</v>
      </c>
      <c r="O108">
        <f>ROUND(ROUND(L108*Source!I157, 6)*SmtRes!DA149, 2)</f>
        <v>6.31</v>
      </c>
      <c r="P108">
        <f>SmtRes!AG149</f>
        <v>511.29</v>
      </c>
      <c r="Q108">
        <f>SmtRes!DC149</f>
        <v>5.1100000000000003</v>
      </c>
      <c r="R108">
        <f>ROUND(ROUND(Q108*Source!I157, 6)*1, 2)</f>
        <v>5.23</v>
      </c>
      <c r="S108">
        <f>SmtRes!AC149</f>
        <v>511.29</v>
      </c>
      <c r="T108">
        <f>ROUND(ROUND(Q108*Source!I157, 6)*SmtRes!AK149, 2)</f>
        <v>5.23</v>
      </c>
      <c r="U108">
        <f>SmtRes!X149</f>
        <v>-2052459773</v>
      </c>
      <c r="V108">
        <v>579726280</v>
      </c>
      <c r="W108">
        <v>1460056643</v>
      </c>
      <c r="X108">
        <v>2</v>
      </c>
    </row>
    <row r="109" spans="1:24" x14ac:dyDescent="0.2">
      <c r="A109">
        <v>20</v>
      </c>
      <c r="B109">
        <v>148</v>
      </c>
      <c r="C109">
        <v>2</v>
      </c>
      <c r="D109">
        <v>0</v>
      </c>
      <c r="E109">
        <f>SmtRes!AV148</f>
        <v>0</v>
      </c>
      <c r="F109" t="str">
        <f>SmtRes!I148</f>
        <v>22.1-30-102</v>
      </c>
      <c r="G109" t="str">
        <f>SmtRes!K148</f>
        <v>Дрели электрические, двухскоростные, мощностью 600 Вт</v>
      </c>
      <c r="H109" t="str">
        <f>SmtRes!O148</f>
        <v>маш.-ч</v>
      </c>
      <c r="I109">
        <f>SmtRes!Y148*Source!I157</f>
        <v>1.207376</v>
      </c>
      <c r="J109">
        <f>SmtRes!AO148</f>
        <v>1</v>
      </c>
      <c r="K109">
        <f>SmtRes!AF148</f>
        <v>7.44</v>
      </c>
      <c r="L109">
        <f>SmtRes!DB148</f>
        <v>8.7799999999999994</v>
      </c>
      <c r="M109">
        <f>ROUND(ROUND(L109*Source!I157, 6)*1, 2)</f>
        <v>8.98</v>
      </c>
      <c r="N109">
        <f>SmtRes!AB148</f>
        <v>7.44</v>
      </c>
      <c r="O109">
        <f>ROUND(ROUND(L109*Source!I157, 6)*SmtRes!DA148, 2)</f>
        <v>8.98</v>
      </c>
      <c r="P109">
        <f>SmtRes!AG148</f>
        <v>0.98</v>
      </c>
      <c r="Q109">
        <f>SmtRes!DC148</f>
        <v>1.1599999999999999</v>
      </c>
      <c r="R109">
        <f>ROUND(ROUND(Q109*Source!I157, 6)*1, 2)</f>
        <v>1.19</v>
      </c>
      <c r="S109">
        <f>SmtRes!AC148</f>
        <v>0.98</v>
      </c>
      <c r="T109">
        <f>ROUND(ROUND(Q109*Source!I157, 6)*SmtRes!AK148, 2)</f>
        <v>1.19</v>
      </c>
      <c r="U109">
        <f>SmtRes!X148</f>
        <v>592514182</v>
      </c>
      <c r="V109">
        <v>807016121</v>
      </c>
      <c r="W109">
        <v>83762966</v>
      </c>
      <c r="X109">
        <v>2</v>
      </c>
    </row>
    <row r="110" spans="1:24" x14ac:dyDescent="0.2">
      <c r="A110">
        <v>20</v>
      </c>
      <c r="B110">
        <v>147</v>
      </c>
      <c r="C110">
        <v>2</v>
      </c>
      <c r="D110">
        <v>0</v>
      </c>
      <c r="E110">
        <f>SmtRes!AV147</f>
        <v>0</v>
      </c>
      <c r="F110" t="str">
        <f>SmtRes!I147</f>
        <v>22.1-17-168</v>
      </c>
      <c r="G110" t="str">
        <f>SmtRes!K147</f>
        <v>Укладчики полимерных покрытий на игровых и спортивных площадках, производительность 10-50 м2/ч</v>
      </c>
      <c r="H110" t="str">
        <f>SmtRes!O147</f>
        <v>маш.-ч</v>
      </c>
      <c r="I110">
        <f>SmtRes!Y147*Source!I157</f>
        <v>2.7012480000000005</v>
      </c>
      <c r="J110">
        <f>SmtRes!AO147</f>
        <v>1</v>
      </c>
      <c r="K110">
        <f>SmtRes!AF147</f>
        <v>531.41</v>
      </c>
      <c r="L110">
        <f>SmtRes!DB147</f>
        <v>1402.92</v>
      </c>
      <c r="M110">
        <f>ROUND(ROUND(L110*Source!I157, 6)*1, 2)</f>
        <v>1435.47</v>
      </c>
      <c r="N110">
        <f>SmtRes!AB147</f>
        <v>531.41</v>
      </c>
      <c r="O110">
        <f>ROUND(ROUND(L110*Source!I157, 6)*SmtRes!DA147, 2)</f>
        <v>1435.47</v>
      </c>
      <c r="P110">
        <f>SmtRes!AG147</f>
        <v>373.56</v>
      </c>
      <c r="Q110">
        <f>SmtRes!DC147</f>
        <v>986.2</v>
      </c>
      <c r="R110">
        <f>ROUND(ROUND(Q110*Source!I157, 6)*1, 2)</f>
        <v>1009.08</v>
      </c>
      <c r="S110">
        <f>SmtRes!AC147</f>
        <v>373.56</v>
      </c>
      <c r="T110">
        <f>ROUND(ROUND(Q110*Source!I157, 6)*SmtRes!AK147, 2)</f>
        <v>1009.08</v>
      </c>
      <c r="U110">
        <f>SmtRes!X147</f>
        <v>72422803</v>
      </c>
      <c r="V110">
        <v>1063291144</v>
      </c>
      <c r="W110">
        <v>904665643</v>
      </c>
      <c r="X110">
        <v>2</v>
      </c>
    </row>
    <row r="111" spans="1:24" x14ac:dyDescent="0.2">
      <c r="A111">
        <v>20</v>
      </c>
      <c r="B111">
        <v>161</v>
      </c>
      <c r="C111">
        <v>3</v>
      </c>
      <c r="D111">
        <v>0</v>
      </c>
      <c r="E111">
        <f>SmtRes!AV161</f>
        <v>0</v>
      </c>
      <c r="F111" t="str">
        <f>SmtRes!I161</f>
        <v>21.1-6-101</v>
      </c>
      <c r="G111" t="str">
        <f>SmtRes!K161</f>
        <v>Пигменты сухие для красок, кислотный желтый</v>
      </c>
      <c r="H111" t="str">
        <f>SmtRes!O161</f>
        <v>т</v>
      </c>
      <c r="I111">
        <f>SmtRes!Y161*Source!I158</f>
        <v>1.0743600000000002E-2</v>
      </c>
      <c r="J111">
        <f>SmtRes!AO161</f>
        <v>1</v>
      </c>
      <c r="K111">
        <f>SmtRes!AE161</f>
        <v>748299.67</v>
      </c>
      <c r="L111">
        <f>SmtRes!DB161</f>
        <v>7857.15</v>
      </c>
      <c r="M111">
        <f>ROUND(ROUND(L111*Source!I158, 6)*1, 2)</f>
        <v>8039.44</v>
      </c>
      <c r="N111">
        <f>SmtRes!AA161</f>
        <v>748299.67</v>
      </c>
      <c r="O111">
        <f>ROUND(ROUND(L111*Source!I158, 6)*SmtRes!DA161, 2)</f>
        <v>8039.44</v>
      </c>
      <c r="P111">
        <f>SmtRes!AG161</f>
        <v>0</v>
      </c>
      <c r="Q111">
        <f>SmtRes!DC161</f>
        <v>0</v>
      </c>
      <c r="R111">
        <f>ROUND(ROUND(Q111*Source!I158, 6)*1, 2)</f>
        <v>0</v>
      </c>
      <c r="S111">
        <f>SmtRes!AC161</f>
        <v>0</v>
      </c>
      <c r="T111">
        <f>ROUND(ROUND(Q111*Source!I158, 6)*SmtRes!AK161, 2)</f>
        <v>0</v>
      </c>
      <c r="U111">
        <f>SmtRes!X161</f>
        <v>-1600259051</v>
      </c>
      <c r="V111">
        <v>-2022093422</v>
      </c>
      <c r="W111">
        <v>1055948583</v>
      </c>
      <c r="X111">
        <v>3</v>
      </c>
    </row>
    <row r="112" spans="1:24" x14ac:dyDescent="0.2">
      <c r="A112">
        <v>20</v>
      </c>
      <c r="B112">
        <v>160</v>
      </c>
      <c r="C112">
        <v>3</v>
      </c>
      <c r="D112">
        <v>0</v>
      </c>
      <c r="E112">
        <f>SmtRes!AV160</f>
        <v>0</v>
      </c>
      <c r="F112" t="str">
        <f>SmtRes!I160</f>
        <v>21.1-25-776</v>
      </c>
      <c r="G112" t="str">
        <f>SmtRes!K160</f>
        <v>Средство связующее универсальное полиуретановое на основе резиновой и каучуковой крошки для устройства высокопрочных эластичных покрытий</v>
      </c>
      <c r="H112" t="str">
        <f>SmtRes!O160</f>
        <v>кг</v>
      </c>
      <c r="I112">
        <f>SmtRes!Y160*Source!I158</f>
        <v>42.974400000000003</v>
      </c>
      <c r="J112">
        <f>SmtRes!AO160</f>
        <v>1</v>
      </c>
      <c r="K112">
        <f>SmtRes!AE160</f>
        <v>202.34</v>
      </c>
      <c r="L112">
        <f>SmtRes!DB160</f>
        <v>8498.2800000000007</v>
      </c>
      <c r="M112">
        <f>ROUND(ROUND(L112*Source!I158, 6)*1, 2)</f>
        <v>8695.44</v>
      </c>
      <c r="N112">
        <f>SmtRes!AA160</f>
        <v>202.34</v>
      </c>
      <c r="O112">
        <f>ROUND(ROUND(L112*Source!I158, 6)*SmtRes!DA160, 2)</f>
        <v>8695.44</v>
      </c>
      <c r="P112">
        <f>SmtRes!AG160</f>
        <v>0</v>
      </c>
      <c r="Q112">
        <f>SmtRes!DC160</f>
        <v>0</v>
      </c>
      <c r="R112">
        <f>ROUND(ROUND(Q112*Source!I158, 6)*1, 2)</f>
        <v>0</v>
      </c>
      <c r="S112">
        <f>SmtRes!AC160</f>
        <v>0</v>
      </c>
      <c r="T112">
        <f>ROUND(ROUND(Q112*Source!I158, 6)*SmtRes!AK160, 2)</f>
        <v>0</v>
      </c>
      <c r="U112">
        <f>SmtRes!X160</f>
        <v>-319511878</v>
      </c>
      <c r="V112">
        <v>-233522306</v>
      </c>
      <c r="W112">
        <v>1409483656</v>
      </c>
      <c r="X112">
        <v>3</v>
      </c>
    </row>
    <row r="113" spans="1:24" x14ac:dyDescent="0.2">
      <c r="A113">
        <v>20</v>
      </c>
      <c r="B113">
        <v>159</v>
      </c>
      <c r="C113">
        <v>3</v>
      </c>
      <c r="D113">
        <v>0</v>
      </c>
      <c r="E113">
        <f>SmtRes!AV159</f>
        <v>0</v>
      </c>
      <c r="F113" t="str">
        <f>SmtRes!I159</f>
        <v>21.1-25-769</v>
      </c>
      <c r="G113" t="str">
        <f>SmtRes!K159</f>
        <v>Крошка резиновая гранулированная, фракция 2-3 мм</v>
      </c>
      <c r="H113" t="str">
        <f>SmtRes!O159</f>
        <v>кг</v>
      </c>
      <c r="I113">
        <f>SmtRes!Y159*Source!I158</f>
        <v>150.41040000000001</v>
      </c>
      <c r="J113">
        <f>SmtRes!AO159</f>
        <v>1</v>
      </c>
      <c r="K113">
        <f>SmtRes!AE159</f>
        <v>17.77</v>
      </c>
      <c r="L113">
        <f>SmtRes!DB159</f>
        <v>2612.19</v>
      </c>
      <c r="M113">
        <f>ROUND(ROUND(L113*Source!I158, 6)*1, 2)</f>
        <v>2672.79</v>
      </c>
      <c r="N113">
        <f>SmtRes!AA159</f>
        <v>17.77</v>
      </c>
      <c r="O113">
        <f>ROUND(ROUND(L113*Source!I158, 6)*SmtRes!DA159, 2)</f>
        <v>2672.79</v>
      </c>
      <c r="P113">
        <f>SmtRes!AG159</f>
        <v>0</v>
      </c>
      <c r="Q113">
        <f>SmtRes!DC159</f>
        <v>0</v>
      </c>
      <c r="R113">
        <f>ROUND(ROUND(Q113*Source!I158, 6)*1, 2)</f>
        <v>0</v>
      </c>
      <c r="S113">
        <f>SmtRes!AC159</f>
        <v>0</v>
      </c>
      <c r="T113">
        <f>ROUND(ROUND(Q113*Source!I158, 6)*SmtRes!AK159, 2)</f>
        <v>0</v>
      </c>
      <c r="U113">
        <f>SmtRes!X159</f>
        <v>1696686191</v>
      </c>
      <c r="V113">
        <v>711481079</v>
      </c>
      <c r="W113">
        <v>1650918109</v>
      </c>
      <c r="X113">
        <v>3</v>
      </c>
    </row>
    <row r="114" spans="1:24" x14ac:dyDescent="0.2">
      <c r="A114">
        <v>20</v>
      </c>
      <c r="B114">
        <v>158</v>
      </c>
      <c r="C114">
        <v>2</v>
      </c>
      <c r="D114">
        <v>0</v>
      </c>
      <c r="E114">
        <f>SmtRes!AV158</f>
        <v>0</v>
      </c>
      <c r="F114" t="str">
        <f>SmtRes!I158</f>
        <v>22.1-6-68</v>
      </c>
      <c r="G114" t="str">
        <f>SmtRes!K158</f>
        <v>Растворосмесители стационарные, емкость до 250 л</v>
      </c>
      <c r="H114" t="str">
        <f>SmtRes!O158</f>
        <v>маш.-ч</v>
      </c>
      <c r="I114">
        <f>SmtRes!Y158*Source!I158</f>
        <v>0.51160000000000005</v>
      </c>
      <c r="J114">
        <f>SmtRes!AO158</f>
        <v>1</v>
      </c>
      <c r="K114">
        <f>SmtRes!AF158</f>
        <v>454.31</v>
      </c>
      <c r="L114">
        <f>SmtRes!DB158</f>
        <v>227.16</v>
      </c>
      <c r="M114">
        <f>ROUND(ROUND(L114*Source!I158, 6)*1, 2)</f>
        <v>232.43</v>
      </c>
      <c r="N114">
        <f>SmtRes!AB158</f>
        <v>454.31</v>
      </c>
      <c r="O114">
        <f>ROUND(ROUND(L114*Source!I158, 6)*SmtRes!DA158, 2)</f>
        <v>232.43</v>
      </c>
      <c r="P114">
        <f>SmtRes!AG158</f>
        <v>405.68</v>
      </c>
      <c r="Q114">
        <f>SmtRes!DC158</f>
        <v>202.84</v>
      </c>
      <c r="R114">
        <f>ROUND(ROUND(Q114*Source!I158, 6)*1, 2)</f>
        <v>207.55</v>
      </c>
      <c r="S114">
        <f>SmtRes!AC158</f>
        <v>405.68</v>
      </c>
      <c r="T114">
        <f>ROUND(ROUND(Q114*Source!I158, 6)*SmtRes!AK158, 2)</f>
        <v>207.55</v>
      </c>
      <c r="U114">
        <f>SmtRes!X158</f>
        <v>1110189246</v>
      </c>
      <c r="V114">
        <v>1539087417</v>
      </c>
      <c r="W114">
        <v>-1650330276</v>
      </c>
      <c r="X114">
        <v>2</v>
      </c>
    </row>
    <row r="115" spans="1:24" x14ac:dyDescent="0.2">
      <c r="A115">
        <v>20</v>
      </c>
      <c r="B115">
        <v>157</v>
      </c>
      <c r="C115">
        <v>2</v>
      </c>
      <c r="D115">
        <v>0</v>
      </c>
      <c r="E115">
        <f>SmtRes!AV157</f>
        <v>0</v>
      </c>
      <c r="F115" t="str">
        <f>SmtRes!I157</f>
        <v>22.1-17-168</v>
      </c>
      <c r="G115" t="str">
        <f>SmtRes!K157</f>
        <v>Укладчики полимерных покрытий на игровых и спортивных площадках, производительность 10-50 м2/ч</v>
      </c>
      <c r="H115" t="str">
        <f>SmtRes!O157</f>
        <v>маш.-ч</v>
      </c>
      <c r="I115">
        <f>SmtRes!Y157*Source!I158</f>
        <v>0.51160000000000005</v>
      </c>
      <c r="J115">
        <f>SmtRes!AO157</f>
        <v>1</v>
      </c>
      <c r="K115">
        <f>SmtRes!AF157</f>
        <v>531.41</v>
      </c>
      <c r="L115">
        <f>SmtRes!DB157</f>
        <v>265.70999999999998</v>
      </c>
      <c r="M115">
        <f>ROUND(ROUND(L115*Source!I158, 6)*1, 2)</f>
        <v>271.87</v>
      </c>
      <c r="N115">
        <f>SmtRes!AB157</f>
        <v>531.41</v>
      </c>
      <c r="O115">
        <f>ROUND(ROUND(L115*Source!I158, 6)*SmtRes!DA157, 2)</f>
        <v>271.87</v>
      </c>
      <c r="P115">
        <f>SmtRes!AG157</f>
        <v>373.56</v>
      </c>
      <c r="Q115">
        <f>SmtRes!DC157</f>
        <v>186.78</v>
      </c>
      <c r="R115">
        <f>ROUND(ROUND(Q115*Source!I158, 6)*1, 2)</f>
        <v>191.11</v>
      </c>
      <c r="S115">
        <f>SmtRes!AC157</f>
        <v>373.56</v>
      </c>
      <c r="T115">
        <f>ROUND(ROUND(Q115*Source!I158, 6)*SmtRes!AK157, 2)</f>
        <v>191.11</v>
      </c>
      <c r="U115">
        <f>SmtRes!X157</f>
        <v>72422803</v>
      </c>
      <c r="V115">
        <v>1063291144</v>
      </c>
      <c r="W115">
        <v>904665643</v>
      </c>
      <c r="X115">
        <v>2</v>
      </c>
    </row>
    <row r="116" spans="1:24" x14ac:dyDescent="0.2">
      <c r="A116">
        <v>20</v>
      </c>
      <c r="B116">
        <v>175</v>
      </c>
      <c r="C116">
        <v>3</v>
      </c>
      <c r="D116">
        <v>0</v>
      </c>
      <c r="E116">
        <f>SmtRes!AV175</f>
        <v>0</v>
      </c>
      <c r="F116" t="str">
        <f>SmtRes!I175</f>
        <v>21.5-3-9</v>
      </c>
      <c r="G116" t="str">
        <f>SmtRes!K175</f>
        <v>Камни бетонные бортовые газонные, марка 2ГБ 60.8.20, цвет серый</v>
      </c>
      <c r="H116" t="str">
        <f>SmtRes!O175</f>
        <v>м3</v>
      </c>
      <c r="I116">
        <f>SmtRes!Y175*Source!I161</f>
        <v>0.69152000000000002</v>
      </c>
      <c r="J116">
        <f>SmtRes!AO175</f>
        <v>1</v>
      </c>
      <c r="K116">
        <f>SmtRes!AE175</f>
        <v>11566.57</v>
      </c>
      <c r="L116">
        <f>SmtRes!DB175</f>
        <v>18506.509999999998</v>
      </c>
      <c r="M116">
        <f>ROUND(ROUND(L116*Source!I161, 6)*1, 2)</f>
        <v>7998.51</v>
      </c>
      <c r="N116">
        <f>SmtRes!AA175</f>
        <v>11566.57</v>
      </c>
      <c r="O116">
        <f>ROUND(ROUND(L116*Source!I161, 6)*SmtRes!DA175, 2)</f>
        <v>7998.51</v>
      </c>
      <c r="P116">
        <f>SmtRes!AG175</f>
        <v>0</v>
      </c>
      <c r="Q116">
        <f>SmtRes!DC175</f>
        <v>0</v>
      </c>
      <c r="R116">
        <f>ROUND(ROUND(Q116*Source!I161, 6)*1, 2)</f>
        <v>0</v>
      </c>
      <c r="S116">
        <f>SmtRes!AC175</f>
        <v>0</v>
      </c>
      <c r="T116">
        <f>ROUND(ROUND(Q116*Source!I161, 6)*SmtRes!AK175, 2)</f>
        <v>0</v>
      </c>
      <c r="U116">
        <f>SmtRes!X175</f>
        <v>892889602</v>
      </c>
      <c r="V116">
        <v>2056656452</v>
      </c>
      <c r="W116">
        <v>-418158513</v>
      </c>
      <c r="X116">
        <v>3</v>
      </c>
    </row>
    <row r="117" spans="1:24" x14ac:dyDescent="0.2">
      <c r="A117">
        <v>20</v>
      </c>
      <c r="B117">
        <v>174</v>
      </c>
      <c r="C117">
        <v>3</v>
      </c>
      <c r="D117">
        <v>0</v>
      </c>
      <c r="E117">
        <f>SmtRes!AV174</f>
        <v>0</v>
      </c>
      <c r="F117" t="str">
        <f>SmtRes!I174</f>
        <v>21.3-2-15</v>
      </c>
      <c r="G117" t="str">
        <f>SmtRes!K174</f>
        <v>Растворы цементные, марка 100</v>
      </c>
      <c r="H117" t="str">
        <f>SmtRes!O174</f>
        <v>м3</v>
      </c>
      <c r="I117">
        <f>SmtRes!Y174*Source!I161</f>
        <v>8.6439999999999989E-3</v>
      </c>
      <c r="J117">
        <f>SmtRes!AO174</f>
        <v>1</v>
      </c>
      <c r="K117">
        <f>SmtRes!AE174</f>
        <v>3392.59</v>
      </c>
      <c r="L117">
        <f>SmtRes!DB174</f>
        <v>67.849999999999994</v>
      </c>
      <c r="M117">
        <f>ROUND(ROUND(L117*Source!I161, 6)*1, 2)</f>
        <v>29.32</v>
      </c>
      <c r="N117">
        <f>SmtRes!AA174</f>
        <v>3392.59</v>
      </c>
      <c r="O117">
        <f>ROUND(ROUND(L117*Source!I161, 6)*SmtRes!DA174, 2)</f>
        <v>29.32</v>
      </c>
      <c r="P117">
        <f>SmtRes!AG174</f>
        <v>0</v>
      </c>
      <c r="Q117">
        <f>SmtRes!DC174</f>
        <v>0</v>
      </c>
      <c r="R117">
        <f>ROUND(ROUND(Q117*Source!I161, 6)*1, 2)</f>
        <v>0</v>
      </c>
      <c r="S117">
        <f>SmtRes!AC174</f>
        <v>0</v>
      </c>
      <c r="T117">
        <f>ROUND(ROUND(Q117*Source!I161, 6)*SmtRes!AK174, 2)</f>
        <v>0</v>
      </c>
      <c r="U117">
        <f>SmtRes!X174</f>
        <v>853860812</v>
      </c>
      <c r="V117">
        <v>1081577658</v>
      </c>
      <c r="W117">
        <v>761304375</v>
      </c>
      <c r="X117">
        <v>3</v>
      </c>
    </row>
    <row r="118" spans="1:24" x14ac:dyDescent="0.2">
      <c r="A118">
        <v>20</v>
      </c>
      <c r="B118">
        <v>173</v>
      </c>
      <c r="C118">
        <v>3</v>
      </c>
      <c r="D118">
        <v>0</v>
      </c>
      <c r="E118">
        <f>SmtRes!AV173</f>
        <v>0</v>
      </c>
      <c r="F118" t="str">
        <f>SmtRes!I173</f>
        <v>21.3-1-69</v>
      </c>
      <c r="G118" t="str">
        <f>SmtRes!K173</f>
        <v>Смеси бетонные, БСГ, тяжелого бетона на гранитном щебне, класс прочности: В15 (М200); П3, фракция 5-20, F50-100, W0-2</v>
      </c>
      <c r="H118" t="str">
        <f>SmtRes!O173</f>
        <v>м3</v>
      </c>
      <c r="I118">
        <f>SmtRes!Y173*Source!I161</f>
        <v>1.8584599999999998</v>
      </c>
      <c r="J118">
        <f>SmtRes!AO173</f>
        <v>1</v>
      </c>
      <c r="K118">
        <f>SmtRes!AE173</f>
        <v>3714.73</v>
      </c>
      <c r="L118">
        <f>SmtRes!DB173</f>
        <v>15973.34</v>
      </c>
      <c r="M118">
        <f>ROUND(ROUND(L118*Source!I161, 6)*1, 2)</f>
        <v>6903.68</v>
      </c>
      <c r="N118">
        <f>SmtRes!AA173</f>
        <v>3714.73</v>
      </c>
      <c r="O118">
        <f>ROUND(ROUND(L118*Source!I161, 6)*SmtRes!DA173, 2)</f>
        <v>6903.68</v>
      </c>
      <c r="P118">
        <f>SmtRes!AG173</f>
        <v>0</v>
      </c>
      <c r="Q118">
        <f>SmtRes!DC173</f>
        <v>0</v>
      </c>
      <c r="R118">
        <f>ROUND(ROUND(Q118*Source!I161, 6)*1, 2)</f>
        <v>0</v>
      </c>
      <c r="S118">
        <f>SmtRes!AC173</f>
        <v>0</v>
      </c>
      <c r="T118">
        <f>ROUND(ROUND(Q118*Source!I161, 6)*SmtRes!AK173, 2)</f>
        <v>0</v>
      </c>
      <c r="U118">
        <f>SmtRes!X173</f>
        <v>426331755</v>
      </c>
      <c r="V118">
        <v>-1437152771</v>
      </c>
      <c r="W118">
        <v>-1406457179</v>
      </c>
      <c r="X118">
        <v>3</v>
      </c>
    </row>
    <row r="119" spans="1:24" x14ac:dyDescent="0.2">
      <c r="A119">
        <v>20</v>
      </c>
      <c r="B119">
        <v>172</v>
      </c>
      <c r="C119">
        <v>2</v>
      </c>
      <c r="D119">
        <v>0</v>
      </c>
      <c r="E119">
        <f>SmtRes!AV172</f>
        <v>0</v>
      </c>
      <c r="F119" t="str">
        <f>SmtRes!I172</f>
        <v>22.1-4-12</v>
      </c>
      <c r="G119" t="str">
        <f>SmtRes!K172</f>
        <v>Погрузчики на автомобильном ходу, грузоподъемность до 5 т</v>
      </c>
      <c r="H119" t="str">
        <f>SmtRes!O172</f>
        <v>маш.-ч</v>
      </c>
      <c r="I119">
        <f>SmtRes!Y172*Source!I161</f>
        <v>0.112372</v>
      </c>
      <c r="J119">
        <f>SmtRes!AO172</f>
        <v>1</v>
      </c>
      <c r="K119">
        <f>SmtRes!AF172</f>
        <v>683.9</v>
      </c>
      <c r="L119">
        <f>SmtRes!DB172</f>
        <v>177.81</v>
      </c>
      <c r="M119">
        <f>ROUND(ROUND(L119*Source!I161, 6)*1, 2)</f>
        <v>76.849999999999994</v>
      </c>
      <c r="N119">
        <f>SmtRes!AB172</f>
        <v>683.9</v>
      </c>
      <c r="O119">
        <f>ROUND(ROUND(L119*Source!I161, 6)*SmtRes!DA172, 2)</f>
        <v>76.849999999999994</v>
      </c>
      <c r="P119">
        <f>SmtRes!AG172</f>
        <v>371.27</v>
      </c>
      <c r="Q119">
        <f>SmtRes!DC172</f>
        <v>96.53</v>
      </c>
      <c r="R119">
        <f>ROUND(ROUND(Q119*Source!I161, 6)*1, 2)</f>
        <v>41.72</v>
      </c>
      <c r="S119">
        <f>SmtRes!AC172</f>
        <v>371.27</v>
      </c>
      <c r="T119">
        <f>ROUND(ROUND(Q119*Source!I161, 6)*SmtRes!AK172, 2)</f>
        <v>41.72</v>
      </c>
      <c r="U119">
        <f>SmtRes!X172</f>
        <v>-1323805330</v>
      </c>
      <c r="V119">
        <v>1986574417</v>
      </c>
      <c r="W119">
        <v>-926712809</v>
      </c>
      <c r="X119">
        <v>2</v>
      </c>
    </row>
    <row r="120" spans="1:24" x14ac:dyDescent="0.2">
      <c r="A120">
        <v>20</v>
      </c>
      <c r="B120">
        <v>183</v>
      </c>
      <c r="C120">
        <v>3</v>
      </c>
      <c r="D120">
        <v>0</v>
      </c>
      <c r="E120">
        <f>SmtRes!AV183</f>
        <v>0</v>
      </c>
      <c r="F120" t="str">
        <f>SmtRes!I183</f>
        <v>21.3-2-12</v>
      </c>
      <c r="G120" t="str">
        <f>SmtRes!K183</f>
        <v>Растворы цементные, марка 25</v>
      </c>
      <c r="H120" t="str">
        <f>SmtRes!O183</f>
        <v>м3</v>
      </c>
      <c r="I120">
        <f>SmtRes!Y183*Source!I162</f>
        <v>4.4999999999999999E-4</v>
      </c>
      <c r="J120">
        <f>SmtRes!AO183</f>
        <v>1</v>
      </c>
      <c r="K120">
        <f>SmtRes!AE183</f>
        <v>3323.4</v>
      </c>
      <c r="L120">
        <f>SmtRes!DB183</f>
        <v>49.85</v>
      </c>
      <c r="M120">
        <f>ROUND(ROUND(L120*Source!I162, 6)*1, 2)</f>
        <v>1.5</v>
      </c>
      <c r="N120">
        <f>SmtRes!AA183</f>
        <v>3323.4</v>
      </c>
      <c r="O120">
        <f>ROUND(ROUND(L120*Source!I162, 6)*SmtRes!DA183, 2)</f>
        <v>1.5</v>
      </c>
      <c r="P120">
        <f>SmtRes!AG183</f>
        <v>0</v>
      </c>
      <c r="Q120">
        <f>SmtRes!DC183</f>
        <v>0</v>
      </c>
      <c r="R120">
        <f>ROUND(ROUND(Q120*Source!I162, 6)*1, 2)</f>
        <v>0</v>
      </c>
      <c r="S120">
        <f>SmtRes!AC183</f>
        <v>0</v>
      </c>
      <c r="T120">
        <f>ROUND(ROUND(Q120*Source!I162, 6)*SmtRes!AK183, 2)</f>
        <v>0</v>
      </c>
      <c r="U120">
        <f>SmtRes!X183</f>
        <v>416525707</v>
      </c>
      <c r="V120">
        <v>-1256474786</v>
      </c>
      <c r="W120">
        <v>809277097</v>
      </c>
      <c r="X120">
        <v>3</v>
      </c>
    </row>
    <row r="121" spans="1:24" x14ac:dyDescent="0.2">
      <c r="A121">
        <f>Source!A169</f>
        <v>18</v>
      </c>
      <c r="B121">
        <v>169</v>
      </c>
      <c r="C121">
        <v>3</v>
      </c>
      <c r="D121">
        <f>Source!BI169</f>
        <v>4</v>
      </c>
      <c r="E121">
        <f>Source!FS169</f>
        <v>0</v>
      </c>
      <c r="F121" t="str">
        <f>Source!F169</f>
        <v>по цене поставщика</v>
      </c>
      <c r="G121" t="str">
        <f>Source!G169</f>
        <v>МАФ: Песочница с крышкой "Малыш" (РЕ-45) для детских садов и ДОУ 2000х1500х580  Ссылка: https://goroddd.ru/pesoch/pesochnitca-s-kryshkoy-malysh-dlya-detskikh-sadov-i-dou</v>
      </c>
      <c r="H121" t="str">
        <f>Source!H169</f>
        <v>шт.</v>
      </c>
      <c r="I121">
        <f>Source!I169</f>
        <v>1</v>
      </c>
      <c r="J121">
        <v>1</v>
      </c>
      <c r="K121">
        <f>Source!AC169</f>
        <v>17250</v>
      </c>
      <c r="M121">
        <f>ROUND(K121*I121, 2)</f>
        <v>17250</v>
      </c>
      <c r="N121">
        <f>Source!AC169*IF(Source!BC169&lt;&gt; 0, Source!BC169, 1)</f>
        <v>17250</v>
      </c>
      <c r="O121">
        <f>ROUND(N121*I121, 2)</f>
        <v>17250</v>
      </c>
      <c r="P121">
        <f>Source!AE169</f>
        <v>0</v>
      </c>
      <c r="R121">
        <f>ROUND(P121*I121, 2)</f>
        <v>0</v>
      </c>
      <c r="S121">
        <f>Source!AE169*IF(Source!BS169&lt;&gt; 0, Source!BS169, 1)</f>
        <v>0</v>
      </c>
      <c r="T121">
        <f>ROUND(S121*I121, 2)</f>
        <v>0</v>
      </c>
      <c r="U121">
        <f>Source!GF169</f>
        <v>-292158938</v>
      </c>
      <c r="V121">
        <v>-1695686249</v>
      </c>
      <c r="W121">
        <v>1338406588</v>
      </c>
      <c r="X121">
        <v>3</v>
      </c>
    </row>
    <row r="122" spans="1:24" x14ac:dyDescent="0.2">
      <c r="A122">
        <f>Source!A170</f>
        <v>18</v>
      </c>
      <c r="B122">
        <v>170</v>
      </c>
      <c r="C122">
        <v>3</v>
      </c>
      <c r="D122">
        <f>Source!BI170</f>
        <v>4</v>
      </c>
      <c r="E122">
        <f>Source!FS170</f>
        <v>0</v>
      </c>
      <c r="F122" t="str">
        <f>Source!F170</f>
        <v>по цене поставщика</v>
      </c>
      <c r="G122" t="str">
        <f>Source!G170</f>
        <v>Игровой макет кораблик для детских площадок "Чунга-Чанга" 2880х1100х2100  https://goroddd.ru/makety-i-elementy/ulichnyy-igrovoy-maket-dlya-detey-chunga-changa-imn-88-2880kh110</v>
      </c>
      <c r="H122" t="str">
        <f>Source!H170</f>
        <v>шт.</v>
      </c>
      <c r="I122">
        <f>Source!I170</f>
        <v>1</v>
      </c>
      <c r="J122">
        <v>1</v>
      </c>
      <c r="K122">
        <f>Source!AC170</f>
        <v>40166.67</v>
      </c>
      <c r="M122">
        <f>ROUND(K122*I122, 2)</f>
        <v>40166.67</v>
      </c>
      <c r="N122">
        <f>Source!AC170*IF(Source!BC170&lt;&gt; 0, Source!BC170, 1)</f>
        <v>40166.67</v>
      </c>
      <c r="O122">
        <f>ROUND(N122*I122, 2)</f>
        <v>40166.67</v>
      </c>
      <c r="P122">
        <f>Source!AE170</f>
        <v>0</v>
      </c>
      <c r="R122">
        <f>ROUND(P122*I122, 2)</f>
        <v>0</v>
      </c>
      <c r="S122">
        <f>Source!AE170*IF(Source!BS170&lt;&gt; 0, Source!BS170, 1)</f>
        <v>0</v>
      </c>
      <c r="T122">
        <f>ROUND(S122*I122, 2)</f>
        <v>0</v>
      </c>
      <c r="U122">
        <f>Source!GF170</f>
        <v>954585822</v>
      </c>
      <c r="V122">
        <v>-2146178687</v>
      </c>
      <c r="W122">
        <v>-520045571</v>
      </c>
      <c r="X122">
        <v>3</v>
      </c>
    </row>
    <row r="123" spans="1:24" x14ac:dyDescent="0.2">
      <c r="A123">
        <f>Source!A171</f>
        <v>18</v>
      </c>
      <c r="B123">
        <v>171</v>
      </c>
      <c r="C123">
        <v>3</v>
      </c>
      <c r="D123">
        <f>Source!BI171</f>
        <v>4</v>
      </c>
      <c r="E123">
        <f>Source!FS171</f>
        <v>0</v>
      </c>
      <c r="F123" t="str">
        <f>Source!F171</f>
        <v>по цене поставщика</v>
      </c>
      <c r="G123" t="str">
        <f>Source!G171</f>
        <v>Лавочка двухсторонняя для детских садов "Курица-наседка" (СПН-88) 1200х650х780 http://mes.mosedu.ru/</v>
      </c>
      <c r="H123" t="str">
        <f>Source!H171</f>
        <v>шт.</v>
      </c>
      <c r="I123">
        <f>Source!I171</f>
        <v>1</v>
      </c>
      <c r="J123">
        <v>1</v>
      </c>
      <c r="K123">
        <f>Source!AC171</f>
        <v>12391.67</v>
      </c>
      <c r="M123">
        <f>ROUND(K123*I123, 2)</f>
        <v>12391.67</v>
      </c>
      <c r="N123">
        <f>Source!AC171*IF(Source!BC171&lt;&gt; 0, Source!BC171, 1)</f>
        <v>12391.67</v>
      </c>
      <c r="O123">
        <f>ROUND(N123*I123, 2)</f>
        <v>12391.67</v>
      </c>
      <c r="P123">
        <f>Source!AE171</f>
        <v>0</v>
      </c>
      <c r="R123">
        <f>ROUND(P123*I123, 2)</f>
        <v>0</v>
      </c>
      <c r="S123">
        <f>Source!AE171*IF(Source!BS171&lt;&gt; 0, Source!BS171, 1)</f>
        <v>0</v>
      </c>
      <c r="T123">
        <f>ROUND(S123*I123, 2)</f>
        <v>0</v>
      </c>
      <c r="U123">
        <f>Source!GF171</f>
        <v>-106681237</v>
      </c>
      <c r="V123">
        <v>573341076</v>
      </c>
      <c r="W123">
        <v>619025188</v>
      </c>
      <c r="X123">
        <v>3</v>
      </c>
    </row>
    <row r="124" spans="1:24" x14ac:dyDescent="0.2">
      <c r="A124">
        <f>Source!A203</f>
        <v>5</v>
      </c>
      <c r="B124">
        <v>203</v>
      </c>
      <c r="G124" t="str">
        <f>Source!G203</f>
        <v>Игровая площадка группы № 8</v>
      </c>
    </row>
    <row r="125" spans="1:24" x14ac:dyDescent="0.2">
      <c r="A125">
        <v>20</v>
      </c>
      <c r="B125">
        <v>195</v>
      </c>
      <c r="C125">
        <v>3</v>
      </c>
      <c r="D125">
        <v>0</v>
      </c>
      <c r="E125">
        <f>SmtRes!AV195</f>
        <v>0</v>
      </c>
      <c r="F125" t="str">
        <f>SmtRes!I195</f>
        <v>21.1-25-13</v>
      </c>
      <c r="G125" t="str">
        <f>SmtRes!K195</f>
        <v>Вода</v>
      </c>
      <c r="H125" t="str">
        <f>SmtRes!O195</f>
        <v>м3</v>
      </c>
      <c r="I125">
        <f>SmtRes!Y195*Source!I208</f>
        <v>0.44999999999999996</v>
      </c>
      <c r="J125">
        <f>SmtRes!AO195</f>
        <v>1</v>
      </c>
      <c r="K125">
        <f>SmtRes!AE195</f>
        <v>35.25</v>
      </c>
      <c r="L125">
        <f>SmtRes!DB195</f>
        <v>176.25</v>
      </c>
      <c r="M125">
        <f>ROUND(ROUND(L125*Source!I208, 6)*1, 2)</f>
        <v>15.86</v>
      </c>
      <c r="N125">
        <f>SmtRes!AA195</f>
        <v>35.25</v>
      </c>
      <c r="O125">
        <f>ROUND(ROUND(L125*Source!I208, 6)*SmtRes!DA195, 2)</f>
        <v>15.86</v>
      </c>
      <c r="P125">
        <f>SmtRes!AG195</f>
        <v>0</v>
      </c>
      <c r="Q125">
        <f>SmtRes!DC195</f>
        <v>0</v>
      </c>
      <c r="R125">
        <f>ROUND(ROUND(Q125*Source!I208, 6)*1, 2)</f>
        <v>0</v>
      </c>
      <c r="S125">
        <f>SmtRes!AC195</f>
        <v>0</v>
      </c>
      <c r="T125">
        <f>ROUND(ROUND(Q125*Source!I208, 6)*SmtRes!AK195, 2)</f>
        <v>0</v>
      </c>
      <c r="U125">
        <f>SmtRes!X195</f>
        <v>1927597627</v>
      </c>
      <c r="V125">
        <v>-1829664509</v>
      </c>
      <c r="W125">
        <v>1819467959</v>
      </c>
      <c r="X125">
        <v>3</v>
      </c>
    </row>
    <row r="126" spans="1:24" x14ac:dyDescent="0.2">
      <c r="A126">
        <v>20</v>
      </c>
      <c r="B126">
        <v>194</v>
      </c>
      <c r="C126">
        <v>3</v>
      </c>
      <c r="D126">
        <v>0</v>
      </c>
      <c r="E126">
        <f>SmtRes!AV194</f>
        <v>0</v>
      </c>
      <c r="F126" t="str">
        <f>SmtRes!I194</f>
        <v>21.1-12-10</v>
      </c>
      <c r="G126" t="str">
        <f>SmtRes!K194</f>
        <v>Песок для дорожных работ, рядовой</v>
      </c>
      <c r="H126" t="str">
        <f>SmtRes!O194</f>
        <v>м3</v>
      </c>
      <c r="I126">
        <f>SmtRes!Y194*Source!I208</f>
        <v>9.9</v>
      </c>
      <c r="J126">
        <f>SmtRes!AO194</f>
        <v>1</v>
      </c>
      <c r="K126">
        <f>SmtRes!AE194</f>
        <v>590.78</v>
      </c>
      <c r="L126">
        <f>SmtRes!DB194</f>
        <v>64985.8</v>
      </c>
      <c r="M126">
        <f>ROUND(ROUND(L126*Source!I208, 6)*1, 2)</f>
        <v>5848.72</v>
      </c>
      <c r="N126">
        <f>SmtRes!AA194</f>
        <v>590.78</v>
      </c>
      <c r="O126">
        <f>ROUND(ROUND(L126*Source!I208, 6)*SmtRes!DA194, 2)</f>
        <v>5848.72</v>
      </c>
      <c r="P126">
        <f>SmtRes!AG194</f>
        <v>0</v>
      </c>
      <c r="Q126">
        <f>SmtRes!DC194</f>
        <v>0</v>
      </c>
      <c r="R126">
        <f>ROUND(ROUND(Q126*Source!I208, 6)*1, 2)</f>
        <v>0</v>
      </c>
      <c r="S126">
        <f>SmtRes!AC194</f>
        <v>0</v>
      </c>
      <c r="T126">
        <f>ROUND(ROUND(Q126*Source!I208, 6)*SmtRes!AK194, 2)</f>
        <v>0</v>
      </c>
      <c r="U126">
        <f>SmtRes!X194</f>
        <v>1152750853</v>
      </c>
      <c r="V126">
        <v>-513833518</v>
      </c>
      <c r="W126">
        <v>445372051</v>
      </c>
      <c r="X126">
        <v>3</v>
      </c>
    </row>
    <row r="127" spans="1:24" x14ac:dyDescent="0.2">
      <c r="A127">
        <v>20</v>
      </c>
      <c r="B127">
        <v>193</v>
      </c>
      <c r="C127">
        <v>2</v>
      </c>
      <c r="D127">
        <v>0</v>
      </c>
      <c r="E127">
        <f>SmtRes!AV193</f>
        <v>0</v>
      </c>
      <c r="F127" t="str">
        <f>SmtRes!I193</f>
        <v>22.1-5-7</v>
      </c>
      <c r="G127" t="str">
        <f>SmtRes!K193</f>
        <v>Катки дорожные самоходные на пневмоколесном ходу, масса до 16 т</v>
      </c>
      <c r="H127" t="str">
        <f>SmtRes!O193</f>
        <v>маш.-ч</v>
      </c>
      <c r="I127">
        <f>SmtRes!Y193*Source!I208</f>
        <v>5.8499999999999996E-2</v>
      </c>
      <c r="J127">
        <f>SmtRes!AO193</f>
        <v>1</v>
      </c>
      <c r="K127">
        <f>SmtRes!AF193</f>
        <v>1213.3399999999999</v>
      </c>
      <c r="L127">
        <f>SmtRes!DB193</f>
        <v>788.67</v>
      </c>
      <c r="M127">
        <f>ROUND(ROUND(L127*Source!I208, 6)*1, 2)</f>
        <v>70.98</v>
      </c>
      <c r="N127">
        <f>SmtRes!AB193</f>
        <v>1213.3399999999999</v>
      </c>
      <c r="O127">
        <f>ROUND(ROUND(L127*Source!I208, 6)*SmtRes!DA193, 2)</f>
        <v>70.98</v>
      </c>
      <c r="P127">
        <f>SmtRes!AG193</f>
        <v>461.6</v>
      </c>
      <c r="Q127">
        <f>SmtRes!DC193</f>
        <v>300.04000000000002</v>
      </c>
      <c r="R127">
        <f>ROUND(ROUND(Q127*Source!I208, 6)*1, 2)</f>
        <v>27</v>
      </c>
      <c r="S127">
        <f>SmtRes!AC193</f>
        <v>461.6</v>
      </c>
      <c r="T127">
        <f>ROUND(ROUND(Q127*Source!I208, 6)*SmtRes!AK193, 2)</f>
        <v>27</v>
      </c>
      <c r="U127">
        <f>SmtRes!X193</f>
        <v>2142121434</v>
      </c>
      <c r="V127">
        <v>-1456814567</v>
      </c>
      <c r="W127">
        <v>-362114551</v>
      </c>
      <c r="X127">
        <v>2</v>
      </c>
    </row>
    <row r="128" spans="1:24" x14ac:dyDescent="0.2">
      <c r="A128">
        <v>20</v>
      </c>
      <c r="B128">
        <v>192</v>
      </c>
      <c r="C128">
        <v>2</v>
      </c>
      <c r="D128">
        <v>0</v>
      </c>
      <c r="E128">
        <f>SmtRes!AV192</f>
        <v>0</v>
      </c>
      <c r="F128" t="str">
        <f>SmtRes!I192</f>
        <v>22.1-5-48</v>
      </c>
      <c r="G128" t="str">
        <f>SmtRes!K192</f>
        <v>Автогрейдеры, мощность 99-147 кВт (130-200 л.с.)</v>
      </c>
      <c r="H128" t="str">
        <f>SmtRes!O192</f>
        <v>маш.-ч</v>
      </c>
      <c r="I128">
        <f>SmtRes!Y192*Source!I208</f>
        <v>0.17459999999999998</v>
      </c>
      <c r="J128">
        <f>SmtRes!AO192</f>
        <v>1</v>
      </c>
      <c r="K128">
        <f>SmtRes!AF192</f>
        <v>1412.71</v>
      </c>
      <c r="L128">
        <f>SmtRes!DB192</f>
        <v>2740.66</v>
      </c>
      <c r="M128">
        <f>ROUND(ROUND(L128*Source!I208, 6)*1, 2)</f>
        <v>246.66</v>
      </c>
      <c r="N128">
        <f>SmtRes!AB192</f>
        <v>1412.71</v>
      </c>
      <c r="O128">
        <f>ROUND(ROUND(L128*Source!I208, 6)*SmtRes!DA192, 2)</f>
        <v>246.66</v>
      </c>
      <c r="P128">
        <f>SmtRes!AG192</f>
        <v>641.32000000000005</v>
      </c>
      <c r="Q128">
        <f>SmtRes!DC192</f>
        <v>1244.1600000000001</v>
      </c>
      <c r="R128">
        <f>ROUND(ROUND(Q128*Source!I208, 6)*1, 2)</f>
        <v>111.97</v>
      </c>
      <c r="S128">
        <f>SmtRes!AC192</f>
        <v>641.32000000000005</v>
      </c>
      <c r="T128">
        <f>ROUND(ROUND(Q128*Source!I208, 6)*SmtRes!AK192, 2)</f>
        <v>111.97</v>
      </c>
      <c r="U128">
        <f>SmtRes!X192</f>
        <v>1116182101</v>
      </c>
      <c r="V128">
        <v>-405216514</v>
      </c>
      <c r="W128">
        <v>38483568</v>
      </c>
      <c r="X128">
        <v>2</v>
      </c>
    </row>
    <row r="129" spans="1:24" x14ac:dyDescent="0.2">
      <c r="A129">
        <v>20</v>
      </c>
      <c r="B129">
        <v>191</v>
      </c>
      <c r="C129">
        <v>2</v>
      </c>
      <c r="D129">
        <v>0</v>
      </c>
      <c r="E129">
        <f>SmtRes!AV191</f>
        <v>0</v>
      </c>
      <c r="F129" t="str">
        <f>SmtRes!I191</f>
        <v>22.1-5-18</v>
      </c>
      <c r="G129" t="str">
        <f>SmtRes!K191</f>
        <v>Поливомоечные машины, емкость цистерны более 5000 л</v>
      </c>
      <c r="H129" t="str">
        <f>SmtRes!O191</f>
        <v>маш.-ч</v>
      </c>
      <c r="I129">
        <f>SmtRes!Y191*Source!I208</f>
        <v>7.2900000000000006E-2</v>
      </c>
      <c r="J129">
        <f>SmtRes!AO191</f>
        <v>1</v>
      </c>
      <c r="K129">
        <f>SmtRes!AF191</f>
        <v>2020.59</v>
      </c>
      <c r="L129">
        <f>SmtRes!DB191</f>
        <v>1636.68</v>
      </c>
      <c r="M129">
        <f>ROUND(ROUND(L129*Source!I208, 6)*1, 2)</f>
        <v>147.30000000000001</v>
      </c>
      <c r="N129">
        <f>SmtRes!AB191</f>
        <v>2020.59</v>
      </c>
      <c r="O129">
        <f>ROUND(ROUND(L129*Source!I208, 6)*SmtRes!DA191, 2)</f>
        <v>147.30000000000001</v>
      </c>
      <c r="P129">
        <f>SmtRes!AG191</f>
        <v>458.56</v>
      </c>
      <c r="Q129">
        <f>SmtRes!DC191</f>
        <v>371.43</v>
      </c>
      <c r="R129">
        <f>ROUND(ROUND(Q129*Source!I208, 6)*1, 2)</f>
        <v>33.43</v>
      </c>
      <c r="S129">
        <f>SmtRes!AC191</f>
        <v>458.56</v>
      </c>
      <c r="T129">
        <f>ROUND(ROUND(Q129*Source!I208, 6)*SmtRes!AK191, 2)</f>
        <v>33.43</v>
      </c>
      <c r="U129">
        <f>SmtRes!X191</f>
        <v>2042885981</v>
      </c>
      <c r="V129">
        <v>-76628464</v>
      </c>
      <c r="W129">
        <v>-1269477455</v>
      </c>
      <c r="X129">
        <v>2</v>
      </c>
    </row>
    <row r="130" spans="1:24" x14ac:dyDescent="0.2">
      <c r="A130">
        <v>20</v>
      </c>
      <c r="B130">
        <v>190</v>
      </c>
      <c r="C130">
        <v>2</v>
      </c>
      <c r="D130">
        <v>0</v>
      </c>
      <c r="E130">
        <f>SmtRes!AV190</f>
        <v>0</v>
      </c>
      <c r="F130" t="str">
        <f>SmtRes!I190</f>
        <v>22.1-5-15</v>
      </c>
      <c r="G130" t="str">
        <f>SmtRes!K190</f>
        <v>Катки прицепные пневмоколесные, масса до 50 т</v>
      </c>
      <c r="H130" t="str">
        <f>SmtRes!O190</f>
        <v>маш.-ч</v>
      </c>
      <c r="I130">
        <f>SmtRes!Y190*Source!I208</f>
        <v>0.18720000000000001</v>
      </c>
      <c r="J130">
        <f>SmtRes!AO190</f>
        <v>1</v>
      </c>
      <c r="K130">
        <f>SmtRes!AF190</f>
        <v>430.32</v>
      </c>
      <c r="L130">
        <f>SmtRes!DB190</f>
        <v>895.07</v>
      </c>
      <c r="M130">
        <f>ROUND(ROUND(L130*Source!I208, 6)*1, 2)</f>
        <v>80.56</v>
      </c>
      <c r="N130">
        <f>SmtRes!AB190</f>
        <v>430.32</v>
      </c>
      <c r="O130">
        <f>ROUND(ROUND(L130*Source!I208, 6)*SmtRes!DA190, 2)</f>
        <v>80.56</v>
      </c>
      <c r="P130">
        <f>SmtRes!AG190</f>
        <v>215.31</v>
      </c>
      <c r="Q130">
        <f>SmtRes!DC190</f>
        <v>447.84</v>
      </c>
      <c r="R130">
        <f>ROUND(ROUND(Q130*Source!I208, 6)*1, 2)</f>
        <v>40.31</v>
      </c>
      <c r="S130">
        <f>SmtRes!AC190</f>
        <v>215.31</v>
      </c>
      <c r="T130">
        <f>ROUND(ROUND(Q130*Source!I208, 6)*SmtRes!AK190, 2)</f>
        <v>40.31</v>
      </c>
      <c r="U130">
        <f>SmtRes!X190</f>
        <v>-1512295274</v>
      </c>
      <c r="V130">
        <v>1130639003</v>
      </c>
      <c r="W130">
        <v>-180512758</v>
      </c>
      <c r="X130">
        <v>2</v>
      </c>
    </row>
    <row r="131" spans="1:24" x14ac:dyDescent="0.2">
      <c r="A131">
        <v>20</v>
      </c>
      <c r="B131">
        <v>189</v>
      </c>
      <c r="C131">
        <v>2</v>
      </c>
      <c r="D131">
        <v>0</v>
      </c>
      <c r="E131">
        <f>SmtRes!AV189</f>
        <v>0</v>
      </c>
      <c r="F131" t="str">
        <f>SmtRes!I189</f>
        <v>22.1-2-1</v>
      </c>
      <c r="G131" t="str">
        <f>SmtRes!K189</f>
        <v>Тракторы на гусеничном ходу, мощность до 60 (81) кВт (л.с.)</v>
      </c>
      <c r="H131" t="str">
        <f>SmtRes!O189</f>
        <v>маш.-ч</v>
      </c>
      <c r="I131">
        <f>SmtRes!Y189*Source!I208</f>
        <v>0.18720000000000001</v>
      </c>
      <c r="J131">
        <f>SmtRes!AO189</f>
        <v>1</v>
      </c>
      <c r="K131">
        <f>SmtRes!AF189</f>
        <v>740.94</v>
      </c>
      <c r="L131">
        <f>SmtRes!DB189</f>
        <v>1541.16</v>
      </c>
      <c r="M131">
        <f>ROUND(ROUND(L131*Source!I208, 6)*1, 2)</f>
        <v>138.69999999999999</v>
      </c>
      <c r="N131">
        <f>SmtRes!AB189</f>
        <v>740.94</v>
      </c>
      <c r="O131">
        <f>ROUND(ROUND(L131*Source!I208, 6)*SmtRes!DA189, 2)</f>
        <v>138.69999999999999</v>
      </c>
      <c r="P131">
        <f>SmtRes!AG189</f>
        <v>413.22</v>
      </c>
      <c r="Q131">
        <f>SmtRes!DC189</f>
        <v>859.5</v>
      </c>
      <c r="R131">
        <f>ROUND(ROUND(Q131*Source!I208, 6)*1, 2)</f>
        <v>77.36</v>
      </c>
      <c r="S131">
        <f>SmtRes!AC189</f>
        <v>413.22</v>
      </c>
      <c r="T131">
        <f>ROUND(ROUND(Q131*Source!I208, 6)*SmtRes!AK189, 2)</f>
        <v>77.36</v>
      </c>
      <c r="U131">
        <f>SmtRes!X189</f>
        <v>2108619810</v>
      </c>
      <c r="V131">
        <v>2092061508</v>
      </c>
      <c r="W131">
        <v>-202122669</v>
      </c>
      <c r="X131">
        <v>2</v>
      </c>
    </row>
    <row r="132" spans="1:24" x14ac:dyDescent="0.2">
      <c r="A132">
        <v>20</v>
      </c>
      <c r="B132">
        <v>201</v>
      </c>
      <c r="C132">
        <v>3</v>
      </c>
      <c r="D132">
        <v>0</v>
      </c>
      <c r="E132">
        <f>SmtRes!AV201</f>
        <v>0</v>
      </c>
      <c r="F132" t="str">
        <f>SmtRes!I201</f>
        <v>21.1-25-13</v>
      </c>
      <c r="G132" t="str">
        <f>SmtRes!K201</f>
        <v>Вода</v>
      </c>
      <c r="H132" t="str">
        <f>SmtRes!O201</f>
        <v>м3</v>
      </c>
      <c r="I132">
        <f>SmtRes!Y201*Source!I209</f>
        <v>1.8</v>
      </c>
      <c r="J132">
        <f>SmtRes!AO201</f>
        <v>1</v>
      </c>
      <c r="K132">
        <f>SmtRes!AE201</f>
        <v>35.25</v>
      </c>
      <c r="L132">
        <f>SmtRes!DB201</f>
        <v>70.5</v>
      </c>
      <c r="M132">
        <f>ROUND(ROUND(L132*Source!I209, 6)*1, 2)</f>
        <v>63.45</v>
      </c>
      <c r="N132">
        <f>SmtRes!AA201</f>
        <v>35.25</v>
      </c>
      <c r="O132">
        <f>ROUND(ROUND(L132*Source!I209, 6)*SmtRes!DA201, 2)</f>
        <v>63.45</v>
      </c>
      <c r="P132">
        <f>SmtRes!AG201</f>
        <v>0</v>
      </c>
      <c r="Q132">
        <f>SmtRes!DC201</f>
        <v>0</v>
      </c>
      <c r="R132">
        <f>ROUND(ROUND(Q132*Source!I209, 6)*1, 2)</f>
        <v>0</v>
      </c>
      <c r="S132">
        <f>SmtRes!AC201</f>
        <v>0</v>
      </c>
      <c r="T132">
        <f>ROUND(ROUND(Q132*Source!I209, 6)*SmtRes!AK201, 2)</f>
        <v>0</v>
      </c>
      <c r="U132">
        <f>SmtRes!X201</f>
        <v>1927597627</v>
      </c>
      <c r="V132">
        <v>-1829664509</v>
      </c>
      <c r="W132">
        <v>1819467959</v>
      </c>
      <c r="X132">
        <v>3</v>
      </c>
    </row>
    <row r="133" spans="1:24" x14ac:dyDescent="0.2">
      <c r="A133">
        <v>20</v>
      </c>
      <c r="B133">
        <v>198</v>
      </c>
      <c r="C133">
        <v>2</v>
      </c>
      <c r="D133">
        <v>0</v>
      </c>
      <c r="E133">
        <f>SmtRes!AV198</f>
        <v>0</v>
      </c>
      <c r="F133" t="str">
        <f>SmtRes!I198</f>
        <v>22.1-5-2</v>
      </c>
      <c r="G133" t="str">
        <f>SmtRes!K198</f>
        <v>Катки самоходные вибрационные, масса до 8 т</v>
      </c>
      <c r="H133" t="str">
        <f>SmtRes!O198</f>
        <v>маш.-ч</v>
      </c>
      <c r="I133">
        <f>SmtRes!Y198*Source!I209</f>
        <v>1.4580000000000002</v>
      </c>
      <c r="J133">
        <f>SmtRes!AO198</f>
        <v>1</v>
      </c>
      <c r="K133">
        <f>SmtRes!AF198</f>
        <v>1261.8699999999999</v>
      </c>
      <c r="L133">
        <f>SmtRes!DB198</f>
        <v>2044.23</v>
      </c>
      <c r="M133">
        <f>ROUND(ROUND(L133*Source!I209, 6)*1, 2)</f>
        <v>1839.81</v>
      </c>
      <c r="N133">
        <f>SmtRes!AB198</f>
        <v>1261.8699999999999</v>
      </c>
      <c r="O133">
        <f>ROUND(ROUND(L133*Source!I209, 6)*SmtRes!DA198, 2)</f>
        <v>1839.81</v>
      </c>
      <c r="P133">
        <f>SmtRes!AG198</f>
        <v>530.02</v>
      </c>
      <c r="Q133">
        <f>SmtRes!DC198</f>
        <v>858.63</v>
      </c>
      <c r="R133">
        <f>ROUND(ROUND(Q133*Source!I209, 6)*1, 2)</f>
        <v>772.77</v>
      </c>
      <c r="S133">
        <f>SmtRes!AC198</f>
        <v>530.02</v>
      </c>
      <c r="T133">
        <f>ROUND(ROUND(Q133*Source!I209, 6)*SmtRes!AK198, 2)</f>
        <v>772.77</v>
      </c>
      <c r="U133">
        <f>SmtRes!X198</f>
        <v>-1043398787</v>
      </c>
      <c r="V133">
        <v>-791430524</v>
      </c>
      <c r="W133">
        <v>-1074879534</v>
      </c>
      <c r="X133">
        <v>2</v>
      </c>
    </row>
    <row r="134" spans="1:24" x14ac:dyDescent="0.2">
      <c r="A134">
        <v>20</v>
      </c>
      <c r="B134">
        <v>197</v>
      </c>
      <c r="C134">
        <v>2</v>
      </c>
      <c r="D134">
        <v>0</v>
      </c>
      <c r="E134">
        <f>SmtRes!AV197</f>
        <v>0</v>
      </c>
      <c r="F134" t="str">
        <f>SmtRes!I197</f>
        <v>22.1-5-18</v>
      </c>
      <c r="G134" t="str">
        <f>SmtRes!K197</f>
        <v>Поливомоечные машины, емкость цистерны более 5000 л</v>
      </c>
      <c r="H134" t="str">
        <f>SmtRes!O197</f>
        <v>маш.-ч</v>
      </c>
      <c r="I134">
        <f>SmtRes!Y197*Source!I209</f>
        <v>0.53100000000000003</v>
      </c>
      <c r="J134">
        <f>SmtRes!AO197</f>
        <v>1</v>
      </c>
      <c r="K134">
        <f>SmtRes!AF197</f>
        <v>2020.59</v>
      </c>
      <c r="L134">
        <f>SmtRes!DB197</f>
        <v>1192.1500000000001</v>
      </c>
      <c r="M134">
        <f>ROUND(ROUND(L134*Source!I209, 6)*1, 2)</f>
        <v>1072.94</v>
      </c>
      <c r="N134">
        <f>SmtRes!AB197</f>
        <v>2020.59</v>
      </c>
      <c r="O134">
        <f>ROUND(ROUND(L134*Source!I209, 6)*SmtRes!DA197, 2)</f>
        <v>1072.94</v>
      </c>
      <c r="P134">
        <f>SmtRes!AG197</f>
        <v>458.56</v>
      </c>
      <c r="Q134">
        <f>SmtRes!DC197</f>
        <v>270.55</v>
      </c>
      <c r="R134">
        <f>ROUND(ROUND(Q134*Source!I209, 6)*1, 2)</f>
        <v>243.5</v>
      </c>
      <c r="S134">
        <f>SmtRes!AC197</f>
        <v>458.56</v>
      </c>
      <c r="T134">
        <f>ROUND(ROUND(Q134*Source!I209, 6)*SmtRes!AK197, 2)</f>
        <v>243.5</v>
      </c>
      <c r="U134">
        <f>SmtRes!X197</f>
        <v>2042885981</v>
      </c>
      <c r="V134">
        <v>-76628464</v>
      </c>
      <c r="W134">
        <v>-1269477455</v>
      </c>
      <c r="X134">
        <v>2</v>
      </c>
    </row>
    <row r="135" spans="1:24" x14ac:dyDescent="0.2">
      <c r="A135">
        <f>Source!A210</f>
        <v>18</v>
      </c>
      <c r="B135">
        <v>210</v>
      </c>
      <c r="C135">
        <v>3</v>
      </c>
      <c r="D135">
        <f>Source!BI210</f>
        <v>4</v>
      </c>
      <c r="E135">
        <f>Source!FS210</f>
        <v>0</v>
      </c>
      <c r="F135" t="str">
        <f>Source!F210</f>
        <v>21.1-12-36</v>
      </c>
      <c r="G135" t="str">
        <f>Source!G210</f>
        <v>Щебень из естественного камня для строительных работ, марка 1200-800, фракция 20-40 мм</v>
      </c>
      <c r="H135" t="str">
        <f>Source!H210</f>
        <v>м3</v>
      </c>
      <c r="I135">
        <f>Source!I210</f>
        <v>15.659999999999998</v>
      </c>
      <c r="J135">
        <v>1</v>
      </c>
      <c r="K135">
        <f>Source!AC210</f>
        <v>1763.75</v>
      </c>
      <c r="M135">
        <f>ROUND(K135*I135, 2)</f>
        <v>27620.33</v>
      </c>
      <c r="N135">
        <f>Source!AC210*IF(Source!BC210&lt;&gt; 0, Source!BC210, 1)</f>
        <v>1763.75</v>
      </c>
      <c r="O135">
        <f>ROUND(N135*I135, 2)</f>
        <v>27620.33</v>
      </c>
      <c r="P135">
        <f>Source!AE210</f>
        <v>0</v>
      </c>
      <c r="R135">
        <f>ROUND(P135*I135, 2)</f>
        <v>0</v>
      </c>
      <c r="S135">
        <f>Source!AE210*IF(Source!BS210&lt;&gt; 0, Source!BS210, 1)</f>
        <v>0</v>
      </c>
      <c r="T135">
        <f>ROUND(S135*I135, 2)</f>
        <v>0</v>
      </c>
      <c r="U135">
        <f>Source!GF210</f>
        <v>-886425656</v>
      </c>
      <c r="V135">
        <v>-671760782</v>
      </c>
      <c r="W135">
        <v>345930550</v>
      </c>
      <c r="X135">
        <v>3</v>
      </c>
    </row>
    <row r="136" spans="1:24" x14ac:dyDescent="0.2">
      <c r="A136">
        <v>20</v>
      </c>
      <c r="B136">
        <v>205</v>
      </c>
      <c r="C136">
        <v>3</v>
      </c>
      <c r="D136">
        <v>0</v>
      </c>
      <c r="E136">
        <f>SmtRes!AV205</f>
        <v>0</v>
      </c>
      <c r="F136" t="str">
        <f>SmtRes!I205</f>
        <v>21.3-3-34</v>
      </c>
      <c r="G136" t="str">
        <f>SmtRes!K205</f>
        <v>Смеси асфальтобетонные дорожные горячие песчаные, тип Д, марка III</v>
      </c>
      <c r="H136" t="str">
        <f>SmtRes!O205</f>
        <v>т</v>
      </c>
      <c r="I136">
        <f>SmtRes!Y205*Source!I212</f>
        <v>6.4260000000000002</v>
      </c>
      <c r="J136">
        <f>SmtRes!AO205</f>
        <v>1</v>
      </c>
      <c r="K136">
        <f>SmtRes!AE205</f>
        <v>2652.04</v>
      </c>
      <c r="L136">
        <f>SmtRes!DB205</f>
        <v>18935.57</v>
      </c>
      <c r="M136">
        <f>ROUND(ROUND(L136*Source!I212, 6)*1, 2)</f>
        <v>17042.009999999998</v>
      </c>
      <c r="N136">
        <f>SmtRes!AA205</f>
        <v>2652.04</v>
      </c>
      <c r="O136">
        <f>ROUND(ROUND(L136*Source!I212, 6)*SmtRes!DA205, 2)</f>
        <v>17042.009999999998</v>
      </c>
      <c r="P136">
        <f>SmtRes!AG205</f>
        <v>0</v>
      </c>
      <c r="Q136">
        <f>SmtRes!DC205</f>
        <v>0</v>
      </c>
      <c r="R136">
        <f>ROUND(ROUND(Q136*Source!I212, 6)*1, 2)</f>
        <v>0</v>
      </c>
      <c r="S136">
        <f>SmtRes!AC205</f>
        <v>0</v>
      </c>
      <c r="T136">
        <f>ROUND(ROUND(Q136*Source!I212, 6)*SmtRes!AK205, 2)</f>
        <v>0</v>
      </c>
      <c r="U136">
        <f>SmtRes!X205</f>
        <v>2062870502</v>
      </c>
      <c r="V136">
        <v>-2134407800</v>
      </c>
      <c r="W136">
        <v>-1328752311</v>
      </c>
      <c r="X136">
        <v>3</v>
      </c>
    </row>
    <row r="137" spans="1:24" x14ac:dyDescent="0.2">
      <c r="A137">
        <v>20</v>
      </c>
      <c r="B137">
        <v>204</v>
      </c>
      <c r="C137">
        <v>3</v>
      </c>
      <c r="D137">
        <v>0</v>
      </c>
      <c r="E137">
        <f>SmtRes!AV204</f>
        <v>0</v>
      </c>
      <c r="F137" t="str">
        <f>SmtRes!I204</f>
        <v>21.1-1-3</v>
      </c>
      <c r="G137" t="str">
        <f>SmtRes!K204</f>
        <v>Битумы нефтяные, дорожные жидкие, марка МГ, СГ</v>
      </c>
      <c r="H137" t="str">
        <f>SmtRes!O204</f>
        <v>т</v>
      </c>
      <c r="I137">
        <f>SmtRes!Y204*Source!I212</f>
        <v>5.3999999999999999E-2</v>
      </c>
      <c r="J137">
        <f>SmtRes!AO204</f>
        <v>1</v>
      </c>
      <c r="K137">
        <f>SmtRes!AE204</f>
        <v>25888.1</v>
      </c>
      <c r="L137">
        <f>SmtRes!DB204</f>
        <v>1553.29</v>
      </c>
      <c r="M137">
        <f>ROUND(ROUND(L137*Source!I212, 6)*1, 2)</f>
        <v>1397.96</v>
      </c>
      <c r="N137">
        <f>SmtRes!AA204</f>
        <v>25888.1</v>
      </c>
      <c r="O137">
        <f>ROUND(ROUND(L137*Source!I212, 6)*SmtRes!DA204, 2)</f>
        <v>1397.96</v>
      </c>
      <c r="P137">
        <f>SmtRes!AG204</f>
        <v>0</v>
      </c>
      <c r="Q137">
        <f>SmtRes!DC204</f>
        <v>0</v>
      </c>
      <c r="R137">
        <f>ROUND(ROUND(Q137*Source!I212, 6)*1, 2)</f>
        <v>0</v>
      </c>
      <c r="S137">
        <f>SmtRes!AC204</f>
        <v>0</v>
      </c>
      <c r="T137">
        <f>ROUND(ROUND(Q137*Source!I212, 6)*SmtRes!AK204, 2)</f>
        <v>0</v>
      </c>
      <c r="U137">
        <f>SmtRes!X204</f>
        <v>-68218516</v>
      </c>
      <c r="V137">
        <v>-1520039527</v>
      </c>
      <c r="W137">
        <v>-3533703</v>
      </c>
      <c r="X137">
        <v>3</v>
      </c>
    </row>
    <row r="138" spans="1:24" x14ac:dyDescent="0.2">
      <c r="A138">
        <v>20</v>
      </c>
      <c r="B138">
        <v>203</v>
      </c>
      <c r="C138">
        <v>2</v>
      </c>
      <c r="D138">
        <v>0</v>
      </c>
      <c r="E138">
        <f>SmtRes!AV203</f>
        <v>0</v>
      </c>
      <c r="F138" t="str">
        <f>SmtRes!I203</f>
        <v>22.1-5-2</v>
      </c>
      <c r="G138" t="str">
        <f>SmtRes!K203</f>
        <v>Катки самоходные вибрационные, масса до 8 т</v>
      </c>
      <c r="H138" t="str">
        <f>SmtRes!O203</f>
        <v>маш.-ч</v>
      </c>
      <c r="I138">
        <f>SmtRes!Y203*Source!I212</f>
        <v>0.80100000000000005</v>
      </c>
      <c r="J138">
        <f>SmtRes!AO203</f>
        <v>1</v>
      </c>
      <c r="K138">
        <f>SmtRes!AF203</f>
        <v>1261.8699999999999</v>
      </c>
      <c r="L138">
        <f>SmtRes!DB203</f>
        <v>1123.06</v>
      </c>
      <c r="M138">
        <f>ROUND(ROUND(L138*Source!I212, 6)*1, 2)</f>
        <v>1010.75</v>
      </c>
      <c r="N138">
        <f>SmtRes!AB203</f>
        <v>1261.8699999999999</v>
      </c>
      <c r="O138">
        <f>ROUND(ROUND(L138*Source!I212, 6)*SmtRes!DA203, 2)</f>
        <v>1010.75</v>
      </c>
      <c r="P138">
        <f>SmtRes!AG203</f>
        <v>530.02</v>
      </c>
      <c r="Q138">
        <f>SmtRes!DC203</f>
        <v>471.72</v>
      </c>
      <c r="R138">
        <f>ROUND(ROUND(Q138*Source!I212, 6)*1, 2)</f>
        <v>424.55</v>
      </c>
      <c r="S138">
        <f>SmtRes!AC203</f>
        <v>530.02</v>
      </c>
      <c r="T138">
        <f>ROUND(ROUND(Q138*Source!I212, 6)*SmtRes!AK203, 2)</f>
        <v>424.55</v>
      </c>
      <c r="U138">
        <f>SmtRes!X203</f>
        <v>-1043398787</v>
      </c>
      <c r="V138">
        <v>-791430524</v>
      </c>
      <c r="W138">
        <v>-1074879534</v>
      </c>
      <c r="X138">
        <v>2</v>
      </c>
    </row>
    <row r="139" spans="1:24" x14ac:dyDescent="0.2">
      <c r="A139">
        <v>20</v>
      </c>
      <c r="B139">
        <v>215</v>
      </c>
      <c r="C139">
        <v>3</v>
      </c>
      <c r="D139">
        <v>0</v>
      </c>
      <c r="E139">
        <f>SmtRes!AV215</f>
        <v>0</v>
      </c>
      <c r="F139" t="str">
        <f>SmtRes!I215</f>
        <v>21.1-6-101</v>
      </c>
      <c r="G139" t="str">
        <f>SmtRes!K215</f>
        <v>Пигменты сухие для красок, кислотный желтый</v>
      </c>
      <c r="H139" t="str">
        <f>SmtRes!O215</f>
        <v>т</v>
      </c>
      <c r="I139">
        <f>SmtRes!Y215*Source!I213</f>
        <v>4.725E-2</v>
      </c>
      <c r="J139">
        <f>SmtRes!AO215</f>
        <v>1</v>
      </c>
      <c r="K139">
        <f>SmtRes!AE215</f>
        <v>748299.67</v>
      </c>
      <c r="L139">
        <f>SmtRes!DB215</f>
        <v>39285.730000000003</v>
      </c>
      <c r="M139">
        <f>ROUND(ROUND(L139*Source!I213, 6)*1, 2)</f>
        <v>35357.160000000003</v>
      </c>
      <c r="N139">
        <f>SmtRes!AA215</f>
        <v>748299.67</v>
      </c>
      <c r="O139">
        <f>ROUND(ROUND(L139*Source!I213, 6)*SmtRes!DA215, 2)</f>
        <v>35357.160000000003</v>
      </c>
      <c r="P139">
        <f>SmtRes!AG215</f>
        <v>0</v>
      </c>
      <c r="Q139">
        <f>SmtRes!DC215</f>
        <v>0</v>
      </c>
      <c r="R139">
        <f>ROUND(ROUND(Q139*Source!I213, 6)*1, 2)</f>
        <v>0</v>
      </c>
      <c r="S139">
        <f>SmtRes!AC215</f>
        <v>0</v>
      </c>
      <c r="T139">
        <f>ROUND(ROUND(Q139*Source!I213, 6)*SmtRes!AK215, 2)</f>
        <v>0</v>
      </c>
      <c r="U139">
        <f>SmtRes!X215</f>
        <v>-1600259051</v>
      </c>
      <c r="V139">
        <v>-2022093422</v>
      </c>
      <c r="W139">
        <v>1055948583</v>
      </c>
      <c r="X139">
        <v>3</v>
      </c>
    </row>
    <row r="140" spans="1:24" x14ac:dyDescent="0.2">
      <c r="A140">
        <v>20</v>
      </c>
      <c r="B140">
        <v>214</v>
      </c>
      <c r="C140">
        <v>3</v>
      </c>
      <c r="D140">
        <v>0</v>
      </c>
      <c r="E140">
        <f>SmtRes!AV214</f>
        <v>0</v>
      </c>
      <c r="F140" t="str">
        <f>SmtRes!I214</f>
        <v>21.1-25-776</v>
      </c>
      <c r="G140" t="str">
        <f>SmtRes!K214</f>
        <v>Средство связующее универсальное полиуретановое на основе резиновой и каучуковой крошки для устройства высокопрочных эластичных покрытий</v>
      </c>
      <c r="H140" t="str">
        <f>SmtRes!O214</f>
        <v>кг</v>
      </c>
      <c r="I140">
        <f>SmtRes!Y214*Source!I213</f>
        <v>217.35</v>
      </c>
      <c r="J140">
        <f>SmtRes!AO214</f>
        <v>1</v>
      </c>
      <c r="K140">
        <f>SmtRes!AE214</f>
        <v>202.34</v>
      </c>
      <c r="L140">
        <f>SmtRes!DB214</f>
        <v>48865.11</v>
      </c>
      <c r="M140">
        <f>ROUND(ROUND(L140*Source!I213, 6)*1, 2)</f>
        <v>43978.6</v>
      </c>
      <c r="N140">
        <f>SmtRes!AA214</f>
        <v>202.34</v>
      </c>
      <c r="O140">
        <f>ROUND(ROUND(L140*Source!I213, 6)*SmtRes!DA214, 2)</f>
        <v>43978.6</v>
      </c>
      <c r="P140">
        <f>SmtRes!AG214</f>
        <v>0</v>
      </c>
      <c r="Q140">
        <f>SmtRes!DC214</f>
        <v>0</v>
      </c>
      <c r="R140">
        <f>ROUND(ROUND(Q140*Source!I213, 6)*1, 2)</f>
        <v>0</v>
      </c>
      <c r="S140">
        <f>SmtRes!AC214</f>
        <v>0</v>
      </c>
      <c r="T140">
        <f>ROUND(ROUND(Q140*Source!I213, 6)*SmtRes!AK214, 2)</f>
        <v>0</v>
      </c>
      <c r="U140">
        <f>SmtRes!X214</f>
        <v>-319511878</v>
      </c>
      <c r="V140">
        <v>-233522306</v>
      </c>
      <c r="W140">
        <v>1409483656</v>
      </c>
      <c r="X140">
        <v>3</v>
      </c>
    </row>
    <row r="141" spans="1:24" x14ac:dyDescent="0.2">
      <c r="A141">
        <v>20</v>
      </c>
      <c r="B141">
        <v>213</v>
      </c>
      <c r="C141">
        <v>3</v>
      </c>
      <c r="D141">
        <v>0</v>
      </c>
      <c r="E141">
        <f>SmtRes!AV213</f>
        <v>0</v>
      </c>
      <c r="F141" t="str">
        <f>SmtRes!I213</f>
        <v>21.1-25-769</v>
      </c>
      <c r="G141" t="str">
        <f>SmtRes!K213</f>
        <v>Крошка резиновая гранулированная, фракция 2-3 мм</v>
      </c>
      <c r="H141" t="str">
        <f>SmtRes!O213</f>
        <v>кг</v>
      </c>
      <c r="I141">
        <f>SmtRes!Y213*Source!I213</f>
        <v>661.5</v>
      </c>
      <c r="J141">
        <f>SmtRes!AO213</f>
        <v>1</v>
      </c>
      <c r="K141">
        <f>SmtRes!AE213</f>
        <v>17.77</v>
      </c>
      <c r="L141">
        <f>SmtRes!DB213</f>
        <v>13060.95</v>
      </c>
      <c r="M141">
        <f>ROUND(ROUND(L141*Source!I213, 6)*1, 2)</f>
        <v>11754.86</v>
      </c>
      <c r="N141">
        <f>SmtRes!AA213</f>
        <v>17.77</v>
      </c>
      <c r="O141">
        <f>ROUND(ROUND(L141*Source!I213, 6)*SmtRes!DA213, 2)</f>
        <v>11754.86</v>
      </c>
      <c r="P141">
        <f>SmtRes!AG213</f>
        <v>0</v>
      </c>
      <c r="Q141">
        <f>SmtRes!DC213</f>
        <v>0</v>
      </c>
      <c r="R141">
        <f>ROUND(ROUND(Q141*Source!I213, 6)*1, 2)</f>
        <v>0</v>
      </c>
      <c r="S141">
        <f>SmtRes!AC213</f>
        <v>0</v>
      </c>
      <c r="T141">
        <f>ROUND(ROUND(Q141*Source!I213, 6)*SmtRes!AK213, 2)</f>
        <v>0</v>
      </c>
      <c r="U141">
        <f>SmtRes!X213</f>
        <v>1696686191</v>
      </c>
      <c r="V141">
        <v>711481079</v>
      </c>
      <c r="W141">
        <v>1650918109</v>
      </c>
      <c r="X141">
        <v>3</v>
      </c>
    </row>
    <row r="142" spans="1:24" x14ac:dyDescent="0.2">
      <c r="A142">
        <v>20</v>
      </c>
      <c r="B142">
        <v>212</v>
      </c>
      <c r="C142">
        <v>3</v>
      </c>
      <c r="D142">
        <v>0</v>
      </c>
      <c r="E142">
        <f>SmtRes!AV212</f>
        <v>0</v>
      </c>
      <c r="F142" t="str">
        <f>SmtRes!I212</f>
        <v>21.1-25-343</v>
      </c>
      <c r="G142" t="str">
        <f>SmtRes!K212</f>
        <v>Скипидар живичный</v>
      </c>
      <c r="H142" t="str">
        <f>SmtRes!O212</f>
        <v>т</v>
      </c>
      <c r="I142">
        <f>SmtRes!Y212*Source!I213</f>
        <v>2.8350000000000003E-3</v>
      </c>
      <c r="J142">
        <f>SmtRes!AO212</f>
        <v>1</v>
      </c>
      <c r="K142">
        <f>SmtRes!AE212</f>
        <v>343020.03</v>
      </c>
      <c r="L142">
        <f>SmtRes!DB212</f>
        <v>1080.51</v>
      </c>
      <c r="M142">
        <f>ROUND(ROUND(L142*Source!I213, 6)*1, 2)</f>
        <v>972.46</v>
      </c>
      <c r="N142">
        <f>SmtRes!AA212</f>
        <v>343020.03</v>
      </c>
      <c r="O142">
        <f>ROUND(ROUND(L142*Source!I213, 6)*SmtRes!DA212, 2)</f>
        <v>972.46</v>
      </c>
      <c r="P142">
        <f>SmtRes!AG212</f>
        <v>0</v>
      </c>
      <c r="Q142">
        <f>SmtRes!DC212</f>
        <v>0</v>
      </c>
      <c r="R142">
        <f>ROUND(ROUND(Q142*Source!I213, 6)*1, 2)</f>
        <v>0</v>
      </c>
      <c r="S142">
        <f>SmtRes!AC212</f>
        <v>0</v>
      </c>
      <c r="T142">
        <f>ROUND(ROUND(Q142*Source!I213, 6)*SmtRes!AK212, 2)</f>
        <v>0</v>
      </c>
      <c r="U142">
        <f>SmtRes!X212</f>
        <v>1287476064</v>
      </c>
      <c r="V142">
        <v>-2022015353</v>
      </c>
      <c r="W142">
        <v>-1513198188</v>
      </c>
      <c r="X142">
        <v>3</v>
      </c>
    </row>
    <row r="143" spans="1:24" x14ac:dyDescent="0.2">
      <c r="A143">
        <v>20</v>
      </c>
      <c r="B143">
        <v>211</v>
      </c>
      <c r="C143">
        <v>3</v>
      </c>
      <c r="D143">
        <v>0</v>
      </c>
      <c r="E143">
        <f>SmtRes!AV211</f>
        <v>0</v>
      </c>
      <c r="F143" t="str">
        <f>SmtRes!I211</f>
        <v>21.1-25-255</v>
      </c>
      <c r="G143" t="str">
        <f>SmtRes!K211</f>
        <v>Пленка полиэтиленовая, толщина 0,12 - 0,15 мм</v>
      </c>
      <c r="H143" t="str">
        <f>SmtRes!O211</f>
        <v>м2</v>
      </c>
      <c r="I143">
        <f>SmtRes!Y211*Source!I213</f>
        <v>5.04</v>
      </c>
      <c r="J143">
        <f>SmtRes!AO211</f>
        <v>1</v>
      </c>
      <c r="K143">
        <f>SmtRes!AE211</f>
        <v>12.02</v>
      </c>
      <c r="L143">
        <f>SmtRes!DB211</f>
        <v>67.31</v>
      </c>
      <c r="M143">
        <f>ROUND(ROUND(L143*Source!I213, 6)*1, 2)</f>
        <v>60.58</v>
      </c>
      <c r="N143">
        <f>SmtRes!AA211</f>
        <v>12.02</v>
      </c>
      <c r="O143">
        <f>ROUND(ROUND(L143*Source!I213, 6)*SmtRes!DA211, 2)</f>
        <v>60.58</v>
      </c>
      <c r="P143">
        <f>SmtRes!AG211</f>
        <v>0</v>
      </c>
      <c r="Q143">
        <f>SmtRes!DC211</f>
        <v>0</v>
      </c>
      <c r="R143">
        <f>ROUND(ROUND(Q143*Source!I213, 6)*1, 2)</f>
        <v>0</v>
      </c>
      <c r="S143">
        <f>SmtRes!AC211</f>
        <v>0</v>
      </c>
      <c r="T143">
        <f>ROUND(ROUND(Q143*Source!I213, 6)*SmtRes!AK211, 2)</f>
        <v>0</v>
      </c>
      <c r="U143">
        <f>SmtRes!X211</f>
        <v>-1185010663</v>
      </c>
      <c r="V143">
        <v>1068066483</v>
      </c>
      <c r="W143">
        <v>2115870156</v>
      </c>
      <c r="X143">
        <v>3</v>
      </c>
    </row>
    <row r="144" spans="1:24" x14ac:dyDescent="0.2">
      <c r="A144">
        <v>20</v>
      </c>
      <c r="B144">
        <v>210</v>
      </c>
      <c r="C144">
        <v>2</v>
      </c>
      <c r="D144">
        <v>0</v>
      </c>
      <c r="E144">
        <f>SmtRes!AV210</f>
        <v>0</v>
      </c>
      <c r="F144" t="str">
        <f>SmtRes!I210</f>
        <v>22.1-6-68</v>
      </c>
      <c r="G144" t="str">
        <f>SmtRes!K210</f>
        <v>Растворосмесители стационарные, емкость до 250 л</v>
      </c>
      <c r="H144" t="str">
        <f>SmtRes!O210</f>
        <v>маш.-ч</v>
      </c>
      <c r="I144">
        <f>SmtRes!Y210*Source!I213</f>
        <v>2.3760000000000003</v>
      </c>
      <c r="J144">
        <f>SmtRes!AO210</f>
        <v>1</v>
      </c>
      <c r="K144">
        <f>SmtRes!AF210</f>
        <v>454.31</v>
      </c>
      <c r="L144">
        <f>SmtRes!DB210</f>
        <v>1199.3800000000001</v>
      </c>
      <c r="M144">
        <f>ROUND(ROUND(L144*Source!I213, 6)*1, 2)</f>
        <v>1079.44</v>
      </c>
      <c r="N144">
        <f>SmtRes!AB210</f>
        <v>454.31</v>
      </c>
      <c r="O144">
        <f>ROUND(ROUND(L144*Source!I213, 6)*SmtRes!DA210, 2)</f>
        <v>1079.44</v>
      </c>
      <c r="P144">
        <f>SmtRes!AG210</f>
        <v>405.68</v>
      </c>
      <c r="Q144">
        <f>SmtRes!DC210</f>
        <v>1071</v>
      </c>
      <c r="R144">
        <f>ROUND(ROUND(Q144*Source!I213, 6)*1, 2)</f>
        <v>963.9</v>
      </c>
      <c r="S144">
        <f>SmtRes!AC210</f>
        <v>405.68</v>
      </c>
      <c r="T144">
        <f>ROUND(ROUND(Q144*Source!I213, 6)*SmtRes!AK210, 2)</f>
        <v>963.9</v>
      </c>
      <c r="U144">
        <f>SmtRes!X210</f>
        <v>1110189246</v>
      </c>
      <c r="V144">
        <v>1539087417</v>
      </c>
      <c r="W144">
        <v>-1650330276</v>
      </c>
      <c r="X144">
        <v>2</v>
      </c>
    </row>
    <row r="145" spans="1:24" x14ac:dyDescent="0.2">
      <c r="A145">
        <v>20</v>
      </c>
      <c r="B145">
        <v>209</v>
      </c>
      <c r="C145">
        <v>2</v>
      </c>
      <c r="D145">
        <v>0</v>
      </c>
      <c r="E145">
        <f>SmtRes!AV209</f>
        <v>0</v>
      </c>
      <c r="F145" t="str">
        <f>SmtRes!I209</f>
        <v>22.1-4-8</v>
      </c>
      <c r="G145" t="str">
        <f>SmtRes!K209</f>
        <v>Погрузчики на автомобильном ходу, грузоподъемность до 1 т</v>
      </c>
      <c r="H145" t="str">
        <f>SmtRes!O209</f>
        <v>маш.-ч</v>
      </c>
      <c r="I145">
        <f>SmtRes!Y209*Source!I213</f>
        <v>9.0000000000000011E-3</v>
      </c>
      <c r="J145">
        <f>SmtRes!AO209</f>
        <v>1</v>
      </c>
      <c r="K145">
        <f>SmtRes!AF209</f>
        <v>616.73</v>
      </c>
      <c r="L145">
        <f>SmtRes!DB209</f>
        <v>6.17</v>
      </c>
      <c r="M145">
        <f>ROUND(ROUND(L145*Source!I213, 6)*1, 2)</f>
        <v>5.55</v>
      </c>
      <c r="N145">
        <f>SmtRes!AB209</f>
        <v>616.73</v>
      </c>
      <c r="O145">
        <f>ROUND(ROUND(L145*Source!I213, 6)*SmtRes!DA209, 2)</f>
        <v>5.55</v>
      </c>
      <c r="P145">
        <f>SmtRes!AG209</f>
        <v>511.29</v>
      </c>
      <c r="Q145">
        <f>SmtRes!DC209</f>
        <v>5.1100000000000003</v>
      </c>
      <c r="R145">
        <f>ROUND(ROUND(Q145*Source!I213, 6)*1, 2)</f>
        <v>4.5999999999999996</v>
      </c>
      <c r="S145">
        <f>SmtRes!AC209</f>
        <v>511.29</v>
      </c>
      <c r="T145">
        <f>ROUND(ROUND(Q145*Source!I213, 6)*SmtRes!AK209, 2)</f>
        <v>4.5999999999999996</v>
      </c>
      <c r="U145">
        <f>SmtRes!X209</f>
        <v>-2052459773</v>
      </c>
      <c r="V145">
        <v>579726280</v>
      </c>
      <c r="W145">
        <v>1460056643</v>
      </c>
      <c r="X145">
        <v>2</v>
      </c>
    </row>
    <row r="146" spans="1:24" x14ac:dyDescent="0.2">
      <c r="A146">
        <v>20</v>
      </c>
      <c r="B146">
        <v>208</v>
      </c>
      <c r="C146">
        <v>2</v>
      </c>
      <c r="D146">
        <v>0</v>
      </c>
      <c r="E146">
        <f>SmtRes!AV208</f>
        <v>0</v>
      </c>
      <c r="F146" t="str">
        <f>SmtRes!I208</f>
        <v>22.1-30-102</v>
      </c>
      <c r="G146" t="str">
        <f>SmtRes!K208</f>
        <v>Дрели электрические, двухскоростные, мощностью 600 Вт</v>
      </c>
      <c r="H146" t="str">
        <f>SmtRes!O208</f>
        <v>маш.-ч</v>
      </c>
      <c r="I146">
        <f>SmtRes!Y208*Source!I213</f>
        <v>1.0620000000000001</v>
      </c>
      <c r="J146">
        <f>SmtRes!AO208</f>
        <v>1</v>
      </c>
      <c r="K146">
        <f>SmtRes!AF208</f>
        <v>7.44</v>
      </c>
      <c r="L146">
        <f>SmtRes!DB208</f>
        <v>8.7799999999999994</v>
      </c>
      <c r="M146">
        <f>ROUND(ROUND(L146*Source!I213, 6)*1, 2)</f>
        <v>7.9</v>
      </c>
      <c r="N146">
        <f>SmtRes!AB208</f>
        <v>7.44</v>
      </c>
      <c r="O146">
        <f>ROUND(ROUND(L146*Source!I213, 6)*SmtRes!DA208, 2)</f>
        <v>7.9</v>
      </c>
      <c r="P146">
        <f>SmtRes!AG208</f>
        <v>0.98</v>
      </c>
      <c r="Q146">
        <f>SmtRes!DC208</f>
        <v>1.1599999999999999</v>
      </c>
      <c r="R146">
        <f>ROUND(ROUND(Q146*Source!I213, 6)*1, 2)</f>
        <v>1.04</v>
      </c>
      <c r="S146">
        <f>SmtRes!AC208</f>
        <v>0.98</v>
      </c>
      <c r="T146">
        <f>ROUND(ROUND(Q146*Source!I213, 6)*SmtRes!AK208, 2)</f>
        <v>1.04</v>
      </c>
      <c r="U146">
        <f>SmtRes!X208</f>
        <v>592514182</v>
      </c>
      <c r="V146">
        <v>807016121</v>
      </c>
      <c r="W146">
        <v>83762966</v>
      </c>
      <c r="X146">
        <v>2</v>
      </c>
    </row>
    <row r="147" spans="1:24" x14ac:dyDescent="0.2">
      <c r="A147">
        <v>20</v>
      </c>
      <c r="B147">
        <v>207</v>
      </c>
      <c r="C147">
        <v>2</v>
      </c>
      <c r="D147">
        <v>0</v>
      </c>
      <c r="E147">
        <f>SmtRes!AV207</f>
        <v>0</v>
      </c>
      <c r="F147" t="str">
        <f>SmtRes!I207</f>
        <v>22.1-17-168</v>
      </c>
      <c r="G147" t="str">
        <f>SmtRes!K207</f>
        <v>Укладчики полимерных покрытий на игровых и спортивных площадках, производительность 10-50 м2/ч</v>
      </c>
      <c r="H147" t="str">
        <f>SmtRes!O207</f>
        <v>маш.-ч</v>
      </c>
      <c r="I147">
        <f>SmtRes!Y207*Source!I213</f>
        <v>2.3760000000000003</v>
      </c>
      <c r="J147">
        <f>SmtRes!AO207</f>
        <v>1</v>
      </c>
      <c r="K147">
        <f>SmtRes!AF207</f>
        <v>531.41</v>
      </c>
      <c r="L147">
        <f>SmtRes!DB207</f>
        <v>1402.92</v>
      </c>
      <c r="M147">
        <f>ROUND(ROUND(L147*Source!I213, 6)*1, 2)</f>
        <v>1262.6300000000001</v>
      </c>
      <c r="N147">
        <f>SmtRes!AB207</f>
        <v>531.41</v>
      </c>
      <c r="O147">
        <f>ROUND(ROUND(L147*Source!I213, 6)*SmtRes!DA207, 2)</f>
        <v>1262.6300000000001</v>
      </c>
      <c r="P147">
        <f>SmtRes!AG207</f>
        <v>373.56</v>
      </c>
      <c r="Q147">
        <f>SmtRes!DC207</f>
        <v>986.2</v>
      </c>
      <c r="R147">
        <f>ROUND(ROUND(Q147*Source!I213, 6)*1, 2)</f>
        <v>887.58</v>
      </c>
      <c r="S147">
        <f>SmtRes!AC207</f>
        <v>373.56</v>
      </c>
      <c r="T147">
        <f>ROUND(ROUND(Q147*Source!I213, 6)*SmtRes!AK207, 2)</f>
        <v>887.58</v>
      </c>
      <c r="U147">
        <f>SmtRes!X207</f>
        <v>72422803</v>
      </c>
      <c r="V147">
        <v>1063291144</v>
      </c>
      <c r="W147">
        <v>904665643</v>
      </c>
      <c r="X147">
        <v>2</v>
      </c>
    </row>
    <row r="148" spans="1:24" x14ac:dyDescent="0.2">
      <c r="A148">
        <v>20</v>
      </c>
      <c r="B148">
        <v>221</v>
      </c>
      <c r="C148">
        <v>3</v>
      </c>
      <c r="D148">
        <v>0</v>
      </c>
      <c r="E148">
        <f>SmtRes!AV221</f>
        <v>0</v>
      </c>
      <c r="F148" t="str">
        <f>SmtRes!I221</f>
        <v>21.1-6-101</v>
      </c>
      <c r="G148" t="str">
        <f>SmtRes!K221</f>
        <v>Пигменты сухие для красок, кислотный желтый</v>
      </c>
      <c r="H148" t="str">
        <f>SmtRes!O221</f>
        <v>т</v>
      </c>
      <c r="I148">
        <f>SmtRes!Y221*Source!I214</f>
        <v>9.4500000000000001E-3</v>
      </c>
      <c r="J148">
        <f>SmtRes!AO221</f>
        <v>1</v>
      </c>
      <c r="K148">
        <f>SmtRes!AE221</f>
        <v>748299.67</v>
      </c>
      <c r="L148">
        <f>SmtRes!DB221</f>
        <v>7857.15</v>
      </c>
      <c r="M148">
        <f>ROUND(ROUND(L148*Source!I214, 6)*1, 2)</f>
        <v>7071.44</v>
      </c>
      <c r="N148">
        <f>SmtRes!AA221</f>
        <v>748299.67</v>
      </c>
      <c r="O148">
        <f>ROUND(ROUND(L148*Source!I214, 6)*SmtRes!DA221, 2)</f>
        <v>7071.44</v>
      </c>
      <c r="P148">
        <f>SmtRes!AG221</f>
        <v>0</v>
      </c>
      <c r="Q148">
        <f>SmtRes!DC221</f>
        <v>0</v>
      </c>
      <c r="R148">
        <f>ROUND(ROUND(Q148*Source!I214, 6)*1, 2)</f>
        <v>0</v>
      </c>
      <c r="S148">
        <f>SmtRes!AC221</f>
        <v>0</v>
      </c>
      <c r="T148">
        <f>ROUND(ROUND(Q148*Source!I214, 6)*SmtRes!AK221, 2)</f>
        <v>0</v>
      </c>
      <c r="U148">
        <f>SmtRes!X221</f>
        <v>-1600259051</v>
      </c>
      <c r="V148">
        <v>-2022093422</v>
      </c>
      <c r="W148">
        <v>1055948583</v>
      </c>
      <c r="X148">
        <v>3</v>
      </c>
    </row>
    <row r="149" spans="1:24" x14ac:dyDescent="0.2">
      <c r="A149">
        <v>20</v>
      </c>
      <c r="B149">
        <v>220</v>
      </c>
      <c r="C149">
        <v>3</v>
      </c>
      <c r="D149">
        <v>0</v>
      </c>
      <c r="E149">
        <f>SmtRes!AV220</f>
        <v>0</v>
      </c>
      <c r="F149" t="str">
        <f>SmtRes!I220</f>
        <v>21.1-25-776</v>
      </c>
      <c r="G149" t="str">
        <f>SmtRes!K220</f>
        <v>Средство связующее универсальное полиуретановое на основе резиновой и каучуковой крошки для устройства высокопрочных эластичных покрытий</v>
      </c>
      <c r="H149" t="str">
        <f>SmtRes!O220</f>
        <v>кг</v>
      </c>
      <c r="I149">
        <f>SmtRes!Y220*Source!I214</f>
        <v>37.800000000000004</v>
      </c>
      <c r="J149">
        <f>SmtRes!AO220</f>
        <v>1</v>
      </c>
      <c r="K149">
        <f>SmtRes!AE220</f>
        <v>202.34</v>
      </c>
      <c r="L149">
        <f>SmtRes!DB220</f>
        <v>8498.2800000000007</v>
      </c>
      <c r="M149">
        <f>ROUND(ROUND(L149*Source!I214, 6)*1, 2)</f>
        <v>7648.45</v>
      </c>
      <c r="N149">
        <f>SmtRes!AA220</f>
        <v>202.34</v>
      </c>
      <c r="O149">
        <f>ROUND(ROUND(L149*Source!I214, 6)*SmtRes!DA220, 2)</f>
        <v>7648.45</v>
      </c>
      <c r="P149">
        <f>SmtRes!AG220</f>
        <v>0</v>
      </c>
      <c r="Q149">
        <f>SmtRes!DC220</f>
        <v>0</v>
      </c>
      <c r="R149">
        <f>ROUND(ROUND(Q149*Source!I214, 6)*1, 2)</f>
        <v>0</v>
      </c>
      <c r="S149">
        <f>SmtRes!AC220</f>
        <v>0</v>
      </c>
      <c r="T149">
        <f>ROUND(ROUND(Q149*Source!I214, 6)*SmtRes!AK220, 2)</f>
        <v>0</v>
      </c>
      <c r="U149">
        <f>SmtRes!X220</f>
        <v>-319511878</v>
      </c>
      <c r="V149">
        <v>-233522306</v>
      </c>
      <c r="W149">
        <v>1409483656</v>
      </c>
      <c r="X149">
        <v>3</v>
      </c>
    </row>
    <row r="150" spans="1:24" x14ac:dyDescent="0.2">
      <c r="A150">
        <v>20</v>
      </c>
      <c r="B150">
        <v>219</v>
      </c>
      <c r="C150">
        <v>3</v>
      </c>
      <c r="D150">
        <v>0</v>
      </c>
      <c r="E150">
        <f>SmtRes!AV219</f>
        <v>0</v>
      </c>
      <c r="F150" t="str">
        <f>SmtRes!I219</f>
        <v>21.1-25-769</v>
      </c>
      <c r="G150" t="str">
        <f>SmtRes!K219</f>
        <v>Крошка резиновая гранулированная, фракция 2-3 мм</v>
      </c>
      <c r="H150" t="str">
        <f>SmtRes!O219</f>
        <v>кг</v>
      </c>
      <c r="I150">
        <f>SmtRes!Y219*Source!I214</f>
        <v>132.30000000000001</v>
      </c>
      <c r="J150">
        <f>SmtRes!AO219</f>
        <v>1</v>
      </c>
      <c r="K150">
        <f>SmtRes!AE219</f>
        <v>17.77</v>
      </c>
      <c r="L150">
        <f>SmtRes!DB219</f>
        <v>2612.19</v>
      </c>
      <c r="M150">
        <f>ROUND(ROUND(L150*Source!I214, 6)*1, 2)</f>
        <v>2350.9699999999998</v>
      </c>
      <c r="N150">
        <f>SmtRes!AA219</f>
        <v>17.77</v>
      </c>
      <c r="O150">
        <f>ROUND(ROUND(L150*Source!I214, 6)*SmtRes!DA219, 2)</f>
        <v>2350.9699999999998</v>
      </c>
      <c r="P150">
        <f>SmtRes!AG219</f>
        <v>0</v>
      </c>
      <c r="Q150">
        <f>SmtRes!DC219</f>
        <v>0</v>
      </c>
      <c r="R150">
        <f>ROUND(ROUND(Q150*Source!I214, 6)*1, 2)</f>
        <v>0</v>
      </c>
      <c r="S150">
        <f>SmtRes!AC219</f>
        <v>0</v>
      </c>
      <c r="T150">
        <f>ROUND(ROUND(Q150*Source!I214, 6)*SmtRes!AK219, 2)</f>
        <v>0</v>
      </c>
      <c r="U150">
        <f>SmtRes!X219</f>
        <v>1696686191</v>
      </c>
      <c r="V150">
        <v>711481079</v>
      </c>
      <c r="W150">
        <v>1650918109</v>
      </c>
      <c r="X150">
        <v>3</v>
      </c>
    </row>
    <row r="151" spans="1:24" x14ac:dyDescent="0.2">
      <c r="A151">
        <v>20</v>
      </c>
      <c r="B151">
        <v>218</v>
      </c>
      <c r="C151">
        <v>2</v>
      </c>
      <c r="D151">
        <v>0</v>
      </c>
      <c r="E151">
        <f>SmtRes!AV218</f>
        <v>0</v>
      </c>
      <c r="F151" t="str">
        <f>SmtRes!I218</f>
        <v>22.1-6-68</v>
      </c>
      <c r="G151" t="str">
        <f>SmtRes!K218</f>
        <v>Растворосмесители стационарные, емкость до 250 л</v>
      </c>
      <c r="H151" t="str">
        <f>SmtRes!O218</f>
        <v>маш.-ч</v>
      </c>
      <c r="I151">
        <f>SmtRes!Y218*Source!I214</f>
        <v>0.45</v>
      </c>
      <c r="J151">
        <f>SmtRes!AO218</f>
        <v>1</v>
      </c>
      <c r="K151">
        <f>SmtRes!AF218</f>
        <v>454.31</v>
      </c>
      <c r="L151">
        <f>SmtRes!DB218</f>
        <v>227.16</v>
      </c>
      <c r="M151">
        <f>ROUND(ROUND(L151*Source!I214, 6)*1, 2)</f>
        <v>204.44</v>
      </c>
      <c r="N151">
        <f>SmtRes!AB218</f>
        <v>454.31</v>
      </c>
      <c r="O151">
        <f>ROUND(ROUND(L151*Source!I214, 6)*SmtRes!DA218, 2)</f>
        <v>204.44</v>
      </c>
      <c r="P151">
        <f>SmtRes!AG218</f>
        <v>405.68</v>
      </c>
      <c r="Q151">
        <f>SmtRes!DC218</f>
        <v>202.84</v>
      </c>
      <c r="R151">
        <f>ROUND(ROUND(Q151*Source!I214, 6)*1, 2)</f>
        <v>182.56</v>
      </c>
      <c r="S151">
        <f>SmtRes!AC218</f>
        <v>405.68</v>
      </c>
      <c r="T151">
        <f>ROUND(ROUND(Q151*Source!I214, 6)*SmtRes!AK218, 2)</f>
        <v>182.56</v>
      </c>
      <c r="U151">
        <f>SmtRes!X218</f>
        <v>1110189246</v>
      </c>
      <c r="V151">
        <v>1539087417</v>
      </c>
      <c r="W151">
        <v>-1650330276</v>
      </c>
      <c r="X151">
        <v>2</v>
      </c>
    </row>
    <row r="152" spans="1:24" x14ac:dyDescent="0.2">
      <c r="A152">
        <v>20</v>
      </c>
      <c r="B152">
        <v>217</v>
      </c>
      <c r="C152">
        <v>2</v>
      </c>
      <c r="D152">
        <v>0</v>
      </c>
      <c r="E152">
        <f>SmtRes!AV217</f>
        <v>0</v>
      </c>
      <c r="F152" t="str">
        <f>SmtRes!I217</f>
        <v>22.1-17-168</v>
      </c>
      <c r="G152" t="str">
        <f>SmtRes!K217</f>
        <v>Укладчики полимерных покрытий на игровых и спортивных площадках, производительность 10-50 м2/ч</v>
      </c>
      <c r="H152" t="str">
        <f>SmtRes!O217</f>
        <v>маш.-ч</v>
      </c>
      <c r="I152">
        <f>SmtRes!Y217*Source!I214</f>
        <v>0.45</v>
      </c>
      <c r="J152">
        <f>SmtRes!AO217</f>
        <v>1</v>
      </c>
      <c r="K152">
        <f>SmtRes!AF217</f>
        <v>531.41</v>
      </c>
      <c r="L152">
        <f>SmtRes!DB217</f>
        <v>265.70999999999998</v>
      </c>
      <c r="M152">
        <f>ROUND(ROUND(L152*Source!I214, 6)*1, 2)</f>
        <v>239.14</v>
      </c>
      <c r="N152">
        <f>SmtRes!AB217</f>
        <v>531.41</v>
      </c>
      <c r="O152">
        <f>ROUND(ROUND(L152*Source!I214, 6)*SmtRes!DA217, 2)</f>
        <v>239.14</v>
      </c>
      <c r="P152">
        <f>SmtRes!AG217</f>
        <v>373.56</v>
      </c>
      <c r="Q152">
        <f>SmtRes!DC217</f>
        <v>186.78</v>
      </c>
      <c r="R152">
        <f>ROUND(ROUND(Q152*Source!I214, 6)*1, 2)</f>
        <v>168.1</v>
      </c>
      <c r="S152">
        <f>SmtRes!AC217</f>
        <v>373.56</v>
      </c>
      <c r="T152">
        <f>ROUND(ROUND(Q152*Source!I214, 6)*SmtRes!AK217, 2)</f>
        <v>168.1</v>
      </c>
      <c r="U152">
        <f>SmtRes!X217</f>
        <v>72422803</v>
      </c>
      <c r="V152">
        <v>1063291144</v>
      </c>
      <c r="W152">
        <v>904665643</v>
      </c>
      <c r="X152">
        <v>2</v>
      </c>
    </row>
    <row r="153" spans="1:24" x14ac:dyDescent="0.2">
      <c r="A153">
        <v>20</v>
      </c>
      <c r="B153">
        <v>235</v>
      </c>
      <c r="C153">
        <v>3</v>
      </c>
      <c r="D153">
        <v>0</v>
      </c>
      <c r="E153">
        <f>SmtRes!AV235</f>
        <v>0</v>
      </c>
      <c r="F153" t="str">
        <f>SmtRes!I235</f>
        <v>21.5-3-9</v>
      </c>
      <c r="G153" t="str">
        <f>SmtRes!K235</f>
        <v>Камни бетонные бортовые газонные, марка 2ГБ 60.8.20, цвет серый</v>
      </c>
      <c r="H153" t="str">
        <f>SmtRes!O235</f>
        <v>м3</v>
      </c>
      <c r="I153">
        <f>SmtRes!Y235*Source!I217</f>
        <v>0.6080000000000001</v>
      </c>
      <c r="J153">
        <f>SmtRes!AO235</f>
        <v>1</v>
      </c>
      <c r="K153">
        <f>SmtRes!AE235</f>
        <v>11566.57</v>
      </c>
      <c r="L153">
        <f>SmtRes!DB235</f>
        <v>18506.509999999998</v>
      </c>
      <c r="M153">
        <f>ROUND(ROUND(L153*Source!I217, 6)*1, 2)</f>
        <v>7032.47</v>
      </c>
      <c r="N153">
        <f>SmtRes!AA235</f>
        <v>11566.57</v>
      </c>
      <c r="O153">
        <f>ROUND(ROUND(L153*Source!I217, 6)*SmtRes!DA235, 2)</f>
        <v>7032.47</v>
      </c>
      <c r="P153">
        <f>SmtRes!AG235</f>
        <v>0</v>
      </c>
      <c r="Q153">
        <f>SmtRes!DC235</f>
        <v>0</v>
      </c>
      <c r="R153">
        <f>ROUND(ROUND(Q153*Source!I217, 6)*1, 2)</f>
        <v>0</v>
      </c>
      <c r="S153">
        <f>SmtRes!AC235</f>
        <v>0</v>
      </c>
      <c r="T153">
        <f>ROUND(ROUND(Q153*Source!I217, 6)*SmtRes!AK235, 2)</f>
        <v>0</v>
      </c>
      <c r="U153">
        <f>SmtRes!X235</f>
        <v>892889602</v>
      </c>
      <c r="V153">
        <v>2056656452</v>
      </c>
      <c r="W153">
        <v>-418158513</v>
      </c>
      <c r="X153">
        <v>3</v>
      </c>
    </row>
    <row r="154" spans="1:24" x14ac:dyDescent="0.2">
      <c r="A154">
        <v>20</v>
      </c>
      <c r="B154">
        <v>234</v>
      </c>
      <c r="C154">
        <v>3</v>
      </c>
      <c r="D154">
        <v>0</v>
      </c>
      <c r="E154">
        <f>SmtRes!AV234</f>
        <v>0</v>
      </c>
      <c r="F154" t="str">
        <f>SmtRes!I234</f>
        <v>21.3-2-15</v>
      </c>
      <c r="G154" t="str">
        <f>SmtRes!K234</f>
        <v>Растворы цементные, марка 100</v>
      </c>
      <c r="H154" t="str">
        <f>SmtRes!O234</f>
        <v>м3</v>
      </c>
      <c r="I154">
        <f>SmtRes!Y234*Source!I217</f>
        <v>7.6E-3</v>
      </c>
      <c r="J154">
        <f>SmtRes!AO234</f>
        <v>1</v>
      </c>
      <c r="K154">
        <f>SmtRes!AE234</f>
        <v>3392.59</v>
      </c>
      <c r="L154">
        <f>SmtRes!DB234</f>
        <v>67.849999999999994</v>
      </c>
      <c r="M154">
        <f>ROUND(ROUND(L154*Source!I217, 6)*1, 2)</f>
        <v>25.78</v>
      </c>
      <c r="N154">
        <f>SmtRes!AA234</f>
        <v>3392.59</v>
      </c>
      <c r="O154">
        <f>ROUND(ROUND(L154*Source!I217, 6)*SmtRes!DA234, 2)</f>
        <v>25.78</v>
      </c>
      <c r="P154">
        <f>SmtRes!AG234</f>
        <v>0</v>
      </c>
      <c r="Q154">
        <f>SmtRes!DC234</f>
        <v>0</v>
      </c>
      <c r="R154">
        <f>ROUND(ROUND(Q154*Source!I217, 6)*1, 2)</f>
        <v>0</v>
      </c>
      <c r="S154">
        <f>SmtRes!AC234</f>
        <v>0</v>
      </c>
      <c r="T154">
        <f>ROUND(ROUND(Q154*Source!I217, 6)*SmtRes!AK234, 2)</f>
        <v>0</v>
      </c>
      <c r="U154">
        <f>SmtRes!X234</f>
        <v>853860812</v>
      </c>
      <c r="V154">
        <v>1081577658</v>
      </c>
      <c r="W154">
        <v>761304375</v>
      </c>
      <c r="X154">
        <v>3</v>
      </c>
    </row>
    <row r="155" spans="1:24" x14ac:dyDescent="0.2">
      <c r="A155">
        <v>20</v>
      </c>
      <c r="B155">
        <v>233</v>
      </c>
      <c r="C155">
        <v>3</v>
      </c>
      <c r="D155">
        <v>0</v>
      </c>
      <c r="E155">
        <f>SmtRes!AV233</f>
        <v>0</v>
      </c>
      <c r="F155" t="str">
        <f>SmtRes!I233</f>
        <v>21.3-1-69</v>
      </c>
      <c r="G155" t="str">
        <f>SmtRes!K233</f>
        <v>Смеси бетонные, БСГ, тяжелого бетона на гранитном щебне, класс прочности: В15 (М200); П3, фракция 5-20, F50-100, W0-2</v>
      </c>
      <c r="H155" t="str">
        <f>SmtRes!O233</f>
        <v>м3</v>
      </c>
      <c r="I155">
        <f>SmtRes!Y233*Source!I217</f>
        <v>1.6339999999999999</v>
      </c>
      <c r="J155">
        <f>SmtRes!AO233</f>
        <v>1</v>
      </c>
      <c r="K155">
        <f>SmtRes!AE233</f>
        <v>3714.73</v>
      </c>
      <c r="L155">
        <f>SmtRes!DB233</f>
        <v>15973.34</v>
      </c>
      <c r="M155">
        <f>ROUND(ROUND(L155*Source!I217, 6)*1, 2)</f>
        <v>6069.87</v>
      </c>
      <c r="N155">
        <f>SmtRes!AA233</f>
        <v>3714.73</v>
      </c>
      <c r="O155">
        <f>ROUND(ROUND(L155*Source!I217, 6)*SmtRes!DA233, 2)</f>
        <v>6069.87</v>
      </c>
      <c r="P155">
        <f>SmtRes!AG233</f>
        <v>0</v>
      </c>
      <c r="Q155">
        <f>SmtRes!DC233</f>
        <v>0</v>
      </c>
      <c r="R155">
        <f>ROUND(ROUND(Q155*Source!I217, 6)*1, 2)</f>
        <v>0</v>
      </c>
      <c r="S155">
        <f>SmtRes!AC233</f>
        <v>0</v>
      </c>
      <c r="T155">
        <f>ROUND(ROUND(Q155*Source!I217, 6)*SmtRes!AK233, 2)</f>
        <v>0</v>
      </c>
      <c r="U155">
        <f>SmtRes!X233</f>
        <v>426331755</v>
      </c>
      <c r="V155">
        <v>-1437152771</v>
      </c>
      <c r="W155">
        <v>-1406457179</v>
      </c>
      <c r="X155">
        <v>3</v>
      </c>
    </row>
    <row r="156" spans="1:24" x14ac:dyDescent="0.2">
      <c r="A156">
        <v>20</v>
      </c>
      <c r="B156">
        <v>232</v>
      </c>
      <c r="C156">
        <v>2</v>
      </c>
      <c r="D156">
        <v>0</v>
      </c>
      <c r="E156">
        <f>SmtRes!AV232</f>
        <v>0</v>
      </c>
      <c r="F156" t="str">
        <f>SmtRes!I232</f>
        <v>22.1-4-12</v>
      </c>
      <c r="G156" t="str">
        <f>SmtRes!K232</f>
        <v>Погрузчики на автомобильном ходу, грузоподъемность до 5 т</v>
      </c>
      <c r="H156" t="str">
        <f>SmtRes!O232</f>
        <v>маш.-ч</v>
      </c>
      <c r="I156">
        <f>SmtRes!Y232*Source!I217</f>
        <v>9.8799999999999999E-2</v>
      </c>
      <c r="J156">
        <f>SmtRes!AO232</f>
        <v>1</v>
      </c>
      <c r="K156">
        <f>SmtRes!AF232</f>
        <v>683.9</v>
      </c>
      <c r="L156">
        <f>SmtRes!DB232</f>
        <v>177.81</v>
      </c>
      <c r="M156">
        <f>ROUND(ROUND(L156*Source!I217, 6)*1, 2)</f>
        <v>67.569999999999993</v>
      </c>
      <c r="N156">
        <f>SmtRes!AB232</f>
        <v>683.9</v>
      </c>
      <c r="O156">
        <f>ROUND(ROUND(L156*Source!I217, 6)*SmtRes!DA232, 2)</f>
        <v>67.569999999999993</v>
      </c>
      <c r="P156">
        <f>SmtRes!AG232</f>
        <v>371.27</v>
      </c>
      <c r="Q156">
        <f>SmtRes!DC232</f>
        <v>96.53</v>
      </c>
      <c r="R156">
        <f>ROUND(ROUND(Q156*Source!I217, 6)*1, 2)</f>
        <v>36.68</v>
      </c>
      <c r="S156">
        <f>SmtRes!AC232</f>
        <v>371.27</v>
      </c>
      <c r="T156">
        <f>ROUND(ROUND(Q156*Source!I217, 6)*SmtRes!AK232, 2)</f>
        <v>36.68</v>
      </c>
      <c r="U156">
        <f>SmtRes!X232</f>
        <v>-1323805330</v>
      </c>
      <c r="V156">
        <v>1986574417</v>
      </c>
      <c r="W156">
        <v>-926712809</v>
      </c>
      <c r="X156">
        <v>2</v>
      </c>
    </row>
    <row r="157" spans="1:24" x14ac:dyDescent="0.2">
      <c r="A157">
        <v>20</v>
      </c>
      <c r="B157">
        <v>243</v>
      </c>
      <c r="C157">
        <v>3</v>
      </c>
      <c r="D157">
        <v>0</v>
      </c>
      <c r="E157">
        <f>SmtRes!AV243</f>
        <v>0</v>
      </c>
      <c r="F157" t="str">
        <f>SmtRes!I243</f>
        <v>21.3-2-12</v>
      </c>
      <c r="G157" t="str">
        <f>SmtRes!K243</f>
        <v>Растворы цементные, марка 25</v>
      </c>
      <c r="H157" t="str">
        <f>SmtRes!O243</f>
        <v>м3</v>
      </c>
      <c r="I157">
        <f>SmtRes!Y243*Source!I218</f>
        <v>4.4999999999999999E-4</v>
      </c>
      <c r="J157">
        <f>SmtRes!AO243</f>
        <v>1</v>
      </c>
      <c r="K157">
        <f>SmtRes!AE243</f>
        <v>3323.4</v>
      </c>
      <c r="L157">
        <f>SmtRes!DB243</f>
        <v>49.85</v>
      </c>
      <c r="M157">
        <f>ROUND(ROUND(L157*Source!I218, 6)*1, 2)</f>
        <v>1.5</v>
      </c>
      <c r="N157">
        <f>SmtRes!AA243</f>
        <v>3323.4</v>
      </c>
      <c r="O157">
        <f>ROUND(ROUND(L157*Source!I218, 6)*SmtRes!DA243, 2)</f>
        <v>1.5</v>
      </c>
      <c r="P157">
        <f>SmtRes!AG243</f>
        <v>0</v>
      </c>
      <c r="Q157">
        <f>SmtRes!DC243</f>
        <v>0</v>
      </c>
      <c r="R157">
        <f>ROUND(ROUND(Q157*Source!I218, 6)*1, 2)</f>
        <v>0</v>
      </c>
      <c r="S157">
        <f>SmtRes!AC243</f>
        <v>0</v>
      </c>
      <c r="T157">
        <f>ROUND(ROUND(Q157*Source!I218, 6)*SmtRes!AK243, 2)</f>
        <v>0</v>
      </c>
      <c r="U157">
        <f>SmtRes!X243</f>
        <v>416525707</v>
      </c>
      <c r="V157">
        <v>-1256474786</v>
      </c>
      <c r="W157">
        <v>809277097</v>
      </c>
      <c r="X157">
        <v>3</v>
      </c>
    </row>
    <row r="158" spans="1:24" x14ac:dyDescent="0.2">
      <c r="A158">
        <f>Source!A225</f>
        <v>18</v>
      </c>
      <c r="B158">
        <v>225</v>
      </c>
      <c r="C158">
        <v>3</v>
      </c>
      <c r="D158">
        <f>Source!BI225</f>
        <v>4</v>
      </c>
      <c r="E158">
        <f>Source!FS225</f>
        <v>0</v>
      </c>
      <c r="F158" t="str">
        <f>Source!F225</f>
        <v>по цене поставщика</v>
      </c>
      <c r="G158" t="str">
        <f>Source!G225</f>
        <v>МАФ: Песочница с крышкой "Малыш" (РЕ-45) для детских садов и ДОУ 2000х1500х580  Ссылка: https://goroddd.ru/pesoch/pesochnitca-s-kryshkoy-malysh-dlya-detskikh-sadov-i-dou</v>
      </c>
      <c r="H158" t="str">
        <f>Source!H225</f>
        <v>шт.</v>
      </c>
      <c r="I158">
        <f>Source!I225</f>
        <v>1</v>
      </c>
      <c r="J158">
        <v>1</v>
      </c>
      <c r="K158">
        <f>Source!AC225</f>
        <v>17250</v>
      </c>
      <c r="M158">
        <f>ROUND(K158*I158, 2)</f>
        <v>17250</v>
      </c>
      <c r="N158">
        <f>Source!AC225*IF(Source!BC225&lt;&gt; 0, Source!BC225, 1)</f>
        <v>17250</v>
      </c>
      <c r="O158">
        <f>ROUND(N158*I158, 2)</f>
        <v>17250</v>
      </c>
      <c r="P158">
        <f>Source!AE225</f>
        <v>0</v>
      </c>
      <c r="R158">
        <f>ROUND(P158*I158, 2)</f>
        <v>0</v>
      </c>
      <c r="S158">
        <f>Source!AE225*IF(Source!BS225&lt;&gt; 0, Source!BS225, 1)</f>
        <v>0</v>
      </c>
      <c r="T158">
        <f>ROUND(S158*I158, 2)</f>
        <v>0</v>
      </c>
      <c r="U158">
        <f>Source!GF225</f>
        <v>-292158938</v>
      </c>
      <c r="V158">
        <v>-1695686249</v>
      </c>
      <c r="W158">
        <v>1338406588</v>
      </c>
      <c r="X158">
        <v>3</v>
      </c>
    </row>
    <row r="159" spans="1:24" x14ac:dyDescent="0.2">
      <c r="A159">
        <f>Source!A226</f>
        <v>18</v>
      </c>
      <c r="B159">
        <v>226</v>
      </c>
      <c r="C159">
        <v>3</v>
      </c>
      <c r="D159">
        <f>Source!BI226</f>
        <v>4</v>
      </c>
      <c r="E159">
        <f>Source!FS226</f>
        <v>0</v>
      </c>
      <c r="F159" t="str">
        <f>Source!F226</f>
        <v>по цене поставщика</v>
      </c>
      <c r="G159" t="str">
        <f>Source!G226</f>
        <v>Функциональный уличный игровой домик для детей "Море" (DO-33) 1800х1350х1450  https://goroddd.ru/detdom/ulichnyy-igrovoy-domik-dlya-detey-more</v>
      </c>
      <c r="H159" t="str">
        <f>Source!H226</f>
        <v>шт.</v>
      </c>
      <c r="I159">
        <f>Source!I226</f>
        <v>1</v>
      </c>
      <c r="J159">
        <v>1</v>
      </c>
      <c r="K159">
        <f>Source!AC226</f>
        <v>44166.67</v>
      </c>
      <c r="M159">
        <f>ROUND(K159*I159, 2)</f>
        <v>44166.67</v>
      </c>
      <c r="N159">
        <f>Source!AC226*IF(Source!BC226&lt;&gt; 0, Source!BC226, 1)</f>
        <v>44166.67</v>
      </c>
      <c r="O159">
        <f>ROUND(N159*I159, 2)</f>
        <v>44166.67</v>
      </c>
      <c r="P159">
        <f>Source!AE226</f>
        <v>0</v>
      </c>
      <c r="R159">
        <f>ROUND(P159*I159, 2)</f>
        <v>0</v>
      </c>
      <c r="S159">
        <f>Source!AE226*IF(Source!BS226&lt;&gt; 0, Source!BS226, 1)</f>
        <v>0</v>
      </c>
      <c r="T159">
        <f>ROUND(S159*I159, 2)</f>
        <v>0</v>
      </c>
      <c r="U159">
        <f>Source!GF226</f>
        <v>774189156</v>
      </c>
      <c r="V159">
        <v>613531390</v>
      </c>
      <c r="W159">
        <v>-2073129128</v>
      </c>
      <c r="X159">
        <v>3</v>
      </c>
    </row>
    <row r="160" spans="1:24" x14ac:dyDescent="0.2">
      <c r="A160">
        <f>Source!A227</f>
        <v>18</v>
      </c>
      <c r="B160">
        <v>227</v>
      </c>
      <c r="C160">
        <v>3</v>
      </c>
      <c r="D160">
        <f>Source!BI227</f>
        <v>4</v>
      </c>
      <c r="E160">
        <f>Source!FS227</f>
        <v>0</v>
      </c>
      <c r="F160" t="str">
        <f>Source!F227</f>
        <v>по цене поставщика</v>
      </c>
      <c r="G160" t="str">
        <f>Source!G227</f>
        <v>МАФ: Игровое оборудование паровозик для детских садов и ДОУ "Разноцветный паровозик" (ИМН-66) 1900х1000х1600  https://goroddd.ru/makety-i-elementy/igrovoy-maket-dlya-detskikh-ploschadok-raznotcvetnyy-parovozik-i</v>
      </c>
      <c r="H160" t="str">
        <f>Source!H227</f>
        <v>шт.</v>
      </c>
      <c r="I160">
        <f>Source!I227</f>
        <v>1</v>
      </c>
      <c r="J160">
        <v>1</v>
      </c>
      <c r="K160">
        <f>Source!AC227</f>
        <v>48916.67</v>
      </c>
      <c r="M160">
        <f>ROUND(K160*I160, 2)</f>
        <v>48916.67</v>
      </c>
      <c r="N160">
        <f>Source!AC227*IF(Source!BC227&lt;&gt; 0, Source!BC227, 1)</f>
        <v>48916.67</v>
      </c>
      <c r="O160">
        <f>ROUND(N160*I160, 2)</f>
        <v>48916.67</v>
      </c>
      <c r="P160">
        <f>Source!AE227</f>
        <v>0</v>
      </c>
      <c r="R160">
        <f>ROUND(P160*I160, 2)</f>
        <v>0</v>
      </c>
      <c r="S160">
        <f>Source!AE227*IF(Source!BS227&lt;&gt; 0, Source!BS227, 1)</f>
        <v>0</v>
      </c>
      <c r="T160">
        <f>ROUND(S160*I160, 2)</f>
        <v>0</v>
      </c>
      <c r="U160">
        <f>Source!GF227</f>
        <v>-696338570</v>
      </c>
      <c r="V160">
        <v>-1847164477</v>
      </c>
      <c r="W160">
        <v>-82390964</v>
      </c>
      <c r="X160">
        <v>3</v>
      </c>
    </row>
    <row r="161" spans="1:24" x14ac:dyDescent="0.2">
      <c r="A161">
        <f>Source!A259</f>
        <v>5</v>
      </c>
      <c r="B161">
        <v>259</v>
      </c>
      <c r="G161" t="str">
        <f>Source!G259</f>
        <v>Игровая площадка группы № 10</v>
      </c>
    </row>
    <row r="162" spans="1:24" x14ac:dyDescent="0.2">
      <c r="A162">
        <v>20</v>
      </c>
      <c r="B162">
        <v>251</v>
      </c>
      <c r="C162">
        <v>2</v>
      </c>
      <c r="D162">
        <v>0</v>
      </c>
      <c r="E162">
        <f>SmtRes!AV251</f>
        <v>0</v>
      </c>
      <c r="F162" t="str">
        <f>SmtRes!I251</f>
        <v>22.1-5-48</v>
      </c>
      <c r="G162" t="str">
        <f>SmtRes!K251</f>
        <v>Автогрейдеры, мощность 99-147 кВт (130-200 л.с.)</v>
      </c>
      <c r="H162" t="str">
        <f>SmtRes!O251</f>
        <v>маш.-ч</v>
      </c>
      <c r="I162">
        <f>SmtRes!Y251*Source!I264</f>
        <v>4.4639999999999999E-2</v>
      </c>
      <c r="J162">
        <f>SmtRes!AO251</f>
        <v>1</v>
      </c>
      <c r="K162">
        <f>SmtRes!AF251</f>
        <v>1412.71</v>
      </c>
      <c r="L162">
        <f>SmtRes!DB251</f>
        <v>2189.6999999999998</v>
      </c>
      <c r="M162">
        <f>ROUND(ROUND(L162*Source!I264, 6)*1, 2)</f>
        <v>63.06</v>
      </c>
      <c r="N162">
        <f>SmtRes!AB251</f>
        <v>1412.71</v>
      </c>
      <c r="O162">
        <f>ROUND(ROUND(L162*Source!I264, 6)*SmtRes!DA251, 2)</f>
        <v>63.06</v>
      </c>
      <c r="P162">
        <f>SmtRes!AG251</f>
        <v>641.32000000000005</v>
      </c>
      <c r="Q162">
        <f>SmtRes!DC251</f>
        <v>994.05</v>
      </c>
      <c r="R162">
        <f>ROUND(ROUND(Q162*Source!I264, 6)*1, 2)</f>
        <v>28.63</v>
      </c>
      <c r="S162">
        <f>SmtRes!AC251</f>
        <v>641.32000000000005</v>
      </c>
      <c r="T162">
        <f>ROUND(ROUND(Q162*Source!I264, 6)*SmtRes!AK251, 2)</f>
        <v>28.63</v>
      </c>
      <c r="U162">
        <f>SmtRes!X251</f>
        <v>1116182101</v>
      </c>
      <c r="V162">
        <v>-405216514</v>
      </c>
      <c r="W162">
        <v>38483568</v>
      </c>
      <c r="X162">
        <v>2</v>
      </c>
    </row>
    <row r="163" spans="1:24" x14ac:dyDescent="0.2">
      <c r="A163">
        <v>20</v>
      </c>
      <c r="B163">
        <v>250</v>
      </c>
      <c r="C163">
        <v>2</v>
      </c>
      <c r="D163">
        <v>0</v>
      </c>
      <c r="E163">
        <f>SmtRes!AV250</f>
        <v>0</v>
      </c>
      <c r="F163" t="str">
        <f>SmtRes!I250</f>
        <v>22.1-30-54</v>
      </c>
      <c r="G163" t="str">
        <f>SmtRes!K250</f>
        <v>Молотки отбойные</v>
      </c>
      <c r="H163" t="str">
        <f>SmtRes!O250</f>
        <v>маш.-ч</v>
      </c>
      <c r="I163">
        <f>SmtRes!Y250*Source!I264</f>
        <v>2.16</v>
      </c>
      <c r="J163">
        <f>SmtRes!AO250</f>
        <v>1</v>
      </c>
      <c r="K163">
        <f>SmtRes!AF250</f>
        <v>6.02</v>
      </c>
      <c r="L163">
        <f>SmtRes!DB250</f>
        <v>451.5</v>
      </c>
      <c r="M163">
        <f>ROUND(ROUND(L163*Source!I264, 6)*1, 2)</f>
        <v>13</v>
      </c>
      <c r="N163">
        <f>SmtRes!AB250</f>
        <v>6.02</v>
      </c>
      <c r="O163">
        <f>ROUND(ROUND(L163*Source!I264, 6)*SmtRes!DA250, 2)</f>
        <v>13</v>
      </c>
      <c r="P163">
        <f>SmtRes!AG250</f>
        <v>0.02</v>
      </c>
      <c r="Q163">
        <f>SmtRes!DC250</f>
        <v>1.5</v>
      </c>
      <c r="R163">
        <f>ROUND(ROUND(Q163*Source!I264, 6)*1, 2)</f>
        <v>0.04</v>
      </c>
      <c r="S163">
        <f>SmtRes!AC250</f>
        <v>0.02</v>
      </c>
      <c r="T163">
        <f>ROUND(ROUND(Q163*Source!I264, 6)*SmtRes!AK250, 2)</f>
        <v>0.04</v>
      </c>
      <c r="U163">
        <f>SmtRes!X250</f>
        <v>-352447613</v>
      </c>
      <c r="V163">
        <v>422992909</v>
      </c>
      <c r="W163">
        <v>1818908340</v>
      </c>
      <c r="X163">
        <v>2</v>
      </c>
    </row>
    <row r="164" spans="1:24" x14ac:dyDescent="0.2">
      <c r="A164">
        <v>20</v>
      </c>
      <c r="B164">
        <v>249</v>
      </c>
      <c r="C164">
        <v>2</v>
      </c>
      <c r="D164">
        <v>0</v>
      </c>
      <c r="E164">
        <f>SmtRes!AV249</f>
        <v>0</v>
      </c>
      <c r="F164" t="str">
        <f>SmtRes!I249</f>
        <v>22.1-10-5</v>
      </c>
      <c r="G164" t="str">
        <f>SmtRes!K249</f>
        <v>Компрессоры с дизельным двигателем прицепные до 5 м3/мин</v>
      </c>
      <c r="H164" t="str">
        <f>SmtRes!O249</f>
        <v>маш.-ч</v>
      </c>
      <c r="I164">
        <f>SmtRes!Y249*Source!I264</f>
        <v>1.08</v>
      </c>
      <c r="J164">
        <f>SmtRes!AO249</f>
        <v>1</v>
      </c>
      <c r="K164">
        <f>SmtRes!AF249</f>
        <v>744.2</v>
      </c>
      <c r="L164">
        <f>SmtRes!DB249</f>
        <v>27907.5</v>
      </c>
      <c r="M164">
        <f>ROUND(ROUND(L164*Source!I264, 6)*1, 2)</f>
        <v>803.74</v>
      </c>
      <c r="N164">
        <f>SmtRes!AB249</f>
        <v>744.2</v>
      </c>
      <c r="O164">
        <f>ROUND(ROUND(L164*Source!I264, 6)*SmtRes!DA249, 2)</f>
        <v>803.74</v>
      </c>
      <c r="P164">
        <f>SmtRes!AG249</f>
        <v>423.17</v>
      </c>
      <c r="Q164">
        <f>SmtRes!DC249</f>
        <v>15868.88</v>
      </c>
      <c r="R164">
        <f>ROUND(ROUND(Q164*Source!I264, 6)*1, 2)</f>
        <v>457.02</v>
      </c>
      <c r="S164">
        <f>SmtRes!AC249</f>
        <v>423.17</v>
      </c>
      <c r="T164">
        <f>ROUND(ROUND(Q164*Source!I264, 6)*SmtRes!AK249, 2)</f>
        <v>457.02</v>
      </c>
      <c r="U164">
        <f>SmtRes!X249</f>
        <v>255594146</v>
      </c>
      <c r="V164">
        <v>55330013</v>
      </c>
      <c r="W164">
        <v>-1088974138</v>
      </c>
      <c r="X164">
        <v>2</v>
      </c>
    </row>
    <row r="165" spans="1:24" x14ac:dyDescent="0.2">
      <c r="A165">
        <v>20</v>
      </c>
      <c r="B165">
        <v>254</v>
      </c>
      <c r="C165">
        <v>2</v>
      </c>
      <c r="D165">
        <v>0</v>
      </c>
      <c r="E165">
        <f>SmtRes!AV254</f>
        <v>0</v>
      </c>
      <c r="F165" t="str">
        <f>SmtRes!I254</f>
        <v>22.1-5-48</v>
      </c>
      <c r="G165" t="str">
        <f>SmtRes!K254</f>
        <v>Автогрейдеры, мощность 99-147 кВт (130-200 л.с.)</v>
      </c>
      <c r="H165" t="str">
        <f>SmtRes!O254</f>
        <v>маш.-ч</v>
      </c>
      <c r="I165">
        <f>SmtRes!Y254*Source!I265</f>
        <v>0.11763999999999999</v>
      </c>
      <c r="J165">
        <f>SmtRes!AO254</f>
        <v>1</v>
      </c>
      <c r="K165">
        <f>SmtRes!AF254</f>
        <v>1412.71</v>
      </c>
      <c r="L165">
        <f>SmtRes!DB254</f>
        <v>2401.61</v>
      </c>
      <c r="M165">
        <f>ROUND(ROUND(L165*Source!I265, 6)*1, 2)</f>
        <v>166.19</v>
      </c>
      <c r="N165">
        <f>SmtRes!AB254</f>
        <v>1412.71</v>
      </c>
      <c r="O165">
        <f>ROUND(ROUND(L165*Source!I265, 6)*SmtRes!DA254, 2)</f>
        <v>166.19</v>
      </c>
      <c r="P165">
        <f>SmtRes!AG254</f>
        <v>641.32000000000005</v>
      </c>
      <c r="Q165">
        <f>SmtRes!DC254</f>
        <v>1090.24</v>
      </c>
      <c r="R165">
        <f>ROUND(ROUND(Q165*Source!I265, 6)*1, 2)</f>
        <v>75.44</v>
      </c>
      <c r="S165">
        <f>SmtRes!AC254</f>
        <v>641.32000000000005</v>
      </c>
      <c r="T165">
        <f>ROUND(ROUND(Q165*Source!I265, 6)*SmtRes!AK254, 2)</f>
        <v>75.44</v>
      </c>
      <c r="U165">
        <f>SmtRes!X254</f>
        <v>1116182101</v>
      </c>
      <c r="V165">
        <v>-405216514</v>
      </c>
      <c r="W165">
        <v>38483568</v>
      </c>
      <c r="X165">
        <v>2</v>
      </c>
    </row>
    <row r="166" spans="1:24" x14ac:dyDescent="0.2">
      <c r="A166">
        <v>20</v>
      </c>
      <c r="B166">
        <v>253</v>
      </c>
      <c r="C166">
        <v>2</v>
      </c>
      <c r="D166">
        <v>0</v>
      </c>
      <c r="E166">
        <f>SmtRes!AV253</f>
        <v>0</v>
      </c>
      <c r="F166" t="str">
        <f>SmtRes!I253</f>
        <v>22.1-2-1</v>
      </c>
      <c r="G166" t="str">
        <f>SmtRes!K253</f>
        <v>Тракторы на гусеничном ходу, мощность до 60 (81) кВт (л.с.)</v>
      </c>
      <c r="H166" t="str">
        <f>SmtRes!O253</f>
        <v>маш.-ч</v>
      </c>
      <c r="I166">
        <f>SmtRes!Y253*Source!I265</f>
        <v>8.7191999999999992E-2</v>
      </c>
      <c r="J166">
        <f>SmtRes!AO253</f>
        <v>1</v>
      </c>
      <c r="K166">
        <f>SmtRes!AF253</f>
        <v>740.94</v>
      </c>
      <c r="L166">
        <f>SmtRes!DB253</f>
        <v>933.58</v>
      </c>
      <c r="M166">
        <f>ROUND(ROUND(L166*Source!I265, 6)*1, 2)</f>
        <v>64.599999999999994</v>
      </c>
      <c r="N166">
        <f>SmtRes!AB253</f>
        <v>740.94</v>
      </c>
      <c r="O166">
        <f>ROUND(ROUND(L166*Source!I265, 6)*SmtRes!DA253, 2)</f>
        <v>64.599999999999994</v>
      </c>
      <c r="P166">
        <f>SmtRes!AG253</f>
        <v>413.22</v>
      </c>
      <c r="Q166">
        <f>SmtRes!DC253</f>
        <v>520.66</v>
      </c>
      <c r="R166">
        <f>ROUND(ROUND(Q166*Source!I265, 6)*1, 2)</f>
        <v>36.03</v>
      </c>
      <c r="S166">
        <f>SmtRes!AC253</f>
        <v>413.22</v>
      </c>
      <c r="T166">
        <f>ROUND(ROUND(Q166*Source!I265, 6)*SmtRes!AK253, 2)</f>
        <v>36.03</v>
      </c>
      <c r="U166">
        <f>SmtRes!X253</f>
        <v>2108619810</v>
      </c>
      <c r="V166">
        <v>2092061508</v>
      </c>
      <c r="W166">
        <v>-202122669</v>
      </c>
      <c r="X166">
        <v>2</v>
      </c>
    </row>
    <row r="167" spans="1:24" x14ac:dyDescent="0.2">
      <c r="A167">
        <v>20</v>
      </c>
      <c r="B167">
        <v>257</v>
      </c>
      <c r="C167">
        <v>2</v>
      </c>
      <c r="D167">
        <v>0</v>
      </c>
      <c r="E167">
        <f>SmtRes!AV257</f>
        <v>0</v>
      </c>
      <c r="F167" t="str">
        <f>SmtRes!I257</f>
        <v>22.1-1-43</v>
      </c>
      <c r="G167" t="str">
        <f>SmtRes!K257</f>
        <v>Бульдозеры гусеничные, мощность до 59 кВт (80 л.с.)</v>
      </c>
      <c r="H167" t="str">
        <f>SmtRes!O257</f>
        <v>маш.-ч</v>
      </c>
      <c r="I167">
        <f>SmtRes!Y257*Source!I266</f>
        <v>0.44274999999999998</v>
      </c>
      <c r="J167">
        <f>SmtRes!AO257</f>
        <v>1</v>
      </c>
      <c r="K167">
        <f>SmtRes!AF257</f>
        <v>956.79</v>
      </c>
      <c r="L167">
        <f>SmtRes!DB257</f>
        <v>1674.38</v>
      </c>
      <c r="M167">
        <f>ROUND(ROUND(L167*Source!I266, 6)*1, 2)</f>
        <v>423.62</v>
      </c>
      <c r="N167">
        <f>SmtRes!AB257</f>
        <v>956.79</v>
      </c>
      <c r="O167">
        <f>ROUND(ROUND(L167*Source!I266, 6)*SmtRes!DA257, 2)</f>
        <v>423.62</v>
      </c>
      <c r="P167">
        <f>SmtRes!AG257</f>
        <v>359.44</v>
      </c>
      <c r="Q167">
        <f>SmtRes!DC257</f>
        <v>629.02</v>
      </c>
      <c r="R167">
        <f>ROUND(ROUND(Q167*Source!I266, 6)*1, 2)</f>
        <v>159.13999999999999</v>
      </c>
      <c r="S167">
        <f>SmtRes!AC257</f>
        <v>359.44</v>
      </c>
      <c r="T167">
        <f>ROUND(ROUND(Q167*Source!I266, 6)*SmtRes!AK257, 2)</f>
        <v>159.13999999999999</v>
      </c>
      <c r="U167">
        <f>SmtRes!X257</f>
        <v>760588622</v>
      </c>
      <c r="V167">
        <v>-186859632</v>
      </c>
      <c r="W167">
        <v>633997351</v>
      </c>
      <c r="X167">
        <v>2</v>
      </c>
    </row>
    <row r="168" spans="1:24" x14ac:dyDescent="0.2">
      <c r="A168">
        <v>20</v>
      </c>
      <c r="B168">
        <v>256</v>
      </c>
      <c r="C168">
        <v>2</v>
      </c>
      <c r="D168">
        <v>0</v>
      </c>
      <c r="E168">
        <f>SmtRes!AV256</f>
        <v>0</v>
      </c>
      <c r="F168" t="str">
        <f>SmtRes!I256</f>
        <v>22.1-1-3</v>
      </c>
      <c r="G168" t="str">
        <f>SmtRes!K256</f>
        <v>Экскаваторы на гусеничном ходу гидравлические, объем ковша до 0,4 м3</v>
      </c>
      <c r="H168" t="str">
        <f>SmtRes!O256</f>
        <v>маш.-ч</v>
      </c>
      <c r="I168">
        <f>SmtRes!Y256*Source!I266</f>
        <v>1.5230599999999999</v>
      </c>
      <c r="J168">
        <f>SmtRes!AO256</f>
        <v>1</v>
      </c>
      <c r="K168">
        <f>SmtRes!AF256</f>
        <v>1230.4000000000001</v>
      </c>
      <c r="L168">
        <f>SmtRes!DB256</f>
        <v>7407.01</v>
      </c>
      <c r="M168">
        <f>ROUND(ROUND(L168*Source!I266, 6)*1, 2)</f>
        <v>1873.97</v>
      </c>
      <c r="N168">
        <f>SmtRes!AB256</f>
        <v>1230.4000000000001</v>
      </c>
      <c r="O168">
        <f>ROUND(ROUND(L168*Source!I266, 6)*SmtRes!DA256, 2)</f>
        <v>1873.97</v>
      </c>
      <c r="P168">
        <f>SmtRes!AG256</f>
        <v>565.29</v>
      </c>
      <c r="Q168">
        <f>SmtRes!DC256</f>
        <v>3403.05</v>
      </c>
      <c r="R168">
        <f>ROUND(ROUND(Q168*Source!I266, 6)*1, 2)</f>
        <v>860.97</v>
      </c>
      <c r="S168">
        <f>SmtRes!AC256</f>
        <v>565.29</v>
      </c>
      <c r="T168">
        <f>ROUND(ROUND(Q168*Source!I266, 6)*SmtRes!AK256, 2)</f>
        <v>860.97</v>
      </c>
      <c r="U168">
        <f>SmtRes!X256</f>
        <v>-1428927495</v>
      </c>
      <c r="V168">
        <v>-439990132</v>
      </c>
      <c r="W168">
        <v>-955893656</v>
      </c>
      <c r="X168">
        <v>2</v>
      </c>
    </row>
    <row r="169" spans="1:24" x14ac:dyDescent="0.2">
      <c r="A169">
        <v>20</v>
      </c>
      <c r="B169">
        <v>265</v>
      </c>
      <c r="C169">
        <v>3</v>
      </c>
      <c r="D169">
        <v>0</v>
      </c>
      <c r="E169">
        <f>SmtRes!AV265</f>
        <v>0</v>
      </c>
      <c r="F169" t="str">
        <f>SmtRes!I265</f>
        <v>21.1-25-13</v>
      </c>
      <c r="G169" t="str">
        <f>SmtRes!K265</f>
        <v>Вода</v>
      </c>
      <c r="H169" t="str">
        <f>SmtRes!O265</f>
        <v>м3</v>
      </c>
      <c r="I169">
        <f>SmtRes!Y265*Source!I267</f>
        <v>0.50600000000000001</v>
      </c>
      <c r="J169">
        <f>SmtRes!AO265</f>
        <v>1</v>
      </c>
      <c r="K169">
        <f>SmtRes!AE265</f>
        <v>35.25</v>
      </c>
      <c r="L169">
        <f>SmtRes!DB265</f>
        <v>176.25</v>
      </c>
      <c r="M169">
        <f>ROUND(ROUND(L169*Source!I267, 6)*1, 2)</f>
        <v>17.84</v>
      </c>
      <c r="N169">
        <f>SmtRes!AA265</f>
        <v>35.25</v>
      </c>
      <c r="O169">
        <f>ROUND(ROUND(L169*Source!I267, 6)*SmtRes!DA265, 2)</f>
        <v>17.84</v>
      </c>
      <c r="P169">
        <f>SmtRes!AG265</f>
        <v>0</v>
      </c>
      <c r="Q169">
        <f>SmtRes!DC265</f>
        <v>0</v>
      </c>
      <c r="R169">
        <f>ROUND(ROUND(Q169*Source!I267, 6)*1, 2)</f>
        <v>0</v>
      </c>
      <c r="S169">
        <f>SmtRes!AC265</f>
        <v>0</v>
      </c>
      <c r="T169">
        <f>ROUND(ROUND(Q169*Source!I267, 6)*SmtRes!AK265, 2)</f>
        <v>0</v>
      </c>
      <c r="U169">
        <f>SmtRes!X265</f>
        <v>1927597627</v>
      </c>
      <c r="V169">
        <v>-1829664509</v>
      </c>
      <c r="W169">
        <v>1819467959</v>
      </c>
      <c r="X169">
        <v>3</v>
      </c>
    </row>
    <row r="170" spans="1:24" x14ac:dyDescent="0.2">
      <c r="A170">
        <v>20</v>
      </c>
      <c r="B170">
        <v>264</v>
      </c>
      <c r="C170">
        <v>3</v>
      </c>
      <c r="D170">
        <v>0</v>
      </c>
      <c r="E170">
        <f>SmtRes!AV264</f>
        <v>0</v>
      </c>
      <c r="F170" t="str">
        <f>SmtRes!I264</f>
        <v>21.1-12-10</v>
      </c>
      <c r="G170" t="str">
        <f>SmtRes!K264</f>
        <v>Песок для дорожных работ, рядовой</v>
      </c>
      <c r="H170" t="str">
        <f>SmtRes!O264</f>
        <v>м3</v>
      </c>
      <c r="I170">
        <f>SmtRes!Y264*Source!I267</f>
        <v>11.132</v>
      </c>
      <c r="J170">
        <f>SmtRes!AO264</f>
        <v>1</v>
      </c>
      <c r="K170">
        <f>SmtRes!AE264</f>
        <v>590.78</v>
      </c>
      <c r="L170">
        <f>SmtRes!DB264</f>
        <v>64985.8</v>
      </c>
      <c r="M170">
        <f>ROUND(ROUND(L170*Source!I267, 6)*1, 2)</f>
        <v>6576.56</v>
      </c>
      <c r="N170">
        <f>SmtRes!AA264</f>
        <v>590.78</v>
      </c>
      <c r="O170">
        <f>ROUND(ROUND(L170*Source!I267, 6)*SmtRes!DA264, 2)</f>
        <v>6576.56</v>
      </c>
      <c r="P170">
        <f>SmtRes!AG264</f>
        <v>0</v>
      </c>
      <c r="Q170">
        <f>SmtRes!DC264</f>
        <v>0</v>
      </c>
      <c r="R170">
        <f>ROUND(ROUND(Q170*Source!I267, 6)*1, 2)</f>
        <v>0</v>
      </c>
      <c r="S170">
        <f>SmtRes!AC264</f>
        <v>0</v>
      </c>
      <c r="T170">
        <f>ROUND(ROUND(Q170*Source!I267, 6)*SmtRes!AK264, 2)</f>
        <v>0</v>
      </c>
      <c r="U170">
        <f>SmtRes!X264</f>
        <v>1152750853</v>
      </c>
      <c r="V170">
        <v>-513833518</v>
      </c>
      <c r="W170">
        <v>445372051</v>
      </c>
      <c r="X170">
        <v>3</v>
      </c>
    </row>
    <row r="171" spans="1:24" x14ac:dyDescent="0.2">
      <c r="A171">
        <v>20</v>
      </c>
      <c r="B171">
        <v>263</v>
      </c>
      <c r="C171">
        <v>2</v>
      </c>
      <c r="D171">
        <v>0</v>
      </c>
      <c r="E171">
        <f>SmtRes!AV263</f>
        <v>0</v>
      </c>
      <c r="F171" t="str">
        <f>SmtRes!I263</f>
        <v>22.1-5-7</v>
      </c>
      <c r="G171" t="str">
        <f>SmtRes!K263</f>
        <v>Катки дорожные самоходные на пневмоколесном ходу, масса до 16 т</v>
      </c>
      <c r="H171" t="str">
        <f>SmtRes!O263</f>
        <v>маш.-ч</v>
      </c>
      <c r="I171">
        <f>SmtRes!Y263*Source!I267</f>
        <v>6.5780000000000005E-2</v>
      </c>
      <c r="J171">
        <f>SmtRes!AO263</f>
        <v>1</v>
      </c>
      <c r="K171">
        <f>SmtRes!AF263</f>
        <v>1213.3399999999999</v>
      </c>
      <c r="L171">
        <f>SmtRes!DB263</f>
        <v>788.67</v>
      </c>
      <c r="M171">
        <f>ROUND(ROUND(L171*Source!I267, 6)*1, 2)</f>
        <v>79.81</v>
      </c>
      <c r="N171">
        <f>SmtRes!AB263</f>
        <v>1213.3399999999999</v>
      </c>
      <c r="O171">
        <f>ROUND(ROUND(L171*Source!I267, 6)*SmtRes!DA263, 2)</f>
        <v>79.81</v>
      </c>
      <c r="P171">
        <f>SmtRes!AG263</f>
        <v>461.6</v>
      </c>
      <c r="Q171">
        <f>SmtRes!DC263</f>
        <v>300.04000000000002</v>
      </c>
      <c r="R171">
        <f>ROUND(ROUND(Q171*Source!I267, 6)*1, 2)</f>
        <v>30.36</v>
      </c>
      <c r="S171">
        <f>SmtRes!AC263</f>
        <v>461.6</v>
      </c>
      <c r="T171">
        <f>ROUND(ROUND(Q171*Source!I267, 6)*SmtRes!AK263, 2)</f>
        <v>30.36</v>
      </c>
      <c r="U171">
        <f>SmtRes!X263</f>
        <v>2142121434</v>
      </c>
      <c r="V171">
        <v>-1456814567</v>
      </c>
      <c r="W171">
        <v>-362114551</v>
      </c>
      <c r="X171">
        <v>2</v>
      </c>
    </row>
    <row r="172" spans="1:24" x14ac:dyDescent="0.2">
      <c r="A172">
        <v>20</v>
      </c>
      <c r="B172">
        <v>262</v>
      </c>
      <c r="C172">
        <v>2</v>
      </c>
      <c r="D172">
        <v>0</v>
      </c>
      <c r="E172">
        <f>SmtRes!AV262</f>
        <v>0</v>
      </c>
      <c r="F172" t="str">
        <f>SmtRes!I262</f>
        <v>22.1-5-48</v>
      </c>
      <c r="G172" t="str">
        <f>SmtRes!K262</f>
        <v>Автогрейдеры, мощность 99-147 кВт (130-200 л.с.)</v>
      </c>
      <c r="H172" t="str">
        <f>SmtRes!O262</f>
        <v>маш.-ч</v>
      </c>
      <c r="I172">
        <f>SmtRes!Y262*Source!I267</f>
        <v>0.196328</v>
      </c>
      <c r="J172">
        <f>SmtRes!AO262</f>
        <v>1</v>
      </c>
      <c r="K172">
        <f>SmtRes!AF262</f>
        <v>1412.71</v>
      </c>
      <c r="L172">
        <f>SmtRes!DB262</f>
        <v>2740.66</v>
      </c>
      <c r="M172">
        <f>ROUND(ROUND(L172*Source!I267, 6)*1, 2)</f>
        <v>277.35000000000002</v>
      </c>
      <c r="N172">
        <f>SmtRes!AB262</f>
        <v>1412.71</v>
      </c>
      <c r="O172">
        <f>ROUND(ROUND(L172*Source!I267, 6)*SmtRes!DA262, 2)</f>
        <v>277.35000000000002</v>
      </c>
      <c r="P172">
        <f>SmtRes!AG262</f>
        <v>641.32000000000005</v>
      </c>
      <c r="Q172">
        <f>SmtRes!DC262</f>
        <v>1244.1600000000001</v>
      </c>
      <c r="R172">
        <f>ROUND(ROUND(Q172*Source!I267, 6)*1, 2)</f>
        <v>125.91</v>
      </c>
      <c r="S172">
        <f>SmtRes!AC262</f>
        <v>641.32000000000005</v>
      </c>
      <c r="T172">
        <f>ROUND(ROUND(Q172*Source!I267, 6)*SmtRes!AK262, 2)</f>
        <v>125.91</v>
      </c>
      <c r="U172">
        <f>SmtRes!X262</f>
        <v>1116182101</v>
      </c>
      <c r="V172">
        <v>-405216514</v>
      </c>
      <c r="W172">
        <v>38483568</v>
      </c>
      <c r="X172">
        <v>2</v>
      </c>
    </row>
    <row r="173" spans="1:24" x14ac:dyDescent="0.2">
      <c r="A173">
        <v>20</v>
      </c>
      <c r="B173">
        <v>261</v>
      </c>
      <c r="C173">
        <v>2</v>
      </c>
      <c r="D173">
        <v>0</v>
      </c>
      <c r="E173">
        <f>SmtRes!AV261</f>
        <v>0</v>
      </c>
      <c r="F173" t="str">
        <f>SmtRes!I261</f>
        <v>22.1-5-18</v>
      </c>
      <c r="G173" t="str">
        <f>SmtRes!K261</f>
        <v>Поливомоечные машины, емкость цистерны более 5000 л</v>
      </c>
      <c r="H173" t="str">
        <f>SmtRes!O261</f>
        <v>маш.-ч</v>
      </c>
      <c r="I173">
        <f>SmtRes!Y261*Source!I267</f>
        <v>8.1972000000000003E-2</v>
      </c>
      <c r="J173">
        <f>SmtRes!AO261</f>
        <v>1</v>
      </c>
      <c r="K173">
        <f>SmtRes!AF261</f>
        <v>2020.59</v>
      </c>
      <c r="L173">
        <f>SmtRes!DB261</f>
        <v>1636.68</v>
      </c>
      <c r="M173">
        <f>ROUND(ROUND(L173*Source!I267, 6)*1, 2)</f>
        <v>165.63</v>
      </c>
      <c r="N173">
        <f>SmtRes!AB261</f>
        <v>2020.59</v>
      </c>
      <c r="O173">
        <f>ROUND(ROUND(L173*Source!I267, 6)*SmtRes!DA261, 2)</f>
        <v>165.63</v>
      </c>
      <c r="P173">
        <f>SmtRes!AG261</f>
        <v>458.56</v>
      </c>
      <c r="Q173">
        <f>SmtRes!DC261</f>
        <v>371.43</v>
      </c>
      <c r="R173">
        <f>ROUND(ROUND(Q173*Source!I267, 6)*1, 2)</f>
        <v>37.590000000000003</v>
      </c>
      <c r="S173">
        <f>SmtRes!AC261</f>
        <v>458.56</v>
      </c>
      <c r="T173">
        <f>ROUND(ROUND(Q173*Source!I267, 6)*SmtRes!AK261, 2)</f>
        <v>37.590000000000003</v>
      </c>
      <c r="U173">
        <f>SmtRes!X261</f>
        <v>2042885981</v>
      </c>
      <c r="V173">
        <v>-76628464</v>
      </c>
      <c r="W173">
        <v>-1269477455</v>
      </c>
      <c r="X173">
        <v>2</v>
      </c>
    </row>
    <row r="174" spans="1:24" x14ac:dyDescent="0.2">
      <c r="A174">
        <v>20</v>
      </c>
      <c r="B174">
        <v>260</v>
      </c>
      <c r="C174">
        <v>2</v>
      </c>
      <c r="D174">
        <v>0</v>
      </c>
      <c r="E174">
        <f>SmtRes!AV260</f>
        <v>0</v>
      </c>
      <c r="F174" t="str">
        <f>SmtRes!I260</f>
        <v>22.1-5-15</v>
      </c>
      <c r="G174" t="str">
        <f>SmtRes!K260</f>
        <v>Катки прицепные пневмоколесные, масса до 50 т</v>
      </c>
      <c r="H174" t="str">
        <f>SmtRes!O260</f>
        <v>маш.-ч</v>
      </c>
      <c r="I174">
        <f>SmtRes!Y260*Source!I267</f>
        <v>0.21049600000000002</v>
      </c>
      <c r="J174">
        <f>SmtRes!AO260</f>
        <v>1</v>
      </c>
      <c r="K174">
        <f>SmtRes!AF260</f>
        <v>430.32</v>
      </c>
      <c r="L174">
        <f>SmtRes!DB260</f>
        <v>895.07</v>
      </c>
      <c r="M174">
        <f>ROUND(ROUND(L174*Source!I267, 6)*1, 2)</f>
        <v>90.58</v>
      </c>
      <c r="N174">
        <f>SmtRes!AB260</f>
        <v>430.32</v>
      </c>
      <c r="O174">
        <f>ROUND(ROUND(L174*Source!I267, 6)*SmtRes!DA260, 2)</f>
        <v>90.58</v>
      </c>
      <c r="P174">
        <f>SmtRes!AG260</f>
        <v>215.31</v>
      </c>
      <c r="Q174">
        <f>SmtRes!DC260</f>
        <v>447.84</v>
      </c>
      <c r="R174">
        <f>ROUND(ROUND(Q174*Source!I267, 6)*1, 2)</f>
        <v>45.32</v>
      </c>
      <c r="S174">
        <f>SmtRes!AC260</f>
        <v>215.31</v>
      </c>
      <c r="T174">
        <f>ROUND(ROUND(Q174*Source!I267, 6)*SmtRes!AK260, 2)</f>
        <v>45.32</v>
      </c>
      <c r="U174">
        <f>SmtRes!X260</f>
        <v>-1512295274</v>
      </c>
      <c r="V174">
        <v>1130639003</v>
      </c>
      <c r="W174">
        <v>-180512758</v>
      </c>
      <c r="X174">
        <v>2</v>
      </c>
    </row>
    <row r="175" spans="1:24" x14ac:dyDescent="0.2">
      <c r="A175">
        <v>20</v>
      </c>
      <c r="B175">
        <v>259</v>
      </c>
      <c r="C175">
        <v>2</v>
      </c>
      <c r="D175">
        <v>0</v>
      </c>
      <c r="E175">
        <f>SmtRes!AV259</f>
        <v>0</v>
      </c>
      <c r="F175" t="str">
        <f>SmtRes!I259</f>
        <v>22.1-2-1</v>
      </c>
      <c r="G175" t="str">
        <f>SmtRes!K259</f>
        <v>Тракторы на гусеничном ходу, мощность до 60 (81) кВт (л.с.)</v>
      </c>
      <c r="H175" t="str">
        <f>SmtRes!O259</f>
        <v>маш.-ч</v>
      </c>
      <c r="I175">
        <f>SmtRes!Y259*Source!I267</f>
        <v>0.21049600000000002</v>
      </c>
      <c r="J175">
        <f>SmtRes!AO259</f>
        <v>1</v>
      </c>
      <c r="K175">
        <f>SmtRes!AF259</f>
        <v>740.94</v>
      </c>
      <c r="L175">
        <f>SmtRes!DB259</f>
        <v>1541.16</v>
      </c>
      <c r="M175">
        <f>ROUND(ROUND(L175*Source!I267, 6)*1, 2)</f>
        <v>155.97</v>
      </c>
      <c r="N175">
        <f>SmtRes!AB259</f>
        <v>740.94</v>
      </c>
      <c r="O175">
        <f>ROUND(ROUND(L175*Source!I267, 6)*SmtRes!DA259, 2)</f>
        <v>155.97</v>
      </c>
      <c r="P175">
        <f>SmtRes!AG259</f>
        <v>413.22</v>
      </c>
      <c r="Q175">
        <f>SmtRes!DC259</f>
        <v>859.5</v>
      </c>
      <c r="R175">
        <f>ROUND(ROUND(Q175*Source!I267, 6)*1, 2)</f>
        <v>86.98</v>
      </c>
      <c r="S175">
        <f>SmtRes!AC259</f>
        <v>413.22</v>
      </c>
      <c r="T175">
        <f>ROUND(ROUND(Q175*Source!I267, 6)*SmtRes!AK259, 2)</f>
        <v>86.98</v>
      </c>
      <c r="U175">
        <f>SmtRes!X259</f>
        <v>2108619810</v>
      </c>
      <c r="V175">
        <v>2092061508</v>
      </c>
      <c r="W175">
        <v>-202122669</v>
      </c>
      <c r="X175">
        <v>2</v>
      </c>
    </row>
    <row r="176" spans="1:24" x14ac:dyDescent="0.2">
      <c r="A176">
        <v>20</v>
      </c>
      <c r="B176">
        <v>271</v>
      </c>
      <c r="C176">
        <v>3</v>
      </c>
      <c r="D176">
        <v>0</v>
      </c>
      <c r="E176">
        <f>SmtRes!AV271</f>
        <v>0</v>
      </c>
      <c r="F176" t="str">
        <f>SmtRes!I271</f>
        <v>21.1-25-13</v>
      </c>
      <c r="G176" t="str">
        <f>SmtRes!K271</f>
        <v>Вода</v>
      </c>
      <c r="H176" t="str">
        <f>SmtRes!O271</f>
        <v>м3</v>
      </c>
      <c r="I176">
        <f>SmtRes!Y271*Source!I268</f>
        <v>2.024</v>
      </c>
      <c r="J176">
        <f>SmtRes!AO271</f>
        <v>1</v>
      </c>
      <c r="K176">
        <f>SmtRes!AE271</f>
        <v>35.25</v>
      </c>
      <c r="L176">
        <f>SmtRes!DB271</f>
        <v>70.5</v>
      </c>
      <c r="M176">
        <f>ROUND(ROUND(L176*Source!I268, 6)*1, 2)</f>
        <v>71.349999999999994</v>
      </c>
      <c r="N176">
        <f>SmtRes!AA271</f>
        <v>35.25</v>
      </c>
      <c r="O176">
        <f>ROUND(ROUND(L176*Source!I268, 6)*SmtRes!DA271, 2)</f>
        <v>71.349999999999994</v>
      </c>
      <c r="P176">
        <f>SmtRes!AG271</f>
        <v>0</v>
      </c>
      <c r="Q176">
        <f>SmtRes!DC271</f>
        <v>0</v>
      </c>
      <c r="R176">
        <f>ROUND(ROUND(Q176*Source!I268, 6)*1, 2)</f>
        <v>0</v>
      </c>
      <c r="S176">
        <f>SmtRes!AC271</f>
        <v>0</v>
      </c>
      <c r="T176">
        <f>ROUND(ROUND(Q176*Source!I268, 6)*SmtRes!AK271, 2)</f>
        <v>0</v>
      </c>
      <c r="U176">
        <f>SmtRes!X271</f>
        <v>1927597627</v>
      </c>
      <c r="V176">
        <v>-1829664509</v>
      </c>
      <c r="W176">
        <v>1819467959</v>
      </c>
      <c r="X176">
        <v>3</v>
      </c>
    </row>
    <row r="177" spans="1:24" x14ac:dyDescent="0.2">
      <c r="A177">
        <v>20</v>
      </c>
      <c r="B177">
        <v>268</v>
      </c>
      <c r="C177">
        <v>2</v>
      </c>
      <c r="D177">
        <v>0</v>
      </c>
      <c r="E177">
        <f>SmtRes!AV268</f>
        <v>0</v>
      </c>
      <c r="F177" t="str">
        <f>SmtRes!I268</f>
        <v>22.1-5-2</v>
      </c>
      <c r="G177" t="str">
        <f>SmtRes!K268</f>
        <v>Катки самоходные вибрационные, масса до 8 т</v>
      </c>
      <c r="H177" t="str">
        <f>SmtRes!O268</f>
        <v>маш.-ч</v>
      </c>
      <c r="I177">
        <f>SmtRes!Y268*Source!I268</f>
        <v>1.6394400000000002</v>
      </c>
      <c r="J177">
        <f>SmtRes!AO268</f>
        <v>1</v>
      </c>
      <c r="K177">
        <f>SmtRes!AF268</f>
        <v>1261.8699999999999</v>
      </c>
      <c r="L177">
        <f>SmtRes!DB268</f>
        <v>2044.23</v>
      </c>
      <c r="M177">
        <f>ROUND(ROUND(L177*Source!I268, 6)*1, 2)</f>
        <v>2068.7600000000002</v>
      </c>
      <c r="N177">
        <f>SmtRes!AB268</f>
        <v>1261.8699999999999</v>
      </c>
      <c r="O177">
        <f>ROUND(ROUND(L177*Source!I268, 6)*SmtRes!DA268, 2)</f>
        <v>2068.7600000000002</v>
      </c>
      <c r="P177">
        <f>SmtRes!AG268</f>
        <v>530.02</v>
      </c>
      <c r="Q177">
        <f>SmtRes!DC268</f>
        <v>858.63</v>
      </c>
      <c r="R177">
        <f>ROUND(ROUND(Q177*Source!I268, 6)*1, 2)</f>
        <v>868.93</v>
      </c>
      <c r="S177">
        <f>SmtRes!AC268</f>
        <v>530.02</v>
      </c>
      <c r="T177">
        <f>ROUND(ROUND(Q177*Source!I268, 6)*SmtRes!AK268, 2)</f>
        <v>868.93</v>
      </c>
      <c r="U177">
        <f>SmtRes!X268</f>
        <v>-1043398787</v>
      </c>
      <c r="V177">
        <v>-791430524</v>
      </c>
      <c r="W177">
        <v>-1074879534</v>
      </c>
      <c r="X177">
        <v>2</v>
      </c>
    </row>
    <row r="178" spans="1:24" x14ac:dyDescent="0.2">
      <c r="A178">
        <v>20</v>
      </c>
      <c r="B178">
        <v>267</v>
      </c>
      <c r="C178">
        <v>2</v>
      </c>
      <c r="D178">
        <v>0</v>
      </c>
      <c r="E178">
        <f>SmtRes!AV267</f>
        <v>0</v>
      </c>
      <c r="F178" t="str">
        <f>SmtRes!I267</f>
        <v>22.1-5-18</v>
      </c>
      <c r="G178" t="str">
        <f>SmtRes!K267</f>
        <v>Поливомоечные машины, емкость цистерны более 5000 л</v>
      </c>
      <c r="H178" t="str">
        <f>SmtRes!O267</f>
        <v>маш.-ч</v>
      </c>
      <c r="I178">
        <f>SmtRes!Y267*Source!I268</f>
        <v>0.59707999999999994</v>
      </c>
      <c r="J178">
        <f>SmtRes!AO267</f>
        <v>1</v>
      </c>
      <c r="K178">
        <f>SmtRes!AF267</f>
        <v>2020.59</v>
      </c>
      <c r="L178">
        <f>SmtRes!DB267</f>
        <v>1192.1500000000001</v>
      </c>
      <c r="M178">
        <f>ROUND(ROUND(L178*Source!I268, 6)*1, 2)</f>
        <v>1206.46</v>
      </c>
      <c r="N178">
        <f>SmtRes!AB267</f>
        <v>2020.59</v>
      </c>
      <c r="O178">
        <f>ROUND(ROUND(L178*Source!I268, 6)*SmtRes!DA267, 2)</f>
        <v>1206.46</v>
      </c>
      <c r="P178">
        <f>SmtRes!AG267</f>
        <v>458.56</v>
      </c>
      <c r="Q178">
        <f>SmtRes!DC267</f>
        <v>270.55</v>
      </c>
      <c r="R178">
        <f>ROUND(ROUND(Q178*Source!I268, 6)*1, 2)</f>
        <v>273.8</v>
      </c>
      <c r="S178">
        <f>SmtRes!AC267</f>
        <v>458.56</v>
      </c>
      <c r="T178">
        <f>ROUND(ROUND(Q178*Source!I268, 6)*SmtRes!AK267, 2)</f>
        <v>273.8</v>
      </c>
      <c r="U178">
        <f>SmtRes!X267</f>
        <v>2042885981</v>
      </c>
      <c r="V178">
        <v>-76628464</v>
      </c>
      <c r="W178">
        <v>-1269477455</v>
      </c>
      <c r="X178">
        <v>2</v>
      </c>
    </row>
    <row r="179" spans="1:24" x14ac:dyDescent="0.2">
      <c r="A179">
        <f>Source!A269</f>
        <v>18</v>
      </c>
      <c r="B179">
        <v>269</v>
      </c>
      <c r="C179">
        <v>3</v>
      </c>
      <c r="D179">
        <f>Source!BI269</f>
        <v>4</v>
      </c>
      <c r="E179">
        <f>Source!FS269</f>
        <v>0</v>
      </c>
      <c r="F179" t="str">
        <f>Source!F269</f>
        <v>21.1-12-36</v>
      </c>
      <c r="G179" t="str">
        <f>Source!G269</f>
        <v>Щебень из естественного камня для строительных работ, марка 1200-800, фракция 20-40 мм</v>
      </c>
      <c r="H179" t="str">
        <f>Source!H269</f>
        <v>м3</v>
      </c>
      <c r="I179">
        <f>Source!I269</f>
        <v>17.608000000000001</v>
      </c>
      <c r="J179">
        <v>1</v>
      </c>
      <c r="K179">
        <f>Source!AC269</f>
        <v>1763.75</v>
      </c>
      <c r="M179">
        <f>ROUND(K179*I179, 2)</f>
        <v>31056.11</v>
      </c>
      <c r="N179">
        <f>Source!AC269*IF(Source!BC269&lt;&gt; 0, Source!BC269, 1)</f>
        <v>1763.75</v>
      </c>
      <c r="O179">
        <f>ROUND(N179*I179, 2)</f>
        <v>31056.11</v>
      </c>
      <c r="P179">
        <f>Source!AE269</f>
        <v>0</v>
      </c>
      <c r="R179">
        <f>ROUND(P179*I179, 2)</f>
        <v>0</v>
      </c>
      <c r="S179">
        <f>Source!AE269*IF(Source!BS269&lt;&gt; 0, Source!BS269, 1)</f>
        <v>0</v>
      </c>
      <c r="T179">
        <f>ROUND(S179*I179, 2)</f>
        <v>0</v>
      </c>
      <c r="U179">
        <f>Source!GF269</f>
        <v>-886425656</v>
      </c>
      <c r="V179">
        <v>-671760782</v>
      </c>
      <c r="W179">
        <v>345930550</v>
      </c>
      <c r="X179">
        <v>3</v>
      </c>
    </row>
    <row r="180" spans="1:24" x14ac:dyDescent="0.2">
      <c r="A180">
        <v>20</v>
      </c>
      <c r="B180">
        <v>275</v>
      </c>
      <c r="C180">
        <v>3</v>
      </c>
      <c r="D180">
        <v>0</v>
      </c>
      <c r="E180">
        <f>SmtRes!AV275</f>
        <v>0</v>
      </c>
      <c r="F180" t="str">
        <f>SmtRes!I275</f>
        <v>21.3-3-34</v>
      </c>
      <c r="G180" t="str">
        <f>SmtRes!K275</f>
        <v>Смеси асфальтобетонные дорожные горячие песчаные, тип Д, марка III</v>
      </c>
      <c r="H180" t="str">
        <f>SmtRes!O275</f>
        <v>т</v>
      </c>
      <c r="I180">
        <f>SmtRes!Y275*Source!I271</f>
        <v>7.2256799999999997</v>
      </c>
      <c r="J180">
        <f>SmtRes!AO275</f>
        <v>1</v>
      </c>
      <c r="K180">
        <f>SmtRes!AE275</f>
        <v>2652.04</v>
      </c>
      <c r="L180">
        <f>SmtRes!DB275</f>
        <v>18935.57</v>
      </c>
      <c r="M180">
        <f>ROUND(ROUND(L180*Source!I271, 6)*1, 2)</f>
        <v>19162.8</v>
      </c>
      <c r="N180">
        <f>SmtRes!AA275</f>
        <v>2652.04</v>
      </c>
      <c r="O180">
        <f>ROUND(ROUND(L180*Source!I271, 6)*SmtRes!DA275, 2)</f>
        <v>19162.8</v>
      </c>
      <c r="P180">
        <f>SmtRes!AG275</f>
        <v>0</v>
      </c>
      <c r="Q180">
        <f>SmtRes!DC275</f>
        <v>0</v>
      </c>
      <c r="R180">
        <f>ROUND(ROUND(Q180*Source!I271, 6)*1, 2)</f>
        <v>0</v>
      </c>
      <c r="S180">
        <f>SmtRes!AC275</f>
        <v>0</v>
      </c>
      <c r="T180">
        <f>ROUND(ROUND(Q180*Source!I271, 6)*SmtRes!AK275, 2)</f>
        <v>0</v>
      </c>
      <c r="U180">
        <f>SmtRes!X275</f>
        <v>2062870502</v>
      </c>
      <c r="V180">
        <v>-2134407800</v>
      </c>
      <c r="W180">
        <v>-1328752311</v>
      </c>
      <c r="X180">
        <v>3</v>
      </c>
    </row>
    <row r="181" spans="1:24" x14ac:dyDescent="0.2">
      <c r="A181">
        <v>20</v>
      </c>
      <c r="B181">
        <v>274</v>
      </c>
      <c r="C181">
        <v>3</v>
      </c>
      <c r="D181">
        <v>0</v>
      </c>
      <c r="E181">
        <f>SmtRes!AV274</f>
        <v>0</v>
      </c>
      <c r="F181" t="str">
        <f>SmtRes!I274</f>
        <v>21.1-1-3</v>
      </c>
      <c r="G181" t="str">
        <f>SmtRes!K274</f>
        <v>Битумы нефтяные, дорожные жидкие, марка МГ, СГ</v>
      </c>
      <c r="H181" t="str">
        <f>SmtRes!O274</f>
        <v>т</v>
      </c>
      <c r="I181">
        <f>SmtRes!Y274*Source!I271</f>
        <v>6.0719999999999996E-2</v>
      </c>
      <c r="J181">
        <f>SmtRes!AO274</f>
        <v>1</v>
      </c>
      <c r="K181">
        <f>SmtRes!AE274</f>
        <v>25888.1</v>
      </c>
      <c r="L181">
        <f>SmtRes!DB274</f>
        <v>1553.29</v>
      </c>
      <c r="M181">
        <f>ROUND(ROUND(L181*Source!I271, 6)*1, 2)</f>
        <v>1571.93</v>
      </c>
      <c r="N181">
        <f>SmtRes!AA274</f>
        <v>25888.1</v>
      </c>
      <c r="O181">
        <f>ROUND(ROUND(L181*Source!I271, 6)*SmtRes!DA274, 2)</f>
        <v>1571.93</v>
      </c>
      <c r="P181">
        <f>SmtRes!AG274</f>
        <v>0</v>
      </c>
      <c r="Q181">
        <f>SmtRes!DC274</f>
        <v>0</v>
      </c>
      <c r="R181">
        <f>ROUND(ROUND(Q181*Source!I271, 6)*1, 2)</f>
        <v>0</v>
      </c>
      <c r="S181">
        <f>SmtRes!AC274</f>
        <v>0</v>
      </c>
      <c r="T181">
        <f>ROUND(ROUND(Q181*Source!I271, 6)*SmtRes!AK274, 2)</f>
        <v>0</v>
      </c>
      <c r="U181">
        <f>SmtRes!X274</f>
        <v>-68218516</v>
      </c>
      <c r="V181">
        <v>-1520039527</v>
      </c>
      <c r="W181">
        <v>-3533703</v>
      </c>
      <c r="X181">
        <v>3</v>
      </c>
    </row>
    <row r="182" spans="1:24" x14ac:dyDescent="0.2">
      <c r="A182">
        <v>20</v>
      </c>
      <c r="B182">
        <v>273</v>
      </c>
      <c r="C182">
        <v>2</v>
      </c>
      <c r="D182">
        <v>0</v>
      </c>
      <c r="E182">
        <f>SmtRes!AV273</f>
        <v>0</v>
      </c>
      <c r="F182" t="str">
        <f>SmtRes!I273</f>
        <v>22.1-5-2</v>
      </c>
      <c r="G182" t="str">
        <f>SmtRes!K273</f>
        <v>Катки самоходные вибрационные, масса до 8 т</v>
      </c>
      <c r="H182" t="str">
        <f>SmtRes!O273</f>
        <v>маш.-ч</v>
      </c>
      <c r="I182">
        <f>SmtRes!Y273*Source!I271</f>
        <v>0.90068000000000004</v>
      </c>
      <c r="J182">
        <f>SmtRes!AO273</f>
        <v>1</v>
      </c>
      <c r="K182">
        <f>SmtRes!AF273</f>
        <v>1261.8699999999999</v>
      </c>
      <c r="L182">
        <f>SmtRes!DB273</f>
        <v>1123.06</v>
      </c>
      <c r="M182">
        <f>ROUND(ROUND(L182*Source!I271, 6)*1, 2)</f>
        <v>1136.54</v>
      </c>
      <c r="N182">
        <f>SmtRes!AB273</f>
        <v>1261.8699999999999</v>
      </c>
      <c r="O182">
        <f>ROUND(ROUND(L182*Source!I271, 6)*SmtRes!DA273, 2)</f>
        <v>1136.54</v>
      </c>
      <c r="P182">
        <f>SmtRes!AG273</f>
        <v>530.02</v>
      </c>
      <c r="Q182">
        <f>SmtRes!DC273</f>
        <v>471.72</v>
      </c>
      <c r="R182">
        <f>ROUND(ROUND(Q182*Source!I271, 6)*1, 2)</f>
        <v>477.38</v>
      </c>
      <c r="S182">
        <f>SmtRes!AC273</f>
        <v>530.02</v>
      </c>
      <c r="T182">
        <f>ROUND(ROUND(Q182*Source!I271, 6)*SmtRes!AK273, 2)</f>
        <v>477.38</v>
      </c>
      <c r="U182">
        <f>SmtRes!X273</f>
        <v>-1043398787</v>
      </c>
      <c r="V182">
        <v>-791430524</v>
      </c>
      <c r="W182">
        <v>-1074879534</v>
      </c>
      <c r="X182">
        <v>2</v>
      </c>
    </row>
    <row r="183" spans="1:24" x14ac:dyDescent="0.2">
      <c r="A183">
        <v>20</v>
      </c>
      <c r="B183">
        <v>285</v>
      </c>
      <c r="C183">
        <v>3</v>
      </c>
      <c r="D183">
        <v>0</v>
      </c>
      <c r="E183">
        <f>SmtRes!AV285</f>
        <v>0</v>
      </c>
      <c r="F183" t="str">
        <f>SmtRes!I285</f>
        <v>21.1-6-101</v>
      </c>
      <c r="G183" t="str">
        <f>SmtRes!K285</f>
        <v>Пигменты сухие для красок, кислотный желтый</v>
      </c>
      <c r="H183" t="str">
        <f>SmtRes!O285</f>
        <v>т</v>
      </c>
      <c r="I183">
        <f>SmtRes!Y285*Source!I272</f>
        <v>5.3129999999999997E-2</v>
      </c>
      <c r="J183">
        <f>SmtRes!AO285</f>
        <v>1</v>
      </c>
      <c r="K183">
        <f>SmtRes!AE285</f>
        <v>748299.67</v>
      </c>
      <c r="L183">
        <f>SmtRes!DB285</f>
        <v>39285.730000000003</v>
      </c>
      <c r="M183">
        <f>ROUND(ROUND(L183*Source!I272, 6)*1, 2)</f>
        <v>39757.160000000003</v>
      </c>
      <c r="N183">
        <f>SmtRes!AA285</f>
        <v>748299.67</v>
      </c>
      <c r="O183">
        <f>ROUND(ROUND(L183*Source!I272, 6)*SmtRes!DA285, 2)</f>
        <v>39757.160000000003</v>
      </c>
      <c r="P183">
        <f>SmtRes!AG285</f>
        <v>0</v>
      </c>
      <c r="Q183">
        <f>SmtRes!DC285</f>
        <v>0</v>
      </c>
      <c r="R183">
        <f>ROUND(ROUND(Q183*Source!I272, 6)*1, 2)</f>
        <v>0</v>
      </c>
      <c r="S183">
        <f>SmtRes!AC285</f>
        <v>0</v>
      </c>
      <c r="T183">
        <f>ROUND(ROUND(Q183*Source!I272, 6)*SmtRes!AK285, 2)</f>
        <v>0</v>
      </c>
      <c r="U183">
        <f>SmtRes!X285</f>
        <v>-1600259051</v>
      </c>
      <c r="V183">
        <v>-2022093422</v>
      </c>
      <c r="W183">
        <v>1055948583</v>
      </c>
      <c r="X183">
        <v>3</v>
      </c>
    </row>
    <row r="184" spans="1:24" x14ac:dyDescent="0.2">
      <c r="A184">
        <v>20</v>
      </c>
      <c r="B184">
        <v>284</v>
      </c>
      <c r="C184">
        <v>3</v>
      </c>
      <c r="D184">
        <v>0</v>
      </c>
      <c r="E184">
        <f>SmtRes!AV284</f>
        <v>0</v>
      </c>
      <c r="F184" t="str">
        <f>SmtRes!I284</f>
        <v>21.1-25-776</v>
      </c>
      <c r="G184" t="str">
        <f>SmtRes!K284</f>
        <v>Средство связующее универсальное полиуретановое на основе резиновой и каучуковой крошки для устройства высокопрочных эластичных покрытий</v>
      </c>
      <c r="H184" t="str">
        <f>SmtRes!O284</f>
        <v>кг</v>
      </c>
      <c r="I184">
        <f>SmtRes!Y284*Source!I272</f>
        <v>244.398</v>
      </c>
      <c r="J184">
        <f>SmtRes!AO284</f>
        <v>1</v>
      </c>
      <c r="K184">
        <f>SmtRes!AE284</f>
        <v>202.34</v>
      </c>
      <c r="L184">
        <f>SmtRes!DB284</f>
        <v>48865.11</v>
      </c>
      <c r="M184">
        <f>ROUND(ROUND(L184*Source!I272, 6)*1, 2)</f>
        <v>49451.49</v>
      </c>
      <c r="N184">
        <f>SmtRes!AA284</f>
        <v>202.34</v>
      </c>
      <c r="O184">
        <f>ROUND(ROUND(L184*Source!I272, 6)*SmtRes!DA284, 2)</f>
        <v>49451.49</v>
      </c>
      <c r="P184">
        <f>SmtRes!AG284</f>
        <v>0</v>
      </c>
      <c r="Q184">
        <f>SmtRes!DC284</f>
        <v>0</v>
      </c>
      <c r="R184">
        <f>ROUND(ROUND(Q184*Source!I272, 6)*1, 2)</f>
        <v>0</v>
      </c>
      <c r="S184">
        <f>SmtRes!AC284</f>
        <v>0</v>
      </c>
      <c r="T184">
        <f>ROUND(ROUND(Q184*Source!I272, 6)*SmtRes!AK284, 2)</f>
        <v>0</v>
      </c>
      <c r="U184">
        <f>SmtRes!X284</f>
        <v>-319511878</v>
      </c>
      <c r="V184">
        <v>-233522306</v>
      </c>
      <c r="W184">
        <v>1409483656</v>
      </c>
      <c r="X184">
        <v>3</v>
      </c>
    </row>
    <row r="185" spans="1:24" x14ac:dyDescent="0.2">
      <c r="A185">
        <v>20</v>
      </c>
      <c r="B185">
        <v>283</v>
      </c>
      <c r="C185">
        <v>3</v>
      </c>
      <c r="D185">
        <v>0</v>
      </c>
      <c r="E185">
        <f>SmtRes!AV283</f>
        <v>0</v>
      </c>
      <c r="F185" t="str">
        <f>SmtRes!I283</f>
        <v>21.1-25-769</v>
      </c>
      <c r="G185" t="str">
        <f>SmtRes!K283</f>
        <v>Крошка резиновая гранулированная, фракция 2-3 мм</v>
      </c>
      <c r="H185" t="str">
        <f>SmtRes!O283</f>
        <v>кг</v>
      </c>
      <c r="I185">
        <f>SmtRes!Y283*Source!I272</f>
        <v>743.82</v>
      </c>
      <c r="J185">
        <f>SmtRes!AO283</f>
        <v>1</v>
      </c>
      <c r="K185">
        <f>SmtRes!AE283</f>
        <v>17.77</v>
      </c>
      <c r="L185">
        <f>SmtRes!DB283</f>
        <v>13060.95</v>
      </c>
      <c r="M185">
        <f>ROUND(ROUND(L185*Source!I272, 6)*1, 2)</f>
        <v>13217.68</v>
      </c>
      <c r="N185">
        <f>SmtRes!AA283</f>
        <v>17.77</v>
      </c>
      <c r="O185">
        <f>ROUND(ROUND(L185*Source!I272, 6)*SmtRes!DA283, 2)</f>
        <v>13217.68</v>
      </c>
      <c r="P185">
        <f>SmtRes!AG283</f>
        <v>0</v>
      </c>
      <c r="Q185">
        <f>SmtRes!DC283</f>
        <v>0</v>
      </c>
      <c r="R185">
        <f>ROUND(ROUND(Q185*Source!I272, 6)*1, 2)</f>
        <v>0</v>
      </c>
      <c r="S185">
        <f>SmtRes!AC283</f>
        <v>0</v>
      </c>
      <c r="T185">
        <f>ROUND(ROUND(Q185*Source!I272, 6)*SmtRes!AK283, 2)</f>
        <v>0</v>
      </c>
      <c r="U185">
        <f>SmtRes!X283</f>
        <v>1696686191</v>
      </c>
      <c r="V185">
        <v>711481079</v>
      </c>
      <c r="W185">
        <v>1650918109</v>
      </c>
      <c r="X185">
        <v>3</v>
      </c>
    </row>
    <row r="186" spans="1:24" x14ac:dyDescent="0.2">
      <c r="A186">
        <v>20</v>
      </c>
      <c r="B186">
        <v>282</v>
      </c>
      <c r="C186">
        <v>3</v>
      </c>
      <c r="D186">
        <v>0</v>
      </c>
      <c r="E186">
        <f>SmtRes!AV282</f>
        <v>0</v>
      </c>
      <c r="F186" t="str">
        <f>SmtRes!I282</f>
        <v>21.1-25-343</v>
      </c>
      <c r="G186" t="str">
        <f>SmtRes!K282</f>
        <v>Скипидар живичный</v>
      </c>
      <c r="H186" t="str">
        <f>SmtRes!O282</f>
        <v>т</v>
      </c>
      <c r="I186">
        <f>SmtRes!Y282*Source!I272</f>
        <v>3.1878000000000002E-3</v>
      </c>
      <c r="J186">
        <f>SmtRes!AO282</f>
        <v>1</v>
      </c>
      <c r="K186">
        <f>SmtRes!AE282</f>
        <v>343020.03</v>
      </c>
      <c r="L186">
        <f>SmtRes!DB282</f>
        <v>1080.51</v>
      </c>
      <c r="M186">
        <f>ROUND(ROUND(L186*Source!I272, 6)*1, 2)</f>
        <v>1093.48</v>
      </c>
      <c r="N186">
        <f>SmtRes!AA282</f>
        <v>343020.03</v>
      </c>
      <c r="O186">
        <f>ROUND(ROUND(L186*Source!I272, 6)*SmtRes!DA282, 2)</f>
        <v>1093.48</v>
      </c>
      <c r="P186">
        <f>SmtRes!AG282</f>
        <v>0</v>
      </c>
      <c r="Q186">
        <f>SmtRes!DC282</f>
        <v>0</v>
      </c>
      <c r="R186">
        <f>ROUND(ROUND(Q186*Source!I272, 6)*1, 2)</f>
        <v>0</v>
      </c>
      <c r="S186">
        <f>SmtRes!AC282</f>
        <v>0</v>
      </c>
      <c r="T186">
        <f>ROUND(ROUND(Q186*Source!I272, 6)*SmtRes!AK282, 2)</f>
        <v>0</v>
      </c>
      <c r="U186">
        <f>SmtRes!X282</f>
        <v>1287476064</v>
      </c>
      <c r="V186">
        <v>-2022015353</v>
      </c>
      <c r="W186">
        <v>-1513198188</v>
      </c>
      <c r="X186">
        <v>3</v>
      </c>
    </row>
    <row r="187" spans="1:24" x14ac:dyDescent="0.2">
      <c r="A187">
        <v>20</v>
      </c>
      <c r="B187">
        <v>281</v>
      </c>
      <c r="C187">
        <v>3</v>
      </c>
      <c r="D187">
        <v>0</v>
      </c>
      <c r="E187">
        <f>SmtRes!AV281</f>
        <v>0</v>
      </c>
      <c r="F187" t="str">
        <f>SmtRes!I281</f>
        <v>21.1-25-255</v>
      </c>
      <c r="G187" t="str">
        <f>SmtRes!K281</f>
        <v>Пленка полиэтиленовая, толщина 0,12 - 0,15 мм</v>
      </c>
      <c r="H187" t="str">
        <f>SmtRes!O281</f>
        <v>м2</v>
      </c>
      <c r="I187">
        <f>SmtRes!Y281*Source!I272</f>
        <v>5.6671999999999993</v>
      </c>
      <c r="J187">
        <f>SmtRes!AO281</f>
        <v>1</v>
      </c>
      <c r="K187">
        <f>SmtRes!AE281</f>
        <v>12.02</v>
      </c>
      <c r="L187">
        <f>SmtRes!DB281</f>
        <v>67.31</v>
      </c>
      <c r="M187">
        <f>ROUND(ROUND(L187*Source!I272, 6)*1, 2)</f>
        <v>68.12</v>
      </c>
      <c r="N187">
        <f>SmtRes!AA281</f>
        <v>12.02</v>
      </c>
      <c r="O187">
        <f>ROUND(ROUND(L187*Source!I272, 6)*SmtRes!DA281, 2)</f>
        <v>68.12</v>
      </c>
      <c r="P187">
        <f>SmtRes!AG281</f>
        <v>0</v>
      </c>
      <c r="Q187">
        <f>SmtRes!DC281</f>
        <v>0</v>
      </c>
      <c r="R187">
        <f>ROUND(ROUND(Q187*Source!I272, 6)*1, 2)</f>
        <v>0</v>
      </c>
      <c r="S187">
        <f>SmtRes!AC281</f>
        <v>0</v>
      </c>
      <c r="T187">
        <f>ROUND(ROUND(Q187*Source!I272, 6)*SmtRes!AK281, 2)</f>
        <v>0</v>
      </c>
      <c r="U187">
        <f>SmtRes!X281</f>
        <v>-1185010663</v>
      </c>
      <c r="V187">
        <v>1068066483</v>
      </c>
      <c r="W187">
        <v>2115870156</v>
      </c>
      <c r="X187">
        <v>3</v>
      </c>
    </row>
    <row r="188" spans="1:24" x14ac:dyDescent="0.2">
      <c r="A188">
        <v>20</v>
      </c>
      <c r="B188">
        <v>280</v>
      </c>
      <c r="C188">
        <v>2</v>
      </c>
      <c r="D188">
        <v>0</v>
      </c>
      <c r="E188">
        <f>SmtRes!AV280</f>
        <v>0</v>
      </c>
      <c r="F188" t="str">
        <f>SmtRes!I280</f>
        <v>22.1-6-68</v>
      </c>
      <c r="G188" t="str">
        <f>SmtRes!K280</f>
        <v>Растворосмесители стационарные, емкость до 250 л</v>
      </c>
      <c r="H188" t="str">
        <f>SmtRes!O280</f>
        <v>маш.-ч</v>
      </c>
      <c r="I188">
        <f>SmtRes!Y280*Source!I272</f>
        <v>2.6716800000000003</v>
      </c>
      <c r="J188">
        <f>SmtRes!AO280</f>
        <v>1</v>
      </c>
      <c r="K188">
        <f>SmtRes!AF280</f>
        <v>454.31</v>
      </c>
      <c r="L188">
        <f>SmtRes!DB280</f>
        <v>1199.3800000000001</v>
      </c>
      <c r="M188">
        <f>ROUND(ROUND(L188*Source!I272, 6)*1, 2)</f>
        <v>1213.77</v>
      </c>
      <c r="N188">
        <f>SmtRes!AB280</f>
        <v>454.31</v>
      </c>
      <c r="O188">
        <f>ROUND(ROUND(L188*Source!I272, 6)*SmtRes!DA280, 2)</f>
        <v>1213.77</v>
      </c>
      <c r="P188">
        <f>SmtRes!AG280</f>
        <v>405.68</v>
      </c>
      <c r="Q188">
        <f>SmtRes!DC280</f>
        <v>1071</v>
      </c>
      <c r="R188">
        <f>ROUND(ROUND(Q188*Source!I272, 6)*1, 2)</f>
        <v>1083.8499999999999</v>
      </c>
      <c r="S188">
        <f>SmtRes!AC280</f>
        <v>405.68</v>
      </c>
      <c r="T188">
        <f>ROUND(ROUND(Q188*Source!I272, 6)*SmtRes!AK280, 2)</f>
        <v>1083.8499999999999</v>
      </c>
      <c r="U188">
        <f>SmtRes!X280</f>
        <v>1110189246</v>
      </c>
      <c r="V188">
        <v>1539087417</v>
      </c>
      <c r="W188">
        <v>-1650330276</v>
      </c>
      <c r="X188">
        <v>2</v>
      </c>
    </row>
    <row r="189" spans="1:24" x14ac:dyDescent="0.2">
      <c r="A189">
        <v>20</v>
      </c>
      <c r="B189">
        <v>279</v>
      </c>
      <c r="C189">
        <v>2</v>
      </c>
      <c r="D189">
        <v>0</v>
      </c>
      <c r="E189">
        <f>SmtRes!AV279</f>
        <v>0</v>
      </c>
      <c r="F189" t="str">
        <f>SmtRes!I279</f>
        <v>22.1-4-8</v>
      </c>
      <c r="G189" t="str">
        <f>SmtRes!K279</f>
        <v>Погрузчики на автомобильном ходу, грузоподъемность до 1 т</v>
      </c>
      <c r="H189" t="str">
        <f>SmtRes!O279</f>
        <v>маш.-ч</v>
      </c>
      <c r="I189">
        <f>SmtRes!Y279*Source!I272</f>
        <v>1.0120000000000001E-2</v>
      </c>
      <c r="J189">
        <f>SmtRes!AO279</f>
        <v>1</v>
      </c>
      <c r="K189">
        <f>SmtRes!AF279</f>
        <v>616.73</v>
      </c>
      <c r="L189">
        <f>SmtRes!DB279</f>
        <v>6.17</v>
      </c>
      <c r="M189">
        <f>ROUND(ROUND(L189*Source!I272, 6)*1, 2)</f>
        <v>6.24</v>
      </c>
      <c r="N189">
        <f>SmtRes!AB279</f>
        <v>616.73</v>
      </c>
      <c r="O189">
        <f>ROUND(ROUND(L189*Source!I272, 6)*SmtRes!DA279, 2)</f>
        <v>6.24</v>
      </c>
      <c r="P189">
        <f>SmtRes!AG279</f>
        <v>511.29</v>
      </c>
      <c r="Q189">
        <f>SmtRes!DC279</f>
        <v>5.1100000000000003</v>
      </c>
      <c r="R189">
        <f>ROUND(ROUND(Q189*Source!I272, 6)*1, 2)</f>
        <v>5.17</v>
      </c>
      <c r="S189">
        <f>SmtRes!AC279</f>
        <v>511.29</v>
      </c>
      <c r="T189">
        <f>ROUND(ROUND(Q189*Source!I272, 6)*SmtRes!AK279, 2)</f>
        <v>5.17</v>
      </c>
      <c r="U189">
        <f>SmtRes!X279</f>
        <v>-2052459773</v>
      </c>
      <c r="V189">
        <v>579726280</v>
      </c>
      <c r="W189">
        <v>1460056643</v>
      </c>
      <c r="X189">
        <v>2</v>
      </c>
    </row>
    <row r="190" spans="1:24" x14ac:dyDescent="0.2">
      <c r="A190">
        <v>20</v>
      </c>
      <c r="B190">
        <v>278</v>
      </c>
      <c r="C190">
        <v>2</v>
      </c>
      <c r="D190">
        <v>0</v>
      </c>
      <c r="E190">
        <f>SmtRes!AV278</f>
        <v>0</v>
      </c>
      <c r="F190" t="str">
        <f>SmtRes!I278</f>
        <v>22.1-30-102</v>
      </c>
      <c r="G190" t="str">
        <f>SmtRes!K278</f>
        <v>Дрели электрические, двухскоростные, мощностью 600 Вт</v>
      </c>
      <c r="H190" t="str">
        <f>SmtRes!O278</f>
        <v>маш.-ч</v>
      </c>
      <c r="I190">
        <f>SmtRes!Y278*Source!I272</f>
        <v>1.1941599999999999</v>
      </c>
      <c r="J190">
        <f>SmtRes!AO278</f>
        <v>1</v>
      </c>
      <c r="K190">
        <f>SmtRes!AF278</f>
        <v>7.44</v>
      </c>
      <c r="L190">
        <f>SmtRes!DB278</f>
        <v>8.7799999999999994</v>
      </c>
      <c r="M190">
        <f>ROUND(ROUND(L190*Source!I272, 6)*1, 2)</f>
        <v>8.89</v>
      </c>
      <c r="N190">
        <f>SmtRes!AB278</f>
        <v>7.44</v>
      </c>
      <c r="O190">
        <f>ROUND(ROUND(L190*Source!I272, 6)*SmtRes!DA278, 2)</f>
        <v>8.89</v>
      </c>
      <c r="P190">
        <f>SmtRes!AG278</f>
        <v>0.98</v>
      </c>
      <c r="Q190">
        <f>SmtRes!DC278</f>
        <v>1.1599999999999999</v>
      </c>
      <c r="R190">
        <f>ROUND(ROUND(Q190*Source!I272, 6)*1, 2)</f>
        <v>1.17</v>
      </c>
      <c r="S190">
        <f>SmtRes!AC278</f>
        <v>0.98</v>
      </c>
      <c r="T190">
        <f>ROUND(ROUND(Q190*Source!I272, 6)*SmtRes!AK278, 2)</f>
        <v>1.17</v>
      </c>
      <c r="U190">
        <f>SmtRes!X278</f>
        <v>592514182</v>
      </c>
      <c r="V190">
        <v>807016121</v>
      </c>
      <c r="W190">
        <v>83762966</v>
      </c>
      <c r="X190">
        <v>2</v>
      </c>
    </row>
    <row r="191" spans="1:24" x14ac:dyDescent="0.2">
      <c r="A191">
        <v>20</v>
      </c>
      <c r="B191">
        <v>277</v>
      </c>
      <c r="C191">
        <v>2</v>
      </c>
      <c r="D191">
        <v>0</v>
      </c>
      <c r="E191">
        <f>SmtRes!AV277</f>
        <v>0</v>
      </c>
      <c r="F191" t="str">
        <f>SmtRes!I277</f>
        <v>22.1-17-168</v>
      </c>
      <c r="G191" t="str">
        <f>SmtRes!K277</f>
        <v>Укладчики полимерных покрытий на игровых и спортивных площадках, производительность 10-50 м2/ч</v>
      </c>
      <c r="H191" t="str">
        <f>SmtRes!O277</f>
        <v>маш.-ч</v>
      </c>
      <c r="I191">
        <f>SmtRes!Y277*Source!I272</f>
        <v>2.6716800000000003</v>
      </c>
      <c r="J191">
        <f>SmtRes!AO277</f>
        <v>1</v>
      </c>
      <c r="K191">
        <f>SmtRes!AF277</f>
        <v>531.41</v>
      </c>
      <c r="L191">
        <f>SmtRes!DB277</f>
        <v>1402.92</v>
      </c>
      <c r="M191">
        <f>ROUND(ROUND(L191*Source!I272, 6)*1, 2)</f>
        <v>1419.76</v>
      </c>
      <c r="N191">
        <f>SmtRes!AB277</f>
        <v>531.41</v>
      </c>
      <c r="O191">
        <f>ROUND(ROUND(L191*Source!I272, 6)*SmtRes!DA277, 2)</f>
        <v>1419.76</v>
      </c>
      <c r="P191">
        <f>SmtRes!AG277</f>
        <v>373.56</v>
      </c>
      <c r="Q191">
        <f>SmtRes!DC277</f>
        <v>986.2</v>
      </c>
      <c r="R191">
        <f>ROUND(ROUND(Q191*Source!I272, 6)*1, 2)</f>
        <v>998.03</v>
      </c>
      <c r="S191">
        <f>SmtRes!AC277</f>
        <v>373.56</v>
      </c>
      <c r="T191">
        <f>ROUND(ROUND(Q191*Source!I272, 6)*SmtRes!AK277, 2)</f>
        <v>998.03</v>
      </c>
      <c r="U191">
        <f>SmtRes!X277</f>
        <v>72422803</v>
      </c>
      <c r="V191">
        <v>1063291144</v>
      </c>
      <c r="W191">
        <v>904665643</v>
      </c>
      <c r="X191">
        <v>2</v>
      </c>
    </row>
    <row r="192" spans="1:24" x14ac:dyDescent="0.2">
      <c r="A192">
        <v>20</v>
      </c>
      <c r="B192">
        <v>291</v>
      </c>
      <c r="C192">
        <v>3</v>
      </c>
      <c r="D192">
        <v>0</v>
      </c>
      <c r="E192">
        <f>SmtRes!AV291</f>
        <v>0</v>
      </c>
      <c r="F192" t="str">
        <f>SmtRes!I291</f>
        <v>21.1-6-101</v>
      </c>
      <c r="G192" t="str">
        <f>SmtRes!K291</f>
        <v>Пигменты сухие для красок, кислотный желтый</v>
      </c>
      <c r="H192" t="str">
        <f>SmtRes!O291</f>
        <v>т</v>
      </c>
      <c r="I192">
        <f>SmtRes!Y291*Source!I273</f>
        <v>1.0626E-2</v>
      </c>
      <c r="J192">
        <f>SmtRes!AO291</f>
        <v>1</v>
      </c>
      <c r="K192">
        <f>SmtRes!AE291</f>
        <v>748299.67</v>
      </c>
      <c r="L192">
        <f>SmtRes!DB291</f>
        <v>7857.15</v>
      </c>
      <c r="M192">
        <f>ROUND(ROUND(L192*Source!I273, 6)*1, 2)</f>
        <v>7951.44</v>
      </c>
      <c r="N192">
        <f>SmtRes!AA291</f>
        <v>748299.67</v>
      </c>
      <c r="O192">
        <f>ROUND(ROUND(L192*Source!I273, 6)*SmtRes!DA291, 2)</f>
        <v>7951.44</v>
      </c>
      <c r="P192">
        <f>SmtRes!AG291</f>
        <v>0</v>
      </c>
      <c r="Q192">
        <f>SmtRes!DC291</f>
        <v>0</v>
      </c>
      <c r="R192">
        <f>ROUND(ROUND(Q192*Source!I273, 6)*1, 2)</f>
        <v>0</v>
      </c>
      <c r="S192">
        <f>SmtRes!AC291</f>
        <v>0</v>
      </c>
      <c r="T192">
        <f>ROUND(ROUND(Q192*Source!I273, 6)*SmtRes!AK291, 2)</f>
        <v>0</v>
      </c>
      <c r="U192">
        <f>SmtRes!X291</f>
        <v>-1600259051</v>
      </c>
      <c r="V192">
        <v>-2022093422</v>
      </c>
      <c r="W192">
        <v>1055948583</v>
      </c>
      <c r="X192">
        <v>3</v>
      </c>
    </row>
    <row r="193" spans="1:24" x14ac:dyDescent="0.2">
      <c r="A193">
        <v>20</v>
      </c>
      <c r="B193">
        <v>290</v>
      </c>
      <c r="C193">
        <v>3</v>
      </c>
      <c r="D193">
        <v>0</v>
      </c>
      <c r="E193">
        <f>SmtRes!AV290</f>
        <v>0</v>
      </c>
      <c r="F193" t="str">
        <f>SmtRes!I290</f>
        <v>21.1-25-776</v>
      </c>
      <c r="G193" t="str">
        <f>SmtRes!K290</f>
        <v>Средство связующее универсальное полиуретановое на основе резиновой и каучуковой крошки для устройства высокопрочных эластичных покрытий</v>
      </c>
      <c r="H193" t="str">
        <f>SmtRes!O290</f>
        <v>кг</v>
      </c>
      <c r="I193">
        <f>SmtRes!Y290*Source!I273</f>
        <v>42.503999999999998</v>
      </c>
      <c r="J193">
        <f>SmtRes!AO290</f>
        <v>1</v>
      </c>
      <c r="K193">
        <f>SmtRes!AE290</f>
        <v>202.34</v>
      </c>
      <c r="L193">
        <f>SmtRes!DB290</f>
        <v>8498.2800000000007</v>
      </c>
      <c r="M193">
        <f>ROUND(ROUND(L193*Source!I273, 6)*1, 2)</f>
        <v>8600.26</v>
      </c>
      <c r="N193">
        <f>SmtRes!AA290</f>
        <v>202.34</v>
      </c>
      <c r="O193">
        <f>ROUND(ROUND(L193*Source!I273, 6)*SmtRes!DA290, 2)</f>
        <v>8600.26</v>
      </c>
      <c r="P193">
        <f>SmtRes!AG290</f>
        <v>0</v>
      </c>
      <c r="Q193">
        <f>SmtRes!DC290</f>
        <v>0</v>
      </c>
      <c r="R193">
        <f>ROUND(ROUND(Q193*Source!I273, 6)*1, 2)</f>
        <v>0</v>
      </c>
      <c r="S193">
        <f>SmtRes!AC290</f>
        <v>0</v>
      </c>
      <c r="T193">
        <f>ROUND(ROUND(Q193*Source!I273, 6)*SmtRes!AK290, 2)</f>
        <v>0</v>
      </c>
      <c r="U193">
        <f>SmtRes!X290</f>
        <v>-319511878</v>
      </c>
      <c r="V193">
        <v>-233522306</v>
      </c>
      <c r="W193">
        <v>1409483656</v>
      </c>
      <c r="X193">
        <v>3</v>
      </c>
    </row>
    <row r="194" spans="1:24" x14ac:dyDescent="0.2">
      <c r="A194">
        <v>20</v>
      </c>
      <c r="B194">
        <v>289</v>
      </c>
      <c r="C194">
        <v>3</v>
      </c>
      <c r="D194">
        <v>0</v>
      </c>
      <c r="E194">
        <f>SmtRes!AV289</f>
        <v>0</v>
      </c>
      <c r="F194" t="str">
        <f>SmtRes!I289</f>
        <v>21.1-25-769</v>
      </c>
      <c r="G194" t="str">
        <f>SmtRes!K289</f>
        <v>Крошка резиновая гранулированная, фракция 2-3 мм</v>
      </c>
      <c r="H194" t="str">
        <f>SmtRes!O289</f>
        <v>кг</v>
      </c>
      <c r="I194">
        <f>SmtRes!Y289*Source!I273</f>
        <v>148.76400000000001</v>
      </c>
      <c r="J194">
        <f>SmtRes!AO289</f>
        <v>1</v>
      </c>
      <c r="K194">
        <f>SmtRes!AE289</f>
        <v>17.77</v>
      </c>
      <c r="L194">
        <f>SmtRes!DB289</f>
        <v>2612.19</v>
      </c>
      <c r="M194">
        <f>ROUND(ROUND(L194*Source!I273, 6)*1, 2)</f>
        <v>2643.54</v>
      </c>
      <c r="N194">
        <f>SmtRes!AA289</f>
        <v>17.77</v>
      </c>
      <c r="O194">
        <f>ROUND(ROUND(L194*Source!I273, 6)*SmtRes!DA289, 2)</f>
        <v>2643.54</v>
      </c>
      <c r="P194">
        <f>SmtRes!AG289</f>
        <v>0</v>
      </c>
      <c r="Q194">
        <f>SmtRes!DC289</f>
        <v>0</v>
      </c>
      <c r="R194">
        <f>ROUND(ROUND(Q194*Source!I273, 6)*1, 2)</f>
        <v>0</v>
      </c>
      <c r="S194">
        <f>SmtRes!AC289</f>
        <v>0</v>
      </c>
      <c r="T194">
        <f>ROUND(ROUND(Q194*Source!I273, 6)*SmtRes!AK289, 2)</f>
        <v>0</v>
      </c>
      <c r="U194">
        <f>SmtRes!X289</f>
        <v>1696686191</v>
      </c>
      <c r="V194">
        <v>711481079</v>
      </c>
      <c r="W194">
        <v>1650918109</v>
      </c>
      <c r="X194">
        <v>3</v>
      </c>
    </row>
    <row r="195" spans="1:24" x14ac:dyDescent="0.2">
      <c r="A195">
        <v>20</v>
      </c>
      <c r="B195">
        <v>288</v>
      </c>
      <c r="C195">
        <v>2</v>
      </c>
      <c r="D195">
        <v>0</v>
      </c>
      <c r="E195">
        <f>SmtRes!AV288</f>
        <v>0</v>
      </c>
      <c r="F195" t="str">
        <f>SmtRes!I288</f>
        <v>22.1-6-68</v>
      </c>
      <c r="G195" t="str">
        <f>SmtRes!K288</f>
        <v>Растворосмесители стационарные, емкость до 250 л</v>
      </c>
      <c r="H195" t="str">
        <f>SmtRes!O288</f>
        <v>маш.-ч</v>
      </c>
      <c r="I195">
        <f>SmtRes!Y288*Source!I273</f>
        <v>0.50600000000000001</v>
      </c>
      <c r="J195">
        <f>SmtRes!AO288</f>
        <v>1</v>
      </c>
      <c r="K195">
        <f>SmtRes!AF288</f>
        <v>454.31</v>
      </c>
      <c r="L195">
        <f>SmtRes!DB288</f>
        <v>227.16</v>
      </c>
      <c r="M195">
        <f>ROUND(ROUND(L195*Source!I273, 6)*1, 2)</f>
        <v>229.89</v>
      </c>
      <c r="N195">
        <f>SmtRes!AB288</f>
        <v>454.31</v>
      </c>
      <c r="O195">
        <f>ROUND(ROUND(L195*Source!I273, 6)*SmtRes!DA288, 2)</f>
        <v>229.89</v>
      </c>
      <c r="P195">
        <f>SmtRes!AG288</f>
        <v>405.68</v>
      </c>
      <c r="Q195">
        <f>SmtRes!DC288</f>
        <v>202.84</v>
      </c>
      <c r="R195">
        <f>ROUND(ROUND(Q195*Source!I273, 6)*1, 2)</f>
        <v>205.27</v>
      </c>
      <c r="S195">
        <f>SmtRes!AC288</f>
        <v>405.68</v>
      </c>
      <c r="T195">
        <f>ROUND(ROUND(Q195*Source!I273, 6)*SmtRes!AK288, 2)</f>
        <v>205.27</v>
      </c>
      <c r="U195">
        <f>SmtRes!X288</f>
        <v>1110189246</v>
      </c>
      <c r="V195">
        <v>1539087417</v>
      </c>
      <c r="W195">
        <v>-1650330276</v>
      </c>
      <c r="X195">
        <v>2</v>
      </c>
    </row>
    <row r="196" spans="1:24" x14ac:dyDescent="0.2">
      <c r="A196">
        <v>20</v>
      </c>
      <c r="B196">
        <v>287</v>
      </c>
      <c r="C196">
        <v>2</v>
      </c>
      <c r="D196">
        <v>0</v>
      </c>
      <c r="E196">
        <f>SmtRes!AV287</f>
        <v>0</v>
      </c>
      <c r="F196" t="str">
        <f>SmtRes!I287</f>
        <v>22.1-17-168</v>
      </c>
      <c r="G196" t="str">
        <f>SmtRes!K287</f>
        <v>Укладчики полимерных покрытий на игровых и спортивных площадках, производительность 10-50 м2/ч</v>
      </c>
      <c r="H196" t="str">
        <f>SmtRes!O287</f>
        <v>маш.-ч</v>
      </c>
      <c r="I196">
        <f>SmtRes!Y287*Source!I273</f>
        <v>0.50600000000000001</v>
      </c>
      <c r="J196">
        <f>SmtRes!AO287</f>
        <v>1</v>
      </c>
      <c r="K196">
        <f>SmtRes!AF287</f>
        <v>531.41</v>
      </c>
      <c r="L196">
        <f>SmtRes!DB287</f>
        <v>265.70999999999998</v>
      </c>
      <c r="M196">
        <f>ROUND(ROUND(L196*Source!I273, 6)*1, 2)</f>
        <v>268.89999999999998</v>
      </c>
      <c r="N196">
        <f>SmtRes!AB287</f>
        <v>531.41</v>
      </c>
      <c r="O196">
        <f>ROUND(ROUND(L196*Source!I273, 6)*SmtRes!DA287, 2)</f>
        <v>268.89999999999998</v>
      </c>
      <c r="P196">
        <f>SmtRes!AG287</f>
        <v>373.56</v>
      </c>
      <c r="Q196">
        <f>SmtRes!DC287</f>
        <v>186.78</v>
      </c>
      <c r="R196">
        <f>ROUND(ROUND(Q196*Source!I273, 6)*1, 2)</f>
        <v>189.02</v>
      </c>
      <c r="S196">
        <f>SmtRes!AC287</f>
        <v>373.56</v>
      </c>
      <c r="T196">
        <f>ROUND(ROUND(Q196*Source!I273, 6)*SmtRes!AK287, 2)</f>
        <v>189.02</v>
      </c>
      <c r="U196">
        <f>SmtRes!X287</f>
        <v>72422803</v>
      </c>
      <c r="V196">
        <v>1063291144</v>
      </c>
      <c r="W196">
        <v>904665643</v>
      </c>
      <c r="X196">
        <v>2</v>
      </c>
    </row>
    <row r="197" spans="1:24" x14ac:dyDescent="0.2">
      <c r="A197">
        <v>20</v>
      </c>
      <c r="B197">
        <v>305</v>
      </c>
      <c r="C197">
        <v>3</v>
      </c>
      <c r="D197">
        <v>0</v>
      </c>
      <c r="E197">
        <f>SmtRes!AV305</f>
        <v>0</v>
      </c>
      <c r="F197" t="str">
        <f>SmtRes!I305</f>
        <v>21.5-3-9</v>
      </c>
      <c r="G197" t="str">
        <f>SmtRes!K305</f>
        <v>Камни бетонные бортовые газонные, марка 2ГБ 60.8.20, цвет серый</v>
      </c>
      <c r="H197" t="str">
        <f>SmtRes!O305</f>
        <v>м3</v>
      </c>
      <c r="I197">
        <f>SmtRes!Y305*Source!I276</f>
        <v>0.64640000000000009</v>
      </c>
      <c r="J197">
        <f>SmtRes!AO305</f>
        <v>1</v>
      </c>
      <c r="K197">
        <f>SmtRes!AE305</f>
        <v>11566.57</v>
      </c>
      <c r="L197">
        <f>SmtRes!DB305</f>
        <v>18506.509999999998</v>
      </c>
      <c r="M197">
        <f>ROUND(ROUND(L197*Source!I276, 6)*1, 2)</f>
        <v>7476.63</v>
      </c>
      <c r="N197">
        <f>SmtRes!AA305</f>
        <v>11566.57</v>
      </c>
      <c r="O197">
        <f>ROUND(ROUND(L197*Source!I276, 6)*SmtRes!DA305, 2)</f>
        <v>7476.63</v>
      </c>
      <c r="P197">
        <f>SmtRes!AG305</f>
        <v>0</v>
      </c>
      <c r="Q197">
        <f>SmtRes!DC305</f>
        <v>0</v>
      </c>
      <c r="R197">
        <f>ROUND(ROUND(Q197*Source!I276, 6)*1, 2)</f>
        <v>0</v>
      </c>
      <c r="S197">
        <f>SmtRes!AC305</f>
        <v>0</v>
      </c>
      <c r="T197">
        <f>ROUND(ROUND(Q197*Source!I276, 6)*SmtRes!AK305, 2)</f>
        <v>0</v>
      </c>
      <c r="U197">
        <f>SmtRes!X305</f>
        <v>892889602</v>
      </c>
      <c r="V197">
        <v>2056656452</v>
      </c>
      <c r="W197">
        <v>-418158513</v>
      </c>
      <c r="X197">
        <v>3</v>
      </c>
    </row>
    <row r="198" spans="1:24" x14ac:dyDescent="0.2">
      <c r="A198">
        <v>20</v>
      </c>
      <c r="B198">
        <v>304</v>
      </c>
      <c r="C198">
        <v>3</v>
      </c>
      <c r="D198">
        <v>0</v>
      </c>
      <c r="E198">
        <f>SmtRes!AV304</f>
        <v>0</v>
      </c>
      <c r="F198" t="str">
        <f>SmtRes!I304</f>
        <v>21.3-2-15</v>
      </c>
      <c r="G198" t="str">
        <f>SmtRes!K304</f>
        <v>Растворы цементные, марка 100</v>
      </c>
      <c r="H198" t="str">
        <f>SmtRes!O304</f>
        <v>м3</v>
      </c>
      <c r="I198">
        <f>SmtRes!Y304*Source!I276</f>
        <v>8.0800000000000004E-3</v>
      </c>
      <c r="J198">
        <f>SmtRes!AO304</f>
        <v>1</v>
      </c>
      <c r="K198">
        <f>SmtRes!AE304</f>
        <v>3392.59</v>
      </c>
      <c r="L198">
        <f>SmtRes!DB304</f>
        <v>67.849999999999994</v>
      </c>
      <c r="M198">
        <f>ROUND(ROUND(L198*Source!I276, 6)*1, 2)</f>
        <v>27.41</v>
      </c>
      <c r="N198">
        <f>SmtRes!AA304</f>
        <v>3392.59</v>
      </c>
      <c r="O198">
        <f>ROUND(ROUND(L198*Source!I276, 6)*SmtRes!DA304, 2)</f>
        <v>27.41</v>
      </c>
      <c r="P198">
        <f>SmtRes!AG304</f>
        <v>0</v>
      </c>
      <c r="Q198">
        <f>SmtRes!DC304</f>
        <v>0</v>
      </c>
      <c r="R198">
        <f>ROUND(ROUND(Q198*Source!I276, 6)*1, 2)</f>
        <v>0</v>
      </c>
      <c r="S198">
        <f>SmtRes!AC304</f>
        <v>0</v>
      </c>
      <c r="T198">
        <f>ROUND(ROUND(Q198*Source!I276, 6)*SmtRes!AK304, 2)</f>
        <v>0</v>
      </c>
      <c r="U198">
        <f>SmtRes!X304</f>
        <v>853860812</v>
      </c>
      <c r="V198">
        <v>1081577658</v>
      </c>
      <c r="W198">
        <v>761304375</v>
      </c>
      <c r="X198">
        <v>3</v>
      </c>
    </row>
    <row r="199" spans="1:24" x14ac:dyDescent="0.2">
      <c r="A199">
        <v>20</v>
      </c>
      <c r="B199">
        <v>303</v>
      </c>
      <c r="C199">
        <v>3</v>
      </c>
      <c r="D199">
        <v>0</v>
      </c>
      <c r="E199">
        <f>SmtRes!AV303</f>
        <v>0</v>
      </c>
      <c r="F199" t="str">
        <f>SmtRes!I303</f>
        <v>21.3-1-69</v>
      </c>
      <c r="G199" t="str">
        <f>SmtRes!K303</f>
        <v>Смеси бетонные, БСГ, тяжелого бетона на гранитном щебне, класс прочности: В15 (М200); П3, фракция 5-20, F50-100, W0-2</v>
      </c>
      <c r="H199" t="str">
        <f>SmtRes!O303</f>
        <v>м3</v>
      </c>
      <c r="I199">
        <f>SmtRes!Y303*Source!I276</f>
        <v>1.7372000000000001</v>
      </c>
      <c r="J199">
        <f>SmtRes!AO303</f>
        <v>1</v>
      </c>
      <c r="K199">
        <f>SmtRes!AE303</f>
        <v>3714.73</v>
      </c>
      <c r="L199">
        <f>SmtRes!DB303</f>
        <v>15973.34</v>
      </c>
      <c r="M199">
        <f>ROUND(ROUND(L199*Source!I276, 6)*1, 2)</f>
        <v>6453.23</v>
      </c>
      <c r="N199">
        <f>SmtRes!AA303</f>
        <v>3714.73</v>
      </c>
      <c r="O199">
        <f>ROUND(ROUND(L199*Source!I276, 6)*SmtRes!DA303, 2)</f>
        <v>6453.23</v>
      </c>
      <c r="P199">
        <f>SmtRes!AG303</f>
        <v>0</v>
      </c>
      <c r="Q199">
        <f>SmtRes!DC303</f>
        <v>0</v>
      </c>
      <c r="R199">
        <f>ROUND(ROUND(Q199*Source!I276, 6)*1, 2)</f>
        <v>0</v>
      </c>
      <c r="S199">
        <f>SmtRes!AC303</f>
        <v>0</v>
      </c>
      <c r="T199">
        <f>ROUND(ROUND(Q199*Source!I276, 6)*SmtRes!AK303, 2)</f>
        <v>0</v>
      </c>
      <c r="U199">
        <f>SmtRes!X303</f>
        <v>426331755</v>
      </c>
      <c r="V199">
        <v>-1437152771</v>
      </c>
      <c r="W199">
        <v>-1406457179</v>
      </c>
      <c r="X199">
        <v>3</v>
      </c>
    </row>
    <row r="200" spans="1:24" x14ac:dyDescent="0.2">
      <c r="A200">
        <v>20</v>
      </c>
      <c r="B200">
        <v>302</v>
      </c>
      <c r="C200">
        <v>2</v>
      </c>
      <c r="D200">
        <v>0</v>
      </c>
      <c r="E200">
        <f>SmtRes!AV302</f>
        <v>0</v>
      </c>
      <c r="F200" t="str">
        <f>SmtRes!I302</f>
        <v>22.1-4-12</v>
      </c>
      <c r="G200" t="str">
        <f>SmtRes!K302</f>
        <v>Погрузчики на автомобильном ходу, грузоподъемность до 5 т</v>
      </c>
      <c r="H200" t="str">
        <f>SmtRes!O302</f>
        <v>маш.-ч</v>
      </c>
      <c r="I200">
        <f>SmtRes!Y302*Source!I276</f>
        <v>0.10504000000000001</v>
      </c>
      <c r="J200">
        <f>SmtRes!AO302</f>
        <v>1</v>
      </c>
      <c r="K200">
        <f>SmtRes!AF302</f>
        <v>683.9</v>
      </c>
      <c r="L200">
        <f>SmtRes!DB302</f>
        <v>177.81</v>
      </c>
      <c r="M200">
        <f>ROUND(ROUND(L200*Source!I276, 6)*1, 2)</f>
        <v>71.84</v>
      </c>
      <c r="N200">
        <f>SmtRes!AB302</f>
        <v>683.9</v>
      </c>
      <c r="O200">
        <f>ROUND(ROUND(L200*Source!I276, 6)*SmtRes!DA302, 2)</f>
        <v>71.84</v>
      </c>
      <c r="P200">
        <f>SmtRes!AG302</f>
        <v>371.27</v>
      </c>
      <c r="Q200">
        <f>SmtRes!DC302</f>
        <v>96.53</v>
      </c>
      <c r="R200">
        <f>ROUND(ROUND(Q200*Source!I276, 6)*1, 2)</f>
        <v>39</v>
      </c>
      <c r="S200">
        <f>SmtRes!AC302</f>
        <v>371.27</v>
      </c>
      <c r="T200">
        <f>ROUND(ROUND(Q200*Source!I276, 6)*SmtRes!AK302, 2)</f>
        <v>39</v>
      </c>
      <c r="U200">
        <f>SmtRes!X302</f>
        <v>-1323805330</v>
      </c>
      <c r="V200">
        <v>1986574417</v>
      </c>
      <c r="W200">
        <v>-926712809</v>
      </c>
      <c r="X200">
        <v>2</v>
      </c>
    </row>
    <row r="201" spans="1:24" x14ac:dyDescent="0.2">
      <c r="A201">
        <v>20</v>
      </c>
      <c r="B201">
        <v>313</v>
      </c>
      <c r="C201">
        <v>3</v>
      </c>
      <c r="D201">
        <v>0</v>
      </c>
      <c r="E201">
        <f>SmtRes!AV313</f>
        <v>0</v>
      </c>
      <c r="F201" t="str">
        <f>SmtRes!I313</f>
        <v>21.3-2-12</v>
      </c>
      <c r="G201" t="str">
        <f>SmtRes!K313</f>
        <v>Растворы цементные, марка 25</v>
      </c>
      <c r="H201" t="str">
        <f>SmtRes!O313</f>
        <v>м3</v>
      </c>
      <c r="I201">
        <f>SmtRes!Y313*Source!I277</f>
        <v>5.9999999999999995E-4</v>
      </c>
      <c r="J201">
        <f>SmtRes!AO313</f>
        <v>1</v>
      </c>
      <c r="K201">
        <f>SmtRes!AE313</f>
        <v>3323.4</v>
      </c>
      <c r="L201">
        <f>SmtRes!DB313</f>
        <v>49.85</v>
      </c>
      <c r="M201">
        <f>ROUND(ROUND(L201*Source!I277, 6)*1, 2)</f>
        <v>1.99</v>
      </c>
      <c r="N201">
        <f>SmtRes!AA313</f>
        <v>3323.4</v>
      </c>
      <c r="O201">
        <f>ROUND(ROUND(L201*Source!I277, 6)*SmtRes!DA313, 2)</f>
        <v>1.99</v>
      </c>
      <c r="P201">
        <f>SmtRes!AG313</f>
        <v>0</v>
      </c>
      <c r="Q201">
        <f>SmtRes!DC313</f>
        <v>0</v>
      </c>
      <c r="R201">
        <f>ROUND(ROUND(Q201*Source!I277, 6)*1, 2)</f>
        <v>0</v>
      </c>
      <c r="S201">
        <f>SmtRes!AC313</f>
        <v>0</v>
      </c>
      <c r="T201">
        <f>ROUND(ROUND(Q201*Source!I277, 6)*SmtRes!AK313, 2)</f>
        <v>0</v>
      </c>
      <c r="U201">
        <f>SmtRes!X313</f>
        <v>416525707</v>
      </c>
      <c r="V201">
        <v>-1256474786</v>
      </c>
      <c r="W201">
        <v>809277097</v>
      </c>
      <c r="X201">
        <v>3</v>
      </c>
    </row>
    <row r="202" spans="1:24" x14ac:dyDescent="0.2">
      <c r="A202">
        <f>Source!A284</f>
        <v>18</v>
      </c>
      <c r="B202">
        <v>284</v>
      </c>
      <c r="C202">
        <v>3</v>
      </c>
      <c r="D202">
        <f>Source!BI284</f>
        <v>4</v>
      </c>
      <c r="E202">
        <f>Source!FS284</f>
        <v>0</v>
      </c>
      <c r="F202" t="str">
        <f>Source!F284</f>
        <v>по цене поставщика</v>
      </c>
      <c r="G202" t="str">
        <f>Source!G284</f>
        <v>МАФ: Песочница с крышкой "Малыш" (РЕ-45) для детских садов и ДОУ 2000х1500х580  Ссылка: https://goroddd.ru/pesoch/pesochnitca-s-kryshkoy-malysh-dlya-detskikh-sadov-i-dou</v>
      </c>
      <c r="H202" t="str">
        <f>Source!H284</f>
        <v>шт.</v>
      </c>
      <c r="I202">
        <f>Source!I284</f>
        <v>1</v>
      </c>
      <c r="J202">
        <v>1</v>
      </c>
      <c r="K202">
        <f>Source!AC284</f>
        <v>17250</v>
      </c>
      <c r="M202">
        <f>ROUND(K202*I202, 2)</f>
        <v>17250</v>
      </c>
      <c r="N202">
        <f>Source!AC284*IF(Source!BC284&lt;&gt; 0, Source!BC284, 1)</f>
        <v>17250</v>
      </c>
      <c r="O202">
        <f>ROUND(N202*I202, 2)</f>
        <v>17250</v>
      </c>
      <c r="P202">
        <f>Source!AE284</f>
        <v>0</v>
      </c>
      <c r="R202">
        <f>ROUND(P202*I202, 2)</f>
        <v>0</v>
      </c>
      <c r="S202">
        <f>Source!AE284*IF(Source!BS284&lt;&gt; 0, Source!BS284, 1)</f>
        <v>0</v>
      </c>
      <c r="T202">
        <f>ROUND(S202*I202, 2)</f>
        <v>0</v>
      </c>
      <c r="U202">
        <f>Source!GF284</f>
        <v>-292158938</v>
      </c>
      <c r="V202">
        <v>-1695686249</v>
      </c>
      <c r="W202">
        <v>1338406588</v>
      </c>
      <c r="X202">
        <v>3</v>
      </c>
    </row>
    <row r="203" spans="1:24" x14ac:dyDescent="0.2">
      <c r="A203">
        <f>Source!A285</f>
        <v>18</v>
      </c>
      <c r="B203">
        <v>285</v>
      </c>
      <c r="C203">
        <v>3</v>
      </c>
      <c r="D203">
        <f>Source!BI285</f>
        <v>4</v>
      </c>
      <c r="E203">
        <f>Source!FS285</f>
        <v>0</v>
      </c>
      <c r="F203" t="str">
        <f>Source!F285</f>
        <v>по цене поставщика</v>
      </c>
      <c r="G203" t="str">
        <f>Source!G285</f>
        <v>Функциональный уличный игровой домик для детей "Море" (DO-33) 1800х1350х1450  https://goroddd.ru/detdom/ulichnyy-igrovoy-domik-dlya-detey-more</v>
      </c>
      <c r="H203" t="str">
        <f>Source!H285</f>
        <v>шт.</v>
      </c>
      <c r="I203">
        <f>Source!I285</f>
        <v>1</v>
      </c>
      <c r="J203">
        <v>1</v>
      </c>
      <c r="K203">
        <f>Source!AC285</f>
        <v>44166.67</v>
      </c>
      <c r="M203">
        <f>ROUND(K203*I203, 2)</f>
        <v>44166.67</v>
      </c>
      <c r="N203">
        <f>Source!AC285*IF(Source!BC285&lt;&gt; 0, Source!BC285, 1)</f>
        <v>44166.67</v>
      </c>
      <c r="O203">
        <f>ROUND(N203*I203, 2)</f>
        <v>44166.67</v>
      </c>
      <c r="P203">
        <f>Source!AE285</f>
        <v>0</v>
      </c>
      <c r="R203">
        <f>ROUND(P203*I203, 2)</f>
        <v>0</v>
      </c>
      <c r="S203">
        <f>Source!AE285*IF(Source!BS285&lt;&gt; 0, Source!BS285, 1)</f>
        <v>0</v>
      </c>
      <c r="T203">
        <f>ROUND(S203*I203, 2)</f>
        <v>0</v>
      </c>
      <c r="U203">
        <f>Source!GF285</f>
        <v>774189156</v>
      </c>
      <c r="V203">
        <v>613531390</v>
      </c>
      <c r="W203">
        <v>-2073129128</v>
      </c>
      <c r="X203">
        <v>3</v>
      </c>
    </row>
    <row r="204" spans="1:24" x14ac:dyDescent="0.2">
      <c r="A204">
        <f>Source!A286</f>
        <v>18</v>
      </c>
      <c r="B204">
        <v>286</v>
      </c>
      <c r="C204">
        <v>3</v>
      </c>
      <c r="D204">
        <f>Source!BI286</f>
        <v>4</v>
      </c>
      <c r="E204">
        <f>Source!FS286</f>
        <v>0</v>
      </c>
      <c r="F204" t="str">
        <f>Source!F286</f>
        <v>по цене поставщика</v>
      </c>
      <c r="G204" t="str">
        <f>Source!G286</f>
        <v>МАФ: Игровое оборудование паровозик для детских садов и ДОУ "Разноцветный паровозик" (ИМН-66) 1900х1000х1600  https://goroddd.ru/makety-i-elementy/igrovoy-maket-dlya-detskikh-ploschadok-raznotcvetnyy-parovozik-i</v>
      </c>
      <c r="H204" t="str">
        <f>Source!H286</f>
        <v>шт.</v>
      </c>
      <c r="I204">
        <f>Source!I286</f>
        <v>1</v>
      </c>
      <c r="J204">
        <v>1</v>
      </c>
      <c r="K204">
        <f>Source!AC286</f>
        <v>48916.67</v>
      </c>
      <c r="M204">
        <f>ROUND(K204*I204, 2)</f>
        <v>48916.67</v>
      </c>
      <c r="N204">
        <f>Source!AC286*IF(Source!BC286&lt;&gt; 0, Source!BC286, 1)</f>
        <v>48916.67</v>
      </c>
      <c r="O204">
        <f>ROUND(N204*I204, 2)</f>
        <v>48916.67</v>
      </c>
      <c r="P204">
        <f>Source!AE286</f>
        <v>0</v>
      </c>
      <c r="R204">
        <f>ROUND(P204*I204, 2)</f>
        <v>0</v>
      </c>
      <c r="S204">
        <f>Source!AE286*IF(Source!BS286&lt;&gt; 0, Source!BS286, 1)</f>
        <v>0</v>
      </c>
      <c r="T204">
        <f>ROUND(S204*I204, 2)</f>
        <v>0</v>
      </c>
      <c r="U204">
        <f>Source!GF286</f>
        <v>-696338570</v>
      </c>
      <c r="V204">
        <v>-1847164477</v>
      </c>
      <c r="W204">
        <v>-82390964</v>
      </c>
      <c r="X204">
        <v>3</v>
      </c>
    </row>
    <row r="205" spans="1:24" x14ac:dyDescent="0.2">
      <c r="A205">
        <f>Source!A287</f>
        <v>18</v>
      </c>
      <c r="B205">
        <v>287</v>
      </c>
      <c r="C205">
        <v>3</v>
      </c>
      <c r="D205">
        <f>Source!BI287</f>
        <v>4</v>
      </c>
      <c r="E205">
        <f>Source!FS287</f>
        <v>0</v>
      </c>
      <c r="F205" t="str">
        <f>Source!F287</f>
        <v>по цене поставщика</v>
      </c>
      <c r="G205" t="str">
        <f>Source!G287</f>
        <v>Детская лавочка со спинкой "Пятнашки" на металлическом каркасе 1600х400х700 https://goroddd.ru/detskie-skameiki-i-stoly/detskaya-lavochka-so-spinkoy-pyatnashki</v>
      </c>
      <c r="H205" t="str">
        <f>Source!H287</f>
        <v>шт.</v>
      </c>
      <c r="I205">
        <f>Source!I287</f>
        <v>1</v>
      </c>
      <c r="J205">
        <v>1</v>
      </c>
      <c r="K205">
        <f>Source!AC287</f>
        <v>10833.33</v>
      </c>
      <c r="M205">
        <f>ROUND(K205*I205, 2)</f>
        <v>10833.33</v>
      </c>
      <c r="N205">
        <f>Source!AC287*IF(Source!BC287&lt;&gt; 0, Source!BC287, 1)</f>
        <v>10833.33</v>
      </c>
      <c r="O205">
        <f>ROUND(N205*I205, 2)</f>
        <v>10833.33</v>
      </c>
      <c r="P205">
        <f>Source!AE287</f>
        <v>0</v>
      </c>
      <c r="R205">
        <f>ROUND(P205*I205, 2)</f>
        <v>0</v>
      </c>
      <c r="S205">
        <f>Source!AE287*IF(Source!BS287&lt;&gt; 0, Source!BS287, 1)</f>
        <v>0</v>
      </c>
      <c r="T205">
        <f>ROUND(S205*I205, 2)</f>
        <v>0</v>
      </c>
      <c r="U205">
        <f>Source!GF287</f>
        <v>1617365214</v>
      </c>
      <c r="V205">
        <v>-1534774958</v>
      </c>
      <c r="W205">
        <v>727427344</v>
      </c>
      <c r="X205">
        <v>3</v>
      </c>
    </row>
    <row r="206" spans="1:24" x14ac:dyDescent="0.2">
      <c r="A206">
        <f>Source!A319</f>
        <v>5</v>
      </c>
      <c r="B206">
        <v>319</v>
      </c>
      <c r="G206" t="str">
        <f>Source!G319</f>
        <v>Ремонт асфальта</v>
      </c>
    </row>
    <row r="207" spans="1:24" x14ac:dyDescent="0.2">
      <c r="A207">
        <v>20</v>
      </c>
      <c r="B207">
        <v>323</v>
      </c>
      <c r="C207">
        <v>3</v>
      </c>
      <c r="D207">
        <v>0</v>
      </c>
      <c r="E207">
        <f>SmtRes!AV323</f>
        <v>0</v>
      </c>
      <c r="F207" t="str">
        <f>SmtRes!I323</f>
        <v>21.3-3-3</v>
      </c>
      <c r="G207" t="str">
        <f>SmtRes!K323</f>
        <v>Асфальт литой для покрытий, марка ЛIV</v>
      </c>
      <c r="H207" t="str">
        <f>SmtRes!O323</f>
        <v>т</v>
      </c>
      <c r="I207">
        <f>SmtRes!Y323*Source!I323</f>
        <v>2.79</v>
      </c>
      <c r="J207">
        <f>SmtRes!AO323</f>
        <v>1</v>
      </c>
      <c r="K207">
        <f>SmtRes!AE323</f>
        <v>2562.79</v>
      </c>
      <c r="L207">
        <f>SmtRes!DB323</f>
        <v>320.35000000000002</v>
      </c>
      <c r="M207">
        <f>ROUND(ROUND(L207*Source!I323, 6)*1, 2)</f>
        <v>7150.21</v>
      </c>
      <c r="N207">
        <f>SmtRes!AA323</f>
        <v>2562.79</v>
      </c>
      <c r="O207">
        <f>ROUND(ROUND(L207*Source!I323, 6)*SmtRes!DA323, 2)</f>
        <v>7150.21</v>
      </c>
      <c r="P207">
        <f>SmtRes!AG323</f>
        <v>0</v>
      </c>
      <c r="Q207">
        <f>SmtRes!DC323</f>
        <v>0</v>
      </c>
      <c r="R207">
        <f>ROUND(ROUND(Q207*Source!I323, 6)*1, 2)</f>
        <v>0</v>
      </c>
      <c r="S207">
        <f>SmtRes!AC323</f>
        <v>0</v>
      </c>
      <c r="T207">
        <f>ROUND(ROUND(Q207*Source!I323, 6)*SmtRes!AK323, 2)</f>
        <v>0</v>
      </c>
      <c r="U207">
        <f>SmtRes!X323</f>
        <v>-2114712087</v>
      </c>
      <c r="V207">
        <v>992790743</v>
      </c>
      <c r="W207">
        <v>1490530020</v>
      </c>
      <c r="X207">
        <v>3</v>
      </c>
    </row>
    <row r="208" spans="1:24" x14ac:dyDescent="0.2">
      <c r="A208">
        <v>20</v>
      </c>
      <c r="B208">
        <v>322</v>
      </c>
      <c r="C208">
        <v>3</v>
      </c>
      <c r="D208">
        <v>0</v>
      </c>
      <c r="E208">
        <f>SmtRes!AV322</f>
        <v>0</v>
      </c>
      <c r="F208" t="str">
        <f>SmtRes!I322</f>
        <v>21.1-12-39</v>
      </c>
      <c r="G208" t="str">
        <f>SmtRes!K322</f>
        <v>Щебень из естественного камня для строительных работ, марка 1400, фракция 5-10 мм</v>
      </c>
      <c r="H208" t="str">
        <f>SmtRes!O322</f>
        <v>м3</v>
      </c>
      <c r="I208">
        <f>SmtRes!Y322*Source!I323</f>
        <v>8.9279999999999998E-2</v>
      </c>
      <c r="J208">
        <f>SmtRes!AO322</f>
        <v>1</v>
      </c>
      <c r="K208">
        <f>SmtRes!AE322</f>
        <v>2227</v>
      </c>
      <c r="L208">
        <f>SmtRes!DB322</f>
        <v>8.91</v>
      </c>
      <c r="M208">
        <f>ROUND(ROUND(L208*Source!I323, 6)*1, 2)</f>
        <v>198.87</v>
      </c>
      <c r="N208">
        <f>SmtRes!AA322</f>
        <v>2227</v>
      </c>
      <c r="O208">
        <f>ROUND(ROUND(L208*Source!I323, 6)*SmtRes!DA322, 2)</f>
        <v>198.87</v>
      </c>
      <c r="P208">
        <f>SmtRes!AG322</f>
        <v>0</v>
      </c>
      <c r="Q208">
        <f>SmtRes!DC322</f>
        <v>0</v>
      </c>
      <c r="R208">
        <f>ROUND(ROUND(Q208*Source!I323, 6)*1, 2)</f>
        <v>0</v>
      </c>
      <c r="S208">
        <f>SmtRes!AC322</f>
        <v>0</v>
      </c>
      <c r="T208">
        <f>ROUND(ROUND(Q208*Source!I323, 6)*SmtRes!AK322, 2)</f>
        <v>0</v>
      </c>
      <c r="U208">
        <f>SmtRes!X322</f>
        <v>998257159</v>
      </c>
      <c r="V208">
        <v>423726424</v>
      </c>
      <c r="W208">
        <v>2067559899</v>
      </c>
      <c r="X208">
        <v>3</v>
      </c>
    </row>
    <row r="209" spans="1:24" x14ac:dyDescent="0.2">
      <c r="A209">
        <v>20</v>
      </c>
      <c r="B209">
        <v>321</v>
      </c>
      <c r="C209">
        <v>2</v>
      </c>
      <c r="D209">
        <v>0</v>
      </c>
      <c r="E209">
        <f>SmtRes!AV321</f>
        <v>0</v>
      </c>
      <c r="F209" t="str">
        <f>SmtRes!I321</f>
        <v>22.1-5-66</v>
      </c>
      <c r="G209" t="str">
        <f>SmtRes!K321</f>
        <v>Установки для перевозки литого асфальта типа "Кохер"</v>
      </c>
      <c r="H209" t="str">
        <f>SmtRes!O321</f>
        <v>маш.-ч</v>
      </c>
      <c r="I209">
        <f>SmtRes!Y321*Source!I323</f>
        <v>4.6871999999999998</v>
      </c>
      <c r="J209">
        <f>SmtRes!AO321</f>
        <v>1</v>
      </c>
      <c r="K209">
        <f>SmtRes!AF321</f>
        <v>1028.6300000000001</v>
      </c>
      <c r="L209">
        <f>SmtRes!DB321</f>
        <v>216.01</v>
      </c>
      <c r="M209">
        <f>ROUND(ROUND(L209*Source!I323, 6)*1, 2)</f>
        <v>4821.34</v>
      </c>
      <c r="N209">
        <f>SmtRes!AB321</f>
        <v>1028.6300000000001</v>
      </c>
      <c r="O209">
        <f>ROUND(ROUND(L209*Source!I323, 6)*SmtRes!DA321, 2)</f>
        <v>4821.34</v>
      </c>
      <c r="P209">
        <f>SmtRes!AG321</f>
        <v>539.12</v>
      </c>
      <c r="Q209">
        <f>SmtRes!DC321</f>
        <v>113.22</v>
      </c>
      <c r="R209">
        <f>ROUND(ROUND(Q209*Source!I323, 6)*1, 2)</f>
        <v>2527.0700000000002</v>
      </c>
      <c r="S209">
        <f>SmtRes!AC321</f>
        <v>539.12</v>
      </c>
      <c r="T209">
        <f>ROUND(ROUND(Q209*Source!I323, 6)*SmtRes!AK321, 2)</f>
        <v>2527.0700000000002</v>
      </c>
      <c r="U209">
        <f>SmtRes!X321</f>
        <v>-1029674003</v>
      </c>
      <c r="V209">
        <v>-452159186</v>
      </c>
      <c r="W209">
        <v>479875030</v>
      </c>
      <c r="X209">
        <v>2</v>
      </c>
    </row>
    <row r="210" spans="1:24" x14ac:dyDescent="0.2">
      <c r="A210">
        <v>20</v>
      </c>
      <c r="B210">
        <v>320</v>
      </c>
      <c r="C210">
        <v>2</v>
      </c>
      <c r="D210">
        <v>0</v>
      </c>
      <c r="E210">
        <f>SmtRes!AV320</f>
        <v>0</v>
      </c>
      <c r="F210" t="str">
        <f>SmtRes!I320</f>
        <v>22.1-4-2</v>
      </c>
      <c r="G210" t="str">
        <f>SmtRes!K320</f>
        <v>Погрузчики универсальные на пневмоколесном ходу, грузоподъемность до 2 т</v>
      </c>
      <c r="H210" t="str">
        <f>SmtRes!O320</f>
        <v>маш.-ч</v>
      </c>
      <c r="I210">
        <f>SmtRes!Y320*Source!I323</f>
        <v>3.7944000000000004</v>
      </c>
      <c r="J210">
        <f>SmtRes!AO320</f>
        <v>1</v>
      </c>
      <c r="K210">
        <f>SmtRes!AF320</f>
        <v>967.89</v>
      </c>
      <c r="L210">
        <f>SmtRes!DB320</f>
        <v>164.54</v>
      </c>
      <c r="M210">
        <f>ROUND(ROUND(L210*Source!I323, 6)*1, 2)</f>
        <v>3672.53</v>
      </c>
      <c r="N210">
        <f>SmtRes!AB320</f>
        <v>967.89</v>
      </c>
      <c r="O210">
        <f>ROUND(ROUND(L210*Source!I323, 6)*SmtRes!DA320, 2)</f>
        <v>3672.53</v>
      </c>
      <c r="P210">
        <f>SmtRes!AG320</f>
        <v>572.73</v>
      </c>
      <c r="Q210">
        <f>SmtRes!DC320</f>
        <v>97.36</v>
      </c>
      <c r="R210">
        <f>ROUND(ROUND(Q210*Source!I323, 6)*1, 2)</f>
        <v>2173.08</v>
      </c>
      <c r="S210">
        <f>SmtRes!AC320</f>
        <v>572.73</v>
      </c>
      <c r="T210">
        <f>ROUND(ROUND(Q210*Source!I323, 6)*SmtRes!AK320, 2)</f>
        <v>2173.08</v>
      </c>
      <c r="U210">
        <f>SmtRes!X320</f>
        <v>751834312</v>
      </c>
      <c r="V210">
        <v>-59596151</v>
      </c>
      <c r="W210">
        <v>-1063239858</v>
      </c>
      <c r="X210">
        <v>2</v>
      </c>
    </row>
    <row r="211" spans="1:24" x14ac:dyDescent="0.2">
      <c r="A211">
        <v>20</v>
      </c>
      <c r="B211">
        <v>319</v>
      </c>
      <c r="C211">
        <v>2</v>
      </c>
      <c r="D211">
        <v>0</v>
      </c>
      <c r="E211">
        <f>SmtRes!AV319</f>
        <v>0</v>
      </c>
      <c r="F211" t="str">
        <f>SmtRes!I319</f>
        <v>22.1-10-6</v>
      </c>
      <c r="G211" t="str">
        <f>SmtRes!K319</f>
        <v>Компрессоры с дизельным двигателем прицепные до 6 м3/мин</v>
      </c>
      <c r="H211" t="str">
        <f>SmtRes!O319</f>
        <v>маш.-ч</v>
      </c>
      <c r="I211">
        <f>SmtRes!Y319*Source!I323</f>
        <v>3.7944000000000004</v>
      </c>
      <c r="J211">
        <f>SmtRes!AO319</f>
        <v>1</v>
      </c>
      <c r="K211">
        <f>SmtRes!AF319</f>
        <v>893.38</v>
      </c>
      <c r="L211">
        <f>SmtRes!DB319</f>
        <v>151.87</v>
      </c>
      <c r="M211">
        <f>ROUND(ROUND(L211*Source!I323, 6)*1, 2)</f>
        <v>3389.74</v>
      </c>
      <c r="N211">
        <f>SmtRes!AB319</f>
        <v>893.38</v>
      </c>
      <c r="O211">
        <f>ROUND(ROUND(L211*Source!I323, 6)*SmtRes!DA319, 2)</f>
        <v>3389.74</v>
      </c>
      <c r="P211">
        <f>SmtRes!AG319</f>
        <v>438.65</v>
      </c>
      <c r="Q211">
        <f>SmtRes!DC319</f>
        <v>74.569999999999993</v>
      </c>
      <c r="R211">
        <f>ROUND(ROUND(Q211*Source!I323, 6)*1, 2)</f>
        <v>1664.4</v>
      </c>
      <c r="S211">
        <f>SmtRes!AC319</f>
        <v>438.65</v>
      </c>
      <c r="T211">
        <f>ROUND(ROUND(Q211*Source!I323, 6)*SmtRes!AK319, 2)</f>
        <v>1664.4</v>
      </c>
      <c r="U211">
        <f>SmtRes!X319</f>
        <v>1170735026</v>
      </c>
      <c r="V211">
        <v>519492661</v>
      </c>
      <c r="W211">
        <v>-347542563</v>
      </c>
      <c r="X211">
        <v>2</v>
      </c>
    </row>
    <row r="212" spans="1:24" x14ac:dyDescent="0.2">
      <c r="A212">
        <v>20</v>
      </c>
      <c r="B212">
        <v>329</v>
      </c>
      <c r="C212">
        <v>3</v>
      </c>
      <c r="D212">
        <v>0</v>
      </c>
      <c r="E212">
        <f>SmtRes!AV329</f>
        <v>0</v>
      </c>
      <c r="F212" t="str">
        <f>SmtRes!I329</f>
        <v>21.3-3-3</v>
      </c>
      <c r="G212" t="str">
        <f>SmtRes!K329</f>
        <v>Асфальт литой для покрытий, марка ЛIV</v>
      </c>
      <c r="H212" t="str">
        <f>SmtRes!O329</f>
        <v>т</v>
      </c>
      <c r="I212">
        <f>SmtRes!Y329*Source!I324</f>
        <v>3.75</v>
      </c>
      <c r="J212">
        <f>SmtRes!AO329</f>
        <v>1</v>
      </c>
      <c r="K212">
        <f>SmtRes!AE329</f>
        <v>2562.79</v>
      </c>
      <c r="L212">
        <f>SmtRes!DB329</f>
        <v>320.35000000000002</v>
      </c>
      <c r="M212">
        <f>ROUND(ROUND(L212*Source!I324, 6)*1, 2)</f>
        <v>9610.5</v>
      </c>
      <c r="N212">
        <f>SmtRes!AA329</f>
        <v>2562.79</v>
      </c>
      <c r="O212">
        <f>ROUND(ROUND(L212*Source!I324, 6)*SmtRes!DA329, 2)</f>
        <v>9610.5</v>
      </c>
      <c r="P212">
        <f>SmtRes!AG329</f>
        <v>0</v>
      </c>
      <c r="Q212">
        <f>SmtRes!DC329</f>
        <v>0</v>
      </c>
      <c r="R212">
        <f>ROUND(ROUND(Q212*Source!I324, 6)*1, 2)</f>
        <v>0</v>
      </c>
      <c r="S212">
        <f>SmtRes!AC329</f>
        <v>0</v>
      </c>
      <c r="T212">
        <f>ROUND(ROUND(Q212*Source!I324, 6)*SmtRes!AK329, 2)</f>
        <v>0</v>
      </c>
      <c r="U212">
        <f>SmtRes!X329</f>
        <v>-2114712087</v>
      </c>
      <c r="V212">
        <v>992790743</v>
      </c>
      <c r="W212">
        <v>1490530020</v>
      </c>
      <c r="X212">
        <v>3</v>
      </c>
    </row>
    <row r="213" spans="1:24" x14ac:dyDescent="0.2">
      <c r="A213">
        <v>20</v>
      </c>
      <c r="B213">
        <v>328</v>
      </c>
      <c r="C213">
        <v>3</v>
      </c>
      <c r="D213">
        <v>0</v>
      </c>
      <c r="E213">
        <f>SmtRes!AV328</f>
        <v>0</v>
      </c>
      <c r="F213" t="str">
        <f>SmtRes!I328</f>
        <v>21.1-12-39</v>
      </c>
      <c r="G213" t="str">
        <f>SmtRes!K328</f>
        <v>Щебень из естественного камня для строительных работ, марка 1400, фракция 5-10 мм</v>
      </c>
      <c r="H213" t="str">
        <f>SmtRes!O328</f>
        <v>м3</v>
      </c>
      <c r="I213">
        <f>SmtRes!Y328*Source!I324</f>
        <v>0.12</v>
      </c>
      <c r="J213">
        <f>SmtRes!AO328</f>
        <v>1</v>
      </c>
      <c r="K213">
        <f>SmtRes!AE328</f>
        <v>2227</v>
      </c>
      <c r="L213">
        <f>SmtRes!DB328</f>
        <v>8.91</v>
      </c>
      <c r="M213">
        <f>ROUND(ROUND(L213*Source!I324, 6)*1, 2)</f>
        <v>267.3</v>
      </c>
      <c r="N213">
        <f>SmtRes!AA328</f>
        <v>2227</v>
      </c>
      <c r="O213">
        <f>ROUND(ROUND(L213*Source!I324, 6)*SmtRes!DA328, 2)</f>
        <v>267.3</v>
      </c>
      <c r="P213">
        <f>SmtRes!AG328</f>
        <v>0</v>
      </c>
      <c r="Q213">
        <f>SmtRes!DC328</f>
        <v>0</v>
      </c>
      <c r="R213">
        <f>ROUND(ROUND(Q213*Source!I324, 6)*1, 2)</f>
        <v>0</v>
      </c>
      <c r="S213">
        <f>SmtRes!AC328</f>
        <v>0</v>
      </c>
      <c r="T213">
        <f>ROUND(ROUND(Q213*Source!I324, 6)*SmtRes!AK328, 2)</f>
        <v>0</v>
      </c>
      <c r="U213">
        <f>SmtRes!X328</f>
        <v>998257159</v>
      </c>
      <c r="V213">
        <v>423726424</v>
      </c>
      <c r="W213">
        <v>2067559899</v>
      </c>
      <c r="X213">
        <v>3</v>
      </c>
    </row>
    <row r="214" spans="1:24" x14ac:dyDescent="0.2">
      <c r="A214">
        <v>20</v>
      </c>
      <c r="B214">
        <v>327</v>
      </c>
      <c r="C214">
        <v>2</v>
      </c>
      <c r="D214">
        <v>0</v>
      </c>
      <c r="E214">
        <f>SmtRes!AV327</f>
        <v>0</v>
      </c>
      <c r="F214" t="str">
        <f>SmtRes!I327</f>
        <v>22.1-5-66</v>
      </c>
      <c r="G214" t="str">
        <f>SmtRes!K327</f>
        <v>Установки для перевозки литого асфальта типа "Кохер"</v>
      </c>
      <c r="H214" t="str">
        <f>SmtRes!O327</f>
        <v>маш.-ч</v>
      </c>
      <c r="I214">
        <f>SmtRes!Y327*Source!I324</f>
        <v>4.2</v>
      </c>
      <c r="J214">
        <f>SmtRes!AO327</f>
        <v>1</v>
      </c>
      <c r="K214">
        <f>SmtRes!AF327</f>
        <v>1028.6300000000001</v>
      </c>
      <c r="L214">
        <f>SmtRes!DB327</f>
        <v>144.01</v>
      </c>
      <c r="M214">
        <f>ROUND(ROUND(L214*Source!I324, 6)*1, 2)</f>
        <v>4320.3</v>
      </c>
      <c r="N214">
        <f>SmtRes!AB327</f>
        <v>1028.6300000000001</v>
      </c>
      <c r="O214">
        <f>ROUND(ROUND(L214*Source!I324, 6)*SmtRes!DA327, 2)</f>
        <v>4320.3</v>
      </c>
      <c r="P214">
        <f>SmtRes!AG327</f>
        <v>539.12</v>
      </c>
      <c r="Q214">
        <f>SmtRes!DC327</f>
        <v>75.48</v>
      </c>
      <c r="R214">
        <f>ROUND(ROUND(Q214*Source!I324, 6)*1, 2)</f>
        <v>2264.4</v>
      </c>
      <c r="S214">
        <f>SmtRes!AC327</f>
        <v>539.12</v>
      </c>
      <c r="T214">
        <f>ROUND(ROUND(Q214*Source!I324, 6)*SmtRes!AK327, 2)</f>
        <v>2264.4</v>
      </c>
      <c r="U214">
        <f>SmtRes!X327</f>
        <v>-1029674003</v>
      </c>
      <c r="V214">
        <v>-452159186</v>
      </c>
      <c r="W214">
        <v>479875030</v>
      </c>
      <c r="X214">
        <v>2</v>
      </c>
    </row>
    <row r="215" spans="1:24" x14ac:dyDescent="0.2">
      <c r="A215">
        <v>20</v>
      </c>
      <c r="B215">
        <v>326</v>
      </c>
      <c r="C215">
        <v>2</v>
      </c>
      <c r="D215">
        <v>0</v>
      </c>
      <c r="E215">
        <f>SmtRes!AV326</f>
        <v>0</v>
      </c>
      <c r="F215" t="str">
        <f>SmtRes!I326</f>
        <v>22.1-4-2</v>
      </c>
      <c r="G215" t="str">
        <f>SmtRes!K326</f>
        <v>Погрузчики универсальные на пневмоколесном ходу, грузоподъемность до 2 т</v>
      </c>
      <c r="H215" t="str">
        <f>SmtRes!O326</f>
        <v>маш.-ч</v>
      </c>
      <c r="I215">
        <f>SmtRes!Y326*Source!I324</f>
        <v>2.6999999999999997</v>
      </c>
      <c r="J215">
        <f>SmtRes!AO326</f>
        <v>1</v>
      </c>
      <c r="K215">
        <f>SmtRes!AF326</f>
        <v>967.89</v>
      </c>
      <c r="L215">
        <f>SmtRes!DB326</f>
        <v>87.11</v>
      </c>
      <c r="M215">
        <f>ROUND(ROUND(L215*Source!I324, 6)*1, 2)</f>
        <v>2613.3000000000002</v>
      </c>
      <c r="N215">
        <f>SmtRes!AB326</f>
        <v>967.89</v>
      </c>
      <c r="O215">
        <f>ROUND(ROUND(L215*Source!I324, 6)*SmtRes!DA326, 2)</f>
        <v>2613.3000000000002</v>
      </c>
      <c r="P215">
        <f>SmtRes!AG326</f>
        <v>572.73</v>
      </c>
      <c r="Q215">
        <f>SmtRes!DC326</f>
        <v>51.55</v>
      </c>
      <c r="R215">
        <f>ROUND(ROUND(Q215*Source!I324, 6)*1, 2)</f>
        <v>1546.5</v>
      </c>
      <c r="S215">
        <f>SmtRes!AC326</f>
        <v>572.73</v>
      </c>
      <c r="T215">
        <f>ROUND(ROUND(Q215*Source!I324, 6)*SmtRes!AK326, 2)</f>
        <v>1546.5</v>
      </c>
      <c r="U215">
        <f>SmtRes!X326</f>
        <v>751834312</v>
      </c>
      <c r="V215">
        <v>-59596151</v>
      </c>
      <c r="W215">
        <v>-1063239858</v>
      </c>
      <c r="X215">
        <v>2</v>
      </c>
    </row>
    <row r="216" spans="1:24" x14ac:dyDescent="0.2">
      <c r="A216">
        <v>20</v>
      </c>
      <c r="B216">
        <v>325</v>
      </c>
      <c r="C216">
        <v>2</v>
      </c>
      <c r="D216">
        <v>0</v>
      </c>
      <c r="E216">
        <f>SmtRes!AV325</f>
        <v>0</v>
      </c>
      <c r="F216" t="str">
        <f>SmtRes!I325</f>
        <v>22.1-10-6</v>
      </c>
      <c r="G216" t="str">
        <f>SmtRes!K325</f>
        <v>Компрессоры с дизельным двигателем прицепные до 6 м3/мин</v>
      </c>
      <c r="H216" t="str">
        <f>SmtRes!O325</f>
        <v>маш.-ч</v>
      </c>
      <c r="I216">
        <f>SmtRes!Y325*Source!I324</f>
        <v>2.4</v>
      </c>
      <c r="J216">
        <f>SmtRes!AO325</f>
        <v>1</v>
      </c>
      <c r="K216">
        <f>SmtRes!AF325</f>
        <v>893.38</v>
      </c>
      <c r="L216">
        <f>SmtRes!DB325</f>
        <v>71.47</v>
      </c>
      <c r="M216">
        <f>ROUND(ROUND(L216*Source!I324, 6)*1, 2)</f>
        <v>2144.1</v>
      </c>
      <c r="N216">
        <f>SmtRes!AB325</f>
        <v>893.38</v>
      </c>
      <c r="O216">
        <f>ROUND(ROUND(L216*Source!I324, 6)*SmtRes!DA325, 2)</f>
        <v>2144.1</v>
      </c>
      <c r="P216">
        <f>SmtRes!AG325</f>
        <v>438.65</v>
      </c>
      <c r="Q216">
        <f>SmtRes!DC325</f>
        <v>35.090000000000003</v>
      </c>
      <c r="R216">
        <f>ROUND(ROUND(Q216*Source!I324, 6)*1, 2)</f>
        <v>1052.7</v>
      </c>
      <c r="S216">
        <f>SmtRes!AC325</f>
        <v>438.65</v>
      </c>
      <c r="T216">
        <f>ROUND(ROUND(Q216*Source!I324, 6)*SmtRes!AK325, 2)</f>
        <v>1052.7</v>
      </c>
      <c r="U216">
        <f>SmtRes!X325</f>
        <v>1170735026</v>
      </c>
      <c r="V216">
        <v>519492661</v>
      </c>
      <c r="W216">
        <v>-347542563</v>
      </c>
      <c r="X216">
        <v>2</v>
      </c>
    </row>
    <row r="217" spans="1:24" x14ac:dyDescent="0.2">
      <c r="A217">
        <v>20</v>
      </c>
      <c r="B217">
        <v>337</v>
      </c>
      <c r="C217">
        <v>3</v>
      </c>
      <c r="D217">
        <v>0</v>
      </c>
      <c r="E217">
        <f>SmtRes!AV337</f>
        <v>0</v>
      </c>
      <c r="F217" t="str">
        <f>SmtRes!I337</f>
        <v>21.5-3-13</v>
      </c>
      <c r="G217" t="str">
        <f>SmtRes!K337</f>
        <v>Камни бетонные бортовые, марка БР 100.30.15</v>
      </c>
      <c r="H217" t="str">
        <f>SmtRes!O337</f>
        <v>м3</v>
      </c>
      <c r="I217">
        <f>SmtRes!Y337*Source!I325</f>
        <v>0.31392000000000003</v>
      </c>
      <c r="J217">
        <f>SmtRes!AO337</f>
        <v>1</v>
      </c>
      <c r="K217">
        <f>SmtRes!AE337</f>
        <v>7833.01</v>
      </c>
      <c r="L217">
        <f>SmtRes!DB337</f>
        <v>341.52</v>
      </c>
      <c r="M217">
        <f>ROUND(ROUND(L217*Source!I325, 6)*1, 2)</f>
        <v>2458.94</v>
      </c>
      <c r="N217">
        <f>SmtRes!AA337</f>
        <v>7833.01</v>
      </c>
      <c r="O217">
        <f>ROUND(ROUND(L217*Source!I325, 6)*SmtRes!DA337, 2)</f>
        <v>2458.94</v>
      </c>
      <c r="P217">
        <f>SmtRes!AG337</f>
        <v>0</v>
      </c>
      <c r="Q217">
        <f>SmtRes!DC337</f>
        <v>0</v>
      </c>
      <c r="R217">
        <f>ROUND(ROUND(Q217*Source!I325, 6)*1, 2)</f>
        <v>0</v>
      </c>
      <c r="S217">
        <f>SmtRes!AC337</f>
        <v>0</v>
      </c>
      <c r="T217">
        <f>ROUND(ROUND(Q217*Source!I325, 6)*SmtRes!AK337, 2)</f>
        <v>0</v>
      </c>
      <c r="U217">
        <f>SmtRes!X337</f>
        <v>-1147387114</v>
      </c>
      <c r="V217">
        <v>-1186219046</v>
      </c>
      <c r="W217">
        <v>-255063541</v>
      </c>
      <c r="X217">
        <v>3</v>
      </c>
    </row>
    <row r="218" spans="1:24" x14ac:dyDescent="0.2">
      <c r="A218">
        <v>20</v>
      </c>
      <c r="B218">
        <v>336</v>
      </c>
      <c r="C218">
        <v>3</v>
      </c>
      <c r="D218">
        <v>0</v>
      </c>
      <c r="E218">
        <f>SmtRes!AV336</f>
        <v>0</v>
      </c>
      <c r="F218" t="str">
        <f>SmtRes!I336</f>
        <v>21.3-2-15</v>
      </c>
      <c r="G218" t="str">
        <f>SmtRes!K336</f>
        <v>Растворы цементные, марка 100</v>
      </c>
      <c r="H218" t="str">
        <f>SmtRes!O336</f>
        <v>м3</v>
      </c>
      <c r="I218">
        <f>SmtRes!Y336*Source!I325</f>
        <v>4.3200000000000001E-3</v>
      </c>
      <c r="J218">
        <f>SmtRes!AO336</f>
        <v>1</v>
      </c>
      <c r="K218">
        <f>SmtRes!AE336</f>
        <v>3392.59</v>
      </c>
      <c r="L218">
        <f>SmtRes!DB336</f>
        <v>2.04</v>
      </c>
      <c r="M218">
        <f>ROUND(ROUND(L218*Source!I325, 6)*1, 2)</f>
        <v>14.69</v>
      </c>
      <c r="N218">
        <f>SmtRes!AA336</f>
        <v>3392.59</v>
      </c>
      <c r="O218">
        <f>ROUND(ROUND(L218*Source!I325, 6)*SmtRes!DA336, 2)</f>
        <v>14.69</v>
      </c>
      <c r="P218">
        <f>SmtRes!AG336</f>
        <v>0</v>
      </c>
      <c r="Q218">
        <f>SmtRes!DC336</f>
        <v>0</v>
      </c>
      <c r="R218">
        <f>ROUND(ROUND(Q218*Source!I325, 6)*1, 2)</f>
        <v>0</v>
      </c>
      <c r="S218">
        <f>SmtRes!AC336</f>
        <v>0</v>
      </c>
      <c r="T218">
        <f>ROUND(ROUND(Q218*Source!I325, 6)*SmtRes!AK336, 2)</f>
        <v>0</v>
      </c>
      <c r="U218">
        <f>SmtRes!X336</f>
        <v>853860812</v>
      </c>
      <c r="V218">
        <v>1081577658</v>
      </c>
      <c r="W218">
        <v>761304375</v>
      </c>
      <c r="X218">
        <v>3</v>
      </c>
    </row>
    <row r="219" spans="1:24" x14ac:dyDescent="0.2">
      <c r="A219">
        <v>20</v>
      </c>
      <c r="B219">
        <v>335</v>
      </c>
      <c r="C219">
        <v>3</v>
      </c>
      <c r="D219">
        <v>0</v>
      </c>
      <c r="E219">
        <f>SmtRes!AV335</f>
        <v>0</v>
      </c>
      <c r="F219" t="str">
        <f>SmtRes!I335</f>
        <v>21.3-1-36</v>
      </c>
      <c r="G219" t="str">
        <f>SmtRes!K335</f>
        <v>Смеси бетонные, БСГ, тяжелого бетона на гранитном щебне фракция 20-40 для инженерных коммуникаций и дорог, класс прочности: В15 (М200); П1, F100, W2</v>
      </c>
      <c r="H219" t="str">
        <f>SmtRes!O335</f>
        <v>м3</v>
      </c>
      <c r="I219">
        <f>SmtRes!Y335*Source!I325</f>
        <v>0.42480000000000001</v>
      </c>
      <c r="J219">
        <f>SmtRes!AO335</f>
        <v>1</v>
      </c>
      <c r="K219">
        <f>SmtRes!AE335</f>
        <v>3694.66</v>
      </c>
      <c r="L219">
        <f>SmtRes!DB335</f>
        <v>217.98</v>
      </c>
      <c r="M219">
        <f>ROUND(ROUND(L219*Source!I325, 6)*1, 2)</f>
        <v>1569.46</v>
      </c>
      <c r="N219">
        <f>SmtRes!AA335</f>
        <v>3694.66</v>
      </c>
      <c r="O219">
        <f>ROUND(ROUND(L219*Source!I325, 6)*SmtRes!DA335, 2)</f>
        <v>1569.46</v>
      </c>
      <c r="P219">
        <f>SmtRes!AG335</f>
        <v>0</v>
      </c>
      <c r="Q219">
        <f>SmtRes!DC335</f>
        <v>0</v>
      </c>
      <c r="R219">
        <f>ROUND(ROUND(Q219*Source!I325, 6)*1, 2)</f>
        <v>0</v>
      </c>
      <c r="S219">
        <f>SmtRes!AC335</f>
        <v>0</v>
      </c>
      <c r="T219">
        <f>ROUND(ROUND(Q219*Source!I325, 6)*SmtRes!AK335, 2)</f>
        <v>0</v>
      </c>
      <c r="U219">
        <f>SmtRes!X335</f>
        <v>-699673946</v>
      </c>
      <c r="V219">
        <v>-1733655206</v>
      </c>
      <c r="W219">
        <v>-1242065342</v>
      </c>
      <c r="X219">
        <v>3</v>
      </c>
    </row>
    <row r="220" spans="1:24" x14ac:dyDescent="0.2">
      <c r="A220">
        <v>20</v>
      </c>
      <c r="B220">
        <v>334</v>
      </c>
      <c r="C220">
        <v>2</v>
      </c>
      <c r="D220">
        <v>0</v>
      </c>
      <c r="E220">
        <f>SmtRes!AV334</f>
        <v>0</v>
      </c>
      <c r="F220" t="str">
        <f>SmtRes!I334</f>
        <v>22.1-4-1</v>
      </c>
      <c r="G220" t="str">
        <f>SmtRes!K334</f>
        <v>Погрузчики универсальные на пневмоколесном ходу, грузоподъемность до 1 т</v>
      </c>
      <c r="H220" t="str">
        <f>SmtRes!O334</f>
        <v>маш.-ч</v>
      </c>
      <c r="I220">
        <f>SmtRes!Y334*Source!I325</f>
        <v>0.64080000000000004</v>
      </c>
      <c r="J220">
        <f>SmtRes!AO334</f>
        <v>1</v>
      </c>
      <c r="K220">
        <f>SmtRes!AF334</f>
        <v>829.85</v>
      </c>
      <c r="L220">
        <f>SmtRes!DB334</f>
        <v>73.86</v>
      </c>
      <c r="M220">
        <f>ROUND(ROUND(L220*Source!I325, 6)*1, 2)</f>
        <v>531.79</v>
      </c>
      <c r="N220">
        <f>SmtRes!AB334</f>
        <v>829.85</v>
      </c>
      <c r="O220">
        <f>ROUND(ROUND(L220*Source!I325, 6)*SmtRes!DA334, 2)</f>
        <v>531.79</v>
      </c>
      <c r="P220">
        <f>SmtRes!AG334</f>
        <v>457.02</v>
      </c>
      <c r="Q220">
        <f>SmtRes!DC334</f>
        <v>40.67</v>
      </c>
      <c r="R220">
        <f>ROUND(ROUND(Q220*Source!I325, 6)*1, 2)</f>
        <v>292.82</v>
      </c>
      <c r="S220">
        <f>SmtRes!AC334</f>
        <v>457.02</v>
      </c>
      <c r="T220">
        <f>ROUND(ROUND(Q220*Source!I325, 6)*SmtRes!AK334, 2)</f>
        <v>292.82</v>
      </c>
      <c r="U220">
        <f>SmtRes!X334</f>
        <v>-1535937734</v>
      </c>
      <c r="V220">
        <v>360430551</v>
      </c>
      <c r="W220">
        <v>-428940681</v>
      </c>
      <c r="X220">
        <v>2</v>
      </c>
    </row>
    <row r="221" spans="1:24" x14ac:dyDescent="0.2">
      <c r="A221">
        <v>20</v>
      </c>
      <c r="B221">
        <v>333</v>
      </c>
      <c r="C221">
        <v>2</v>
      </c>
      <c r="D221">
        <v>0</v>
      </c>
      <c r="E221">
        <f>SmtRes!AV333</f>
        <v>0</v>
      </c>
      <c r="F221" t="str">
        <f>SmtRes!I333</f>
        <v>22.1-30-54</v>
      </c>
      <c r="G221" t="str">
        <f>SmtRes!K333</f>
        <v>Молотки отбойные</v>
      </c>
      <c r="H221" t="str">
        <f>SmtRes!O333</f>
        <v>маш.-ч</v>
      </c>
      <c r="I221">
        <f>SmtRes!Y333*Source!I325</f>
        <v>0.95040000000000002</v>
      </c>
      <c r="J221">
        <f>SmtRes!AO333</f>
        <v>1</v>
      </c>
      <c r="K221">
        <f>SmtRes!AF333</f>
        <v>6.02</v>
      </c>
      <c r="L221">
        <f>SmtRes!DB333</f>
        <v>0.79</v>
      </c>
      <c r="M221">
        <f>ROUND(ROUND(L221*Source!I325, 6)*1, 2)</f>
        <v>5.69</v>
      </c>
      <c r="N221">
        <f>SmtRes!AB333</f>
        <v>6.02</v>
      </c>
      <c r="O221">
        <f>ROUND(ROUND(L221*Source!I325, 6)*SmtRes!DA333, 2)</f>
        <v>5.69</v>
      </c>
      <c r="P221">
        <f>SmtRes!AG333</f>
        <v>0.02</v>
      </c>
      <c r="Q221">
        <f>SmtRes!DC333</f>
        <v>0</v>
      </c>
      <c r="R221">
        <f>ROUND(ROUND(Q221*Source!I325, 6)*1, 2)</f>
        <v>0</v>
      </c>
      <c r="S221">
        <f>SmtRes!AC333</f>
        <v>0.02</v>
      </c>
      <c r="T221">
        <f>ROUND(ROUND(Q221*Source!I325, 6)*SmtRes!AK333, 2)</f>
        <v>0</v>
      </c>
      <c r="U221">
        <f>SmtRes!X333</f>
        <v>-352447613</v>
      </c>
      <c r="V221">
        <v>422992909</v>
      </c>
      <c r="W221">
        <v>1818908340</v>
      </c>
      <c r="X221">
        <v>2</v>
      </c>
    </row>
    <row r="222" spans="1:24" x14ac:dyDescent="0.2">
      <c r="A222">
        <v>20</v>
      </c>
      <c r="B222">
        <v>332</v>
      </c>
      <c r="C222">
        <v>2</v>
      </c>
      <c r="D222">
        <v>0</v>
      </c>
      <c r="E222">
        <f>SmtRes!AV332</f>
        <v>0</v>
      </c>
      <c r="F222" t="str">
        <f>SmtRes!I332</f>
        <v>22.1-18-27</v>
      </c>
      <c r="G222" t="str">
        <f>SmtRes!K332</f>
        <v>Автомобили грузовые для аварийно-ремонтных работ, грузоподъемность до 7 т</v>
      </c>
      <c r="H222" t="str">
        <f>SmtRes!O332</f>
        <v>маш.-ч</v>
      </c>
      <c r="I222">
        <f>SmtRes!Y332*Source!I325</f>
        <v>0.36000000000000004</v>
      </c>
      <c r="J222">
        <f>SmtRes!AO332</f>
        <v>1</v>
      </c>
      <c r="K222">
        <f>SmtRes!AF332</f>
        <v>1090.94</v>
      </c>
      <c r="L222">
        <f>SmtRes!DB332</f>
        <v>54.55</v>
      </c>
      <c r="M222">
        <f>ROUND(ROUND(L222*Source!I325, 6)*1, 2)</f>
        <v>392.76</v>
      </c>
      <c r="N222">
        <f>SmtRes!AB332</f>
        <v>1090.94</v>
      </c>
      <c r="O222">
        <f>ROUND(ROUND(L222*Source!I325, 6)*SmtRes!DA332, 2)</f>
        <v>392.76</v>
      </c>
      <c r="P222">
        <f>SmtRes!AG332</f>
        <v>389.28</v>
      </c>
      <c r="Q222">
        <f>SmtRes!DC332</f>
        <v>19.46</v>
      </c>
      <c r="R222">
        <f>ROUND(ROUND(Q222*Source!I325, 6)*1, 2)</f>
        <v>140.11000000000001</v>
      </c>
      <c r="S222">
        <f>SmtRes!AC332</f>
        <v>389.28</v>
      </c>
      <c r="T222">
        <f>ROUND(ROUND(Q222*Source!I325, 6)*SmtRes!AK332, 2)</f>
        <v>140.11000000000001</v>
      </c>
      <c r="U222">
        <f>SmtRes!X332</f>
        <v>-1508142339</v>
      </c>
      <c r="V222">
        <v>-1573982175</v>
      </c>
      <c r="W222">
        <v>1334446944</v>
      </c>
      <c r="X222">
        <v>2</v>
      </c>
    </row>
    <row r="223" spans="1:24" x14ac:dyDescent="0.2">
      <c r="A223">
        <v>20</v>
      </c>
      <c r="B223">
        <v>331</v>
      </c>
      <c r="C223">
        <v>2</v>
      </c>
      <c r="D223">
        <v>0</v>
      </c>
      <c r="E223">
        <f>SmtRes!AV331</f>
        <v>0</v>
      </c>
      <c r="F223" t="str">
        <f>SmtRes!I331</f>
        <v>22.1-10-4</v>
      </c>
      <c r="G223" t="str">
        <f>SmtRes!K331</f>
        <v>Компрессоры с дизельным двигателем прицепные до 2,5 м3/мин</v>
      </c>
      <c r="H223" t="str">
        <f>SmtRes!O331</f>
        <v>маш.-ч</v>
      </c>
      <c r="I223">
        <f>SmtRes!Y331*Source!I325</f>
        <v>0.95040000000000002</v>
      </c>
      <c r="J223">
        <f>SmtRes!AO331</f>
        <v>1</v>
      </c>
      <c r="K223">
        <f>SmtRes!AF331</f>
        <v>470.71</v>
      </c>
      <c r="L223">
        <f>SmtRes!DB331</f>
        <v>62.13</v>
      </c>
      <c r="M223">
        <f>ROUND(ROUND(L223*Source!I325, 6)*1, 2)</f>
        <v>447.34</v>
      </c>
      <c r="N223">
        <f>SmtRes!AB331</f>
        <v>470.71</v>
      </c>
      <c r="O223">
        <f>ROUND(ROUND(L223*Source!I325, 6)*SmtRes!DA331, 2)</f>
        <v>447.34</v>
      </c>
      <c r="P223">
        <f>SmtRes!AG331</f>
        <v>359.8</v>
      </c>
      <c r="Q223">
        <f>SmtRes!DC331</f>
        <v>47.49</v>
      </c>
      <c r="R223">
        <f>ROUND(ROUND(Q223*Source!I325, 6)*1, 2)</f>
        <v>341.93</v>
      </c>
      <c r="S223">
        <f>SmtRes!AC331</f>
        <v>359.8</v>
      </c>
      <c r="T223">
        <f>ROUND(ROUND(Q223*Source!I325, 6)*SmtRes!AK331, 2)</f>
        <v>341.93</v>
      </c>
      <c r="U223">
        <f>SmtRes!X331</f>
        <v>830483721</v>
      </c>
      <c r="V223">
        <v>948852901</v>
      </c>
      <c r="W223">
        <v>1420592497</v>
      </c>
      <c r="X223">
        <v>2</v>
      </c>
    </row>
    <row r="224" spans="1:24" x14ac:dyDescent="0.2">
      <c r="A224">
        <f>Source!A357</f>
        <v>5</v>
      </c>
      <c r="B224">
        <v>357</v>
      </c>
      <c r="G224" t="str">
        <f>Source!G357</f>
        <v>Установка МАФов площадка группы № 5</v>
      </c>
    </row>
    <row r="225" spans="1:24" x14ac:dyDescent="0.2">
      <c r="A225">
        <v>20</v>
      </c>
      <c r="B225">
        <v>346</v>
      </c>
      <c r="C225">
        <v>3</v>
      </c>
      <c r="D225">
        <v>0</v>
      </c>
      <c r="E225">
        <f>SmtRes!AV346</f>
        <v>0</v>
      </c>
      <c r="F225" t="str">
        <f>SmtRes!I346</f>
        <v>21.3-2-12</v>
      </c>
      <c r="G225" t="str">
        <f>SmtRes!K346</f>
        <v>Растворы цементные, марка 25</v>
      </c>
      <c r="H225" t="str">
        <f>SmtRes!O346</f>
        <v>м3</v>
      </c>
      <c r="I225">
        <f>SmtRes!Y346*Source!I361</f>
        <v>5.9999999999999995E-4</v>
      </c>
      <c r="J225">
        <f>SmtRes!AO346</f>
        <v>1</v>
      </c>
      <c r="K225">
        <f>SmtRes!AE346</f>
        <v>3323.4</v>
      </c>
      <c r="L225">
        <f>SmtRes!DB346</f>
        <v>49.85</v>
      </c>
      <c r="M225">
        <f>ROUND(ROUND(L225*Source!I361, 6)*1, 2)</f>
        <v>1.99</v>
      </c>
      <c r="N225">
        <f>SmtRes!AA346</f>
        <v>3323.4</v>
      </c>
      <c r="O225">
        <f>ROUND(ROUND(L225*Source!I361, 6)*SmtRes!DA346, 2)</f>
        <v>1.99</v>
      </c>
      <c r="P225">
        <f>SmtRes!AG346</f>
        <v>0</v>
      </c>
      <c r="Q225">
        <f>SmtRes!DC346</f>
        <v>0</v>
      </c>
      <c r="R225">
        <f>ROUND(ROUND(Q225*Source!I361, 6)*1, 2)</f>
        <v>0</v>
      </c>
      <c r="S225">
        <f>SmtRes!AC346</f>
        <v>0</v>
      </c>
      <c r="T225">
        <f>ROUND(ROUND(Q225*Source!I361, 6)*SmtRes!AK346, 2)</f>
        <v>0</v>
      </c>
      <c r="U225">
        <f>SmtRes!X346</f>
        <v>416525707</v>
      </c>
      <c r="V225">
        <v>-1256474786</v>
      </c>
      <c r="W225">
        <v>809277097</v>
      </c>
      <c r="X225">
        <v>3</v>
      </c>
    </row>
    <row r="226" spans="1:24" x14ac:dyDescent="0.2">
      <c r="A226">
        <f>Source!A368</f>
        <v>18</v>
      </c>
      <c r="B226">
        <v>368</v>
      </c>
      <c r="C226">
        <v>3</v>
      </c>
      <c r="D226">
        <f>Source!BI368</f>
        <v>4</v>
      </c>
      <c r="E226">
        <f>Source!FS368</f>
        <v>0</v>
      </c>
      <c r="F226" t="str">
        <f>Source!F368</f>
        <v>по цене поставщика</v>
      </c>
      <c r="G226" t="str">
        <f>Source!G368</f>
        <v>Детский игровой домик-беседка "Теремок" (ИМН-18) для детского сада 2420х1570х1690 https://goroddd.ru/detdom/detskiy-igrovoy-domik-besedka-teremok-dlya-detskogo-sada</v>
      </c>
      <c r="H226" t="str">
        <f>Source!H368</f>
        <v>шт.</v>
      </c>
      <c r="I226">
        <f>Source!I368</f>
        <v>1</v>
      </c>
      <c r="J226">
        <v>1</v>
      </c>
      <c r="K226">
        <f>Source!AC368</f>
        <v>56666.67</v>
      </c>
      <c r="M226">
        <f>ROUND(K226*I226, 2)</f>
        <v>56666.67</v>
      </c>
      <c r="N226">
        <f>Source!AC368*IF(Source!BC368&lt;&gt; 0, Source!BC368, 1)</f>
        <v>56666.67</v>
      </c>
      <c r="O226">
        <f>ROUND(N226*I226, 2)</f>
        <v>56666.67</v>
      </c>
      <c r="P226">
        <f>Source!AE368</f>
        <v>0</v>
      </c>
      <c r="R226">
        <f>ROUND(P226*I226, 2)</f>
        <v>0</v>
      </c>
      <c r="S226">
        <f>Source!AE368*IF(Source!BS368&lt;&gt; 0, Source!BS368, 1)</f>
        <v>0</v>
      </c>
      <c r="T226">
        <f>ROUND(S226*I226, 2)</f>
        <v>0</v>
      </c>
      <c r="U226">
        <f>Source!GF368</f>
        <v>728424109</v>
      </c>
      <c r="V226">
        <v>794925648</v>
      </c>
      <c r="W226">
        <v>474556619</v>
      </c>
      <c r="X226">
        <v>3</v>
      </c>
    </row>
    <row r="227" spans="1:24" x14ac:dyDescent="0.2">
      <c r="A227">
        <f>Source!A369</f>
        <v>18</v>
      </c>
      <c r="B227">
        <v>369</v>
      </c>
      <c r="C227">
        <v>3</v>
      </c>
      <c r="D227">
        <f>Source!BI369</f>
        <v>4</v>
      </c>
      <c r="E227">
        <f>Source!FS369</f>
        <v>0</v>
      </c>
      <c r="F227" t="str">
        <f>Source!F369</f>
        <v>по цене поставщика</v>
      </c>
      <c r="G227" t="str">
        <f>Source!G369</f>
        <v>Игровой макет кораблик для детских площадок "Чунга-Чанга" 2880х1100х2100  https://goroddd.ru/makety-i-elementy/ulichnyy-igrovoy-maket-dlya-detey-chunga-changa-imn-88-2880kh110</v>
      </c>
      <c r="H227" t="str">
        <f>Source!H369</f>
        <v>шт.</v>
      </c>
      <c r="I227">
        <f>Source!I369</f>
        <v>1</v>
      </c>
      <c r="J227">
        <v>1</v>
      </c>
      <c r="K227">
        <f>Source!AC369</f>
        <v>40166.67</v>
      </c>
      <c r="M227">
        <f>ROUND(K227*I227, 2)</f>
        <v>40166.67</v>
      </c>
      <c r="N227">
        <f>Source!AC369*IF(Source!BC369&lt;&gt; 0, Source!BC369, 1)</f>
        <v>40166.67</v>
      </c>
      <c r="O227">
        <f>ROUND(N227*I227, 2)</f>
        <v>40166.67</v>
      </c>
      <c r="P227">
        <f>Source!AE369</f>
        <v>0</v>
      </c>
      <c r="R227">
        <f>ROUND(P227*I227, 2)</f>
        <v>0</v>
      </c>
      <c r="S227">
        <f>Source!AE369*IF(Source!BS369&lt;&gt; 0, Source!BS369, 1)</f>
        <v>0</v>
      </c>
      <c r="T227">
        <f>ROUND(S227*I227, 2)</f>
        <v>0</v>
      </c>
      <c r="U227">
        <f>Source!GF369</f>
        <v>954585822</v>
      </c>
      <c r="V227">
        <v>-2146178687</v>
      </c>
      <c r="W227">
        <v>-520045571</v>
      </c>
      <c r="X227">
        <v>3</v>
      </c>
    </row>
    <row r="228" spans="1:24" x14ac:dyDescent="0.2">
      <c r="A228">
        <f>Source!A370</f>
        <v>18</v>
      </c>
      <c r="B228">
        <v>370</v>
      </c>
      <c r="C228">
        <v>3</v>
      </c>
      <c r="D228">
        <f>Source!BI370</f>
        <v>4</v>
      </c>
      <c r="E228">
        <f>Source!FS370</f>
        <v>0</v>
      </c>
      <c r="F228" t="str">
        <f>Source!F370</f>
        <v>по цене поставщика</v>
      </c>
      <c r="G228" t="str">
        <f>Source!G370</f>
        <v>Детская игровая форма, уличный игровой макет "Рейсовый автобус" (ИМН-7) 2350х1080х1670 https://goroddd.ru/makety-i-elementy/tematicheskiy-maket-dlya-detskikh-ploschadok-reysovyy-avtobus-im</v>
      </c>
      <c r="H228" t="str">
        <f>Source!H370</f>
        <v>шт.</v>
      </c>
      <c r="I228">
        <f>Source!I370</f>
        <v>1</v>
      </c>
      <c r="J228">
        <v>1</v>
      </c>
      <c r="K228">
        <f>Source!AC370</f>
        <v>62333.33</v>
      </c>
      <c r="M228">
        <f>ROUND(K228*I228, 2)</f>
        <v>62333.33</v>
      </c>
      <c r="N228">
        <f>Source!AC370*IF(Source!BC370&lt;&gt; 0, Source!BC370, 1)</f>
        <v>62333.33</v>
      </c>
      <c r="O228">
        <f>ROUND(N228*I228, 2)</f>
        <v>62333.33</v>
      </c>
      <c r="P228">
        <f>Source!AE370</f>
        <v>0</v>
      </c>
      <c r="R228">
        <f>ROUND(P228*I228, 2)</f>
        <v>0</v>
      </c>
      <c r="S228">
        <f>Source!AE370*IF(Source!BS370&lt;&gt; 0, Source!BS370, 1)</f>
        <v>0</v>
      </c>
      <c r="T228">
        <f>ROUND(S228*I228, 2)</f>
        <v>0</v>
      </c>
      <c r="U228">
        <f>Source!GF370</f>
        <v>1794000053</v>
      </c>
      <c r="V228">
        <v>947073593</v>
      </c>
      <c r="W228">
        <v>-1856616728</v>
      </c>
      <c r="X228">
        <v>3</v>
      </c>
    </row>
    <row r="229" spans="1:24" x14ac:dyDescent="0.2">
      <c r="A229">
        <f>Source!A371</f>
        <v>18</v>
      </c>
      <c r="B229">
        <v>371</v>
      </c>
      <c r="C229">
        <v>3</v>
      </c>
      <c r="D229">
        <f>Source!BI371</f>
        <v>4</v>
      </c>
      <c r="E229">
        <f>Source!FS371</f>
        <v>0</v>
      </c>
      <c r="F229" t="str">
        <f>Source!F371</f>
        <v>по цене поставщика</v>
      </c>
      <c r="G229" t="str">
        <f>Source!G371</f>
        <v>Детская лавочка со спинкой "Пятнашки" на металлическом каркасе 1600х400х700 https://goroddd.ru/detskie-skameiki-i-stoly/detskaya-lavochka-so-spinkoy-pyatnashki</v>
      </c>
      <c r="H229" t="str">
        <f>Source!H371</f>
        <v>шт.</v>
      </c>
      <c r="I229">
        <f>Source!I371</f>
        <v>1</v>
      </c>
      <c r="J229">
        <v>1</v>
      </c>
      <c r="K229">
        <f>Source!AC371</f>
        <v>10833.33</v>
      </c>
      <c r="M229">
        <f>ROUND(K229*I229, 2)</f>
        <v>10833.33</v>
      </c>
      <c r="N229">
        <f>Source!AC371*IF(Source!BC371&lt;&gt; 0, Source!BC371, 1)</f>
        <v>10833.33</v>
      </c>
      <c r="O229">
        <f>ROUND(N229*I229, 2)</f>
        <v>10833.33</v>
      </c>
      <c r="P229">
        <f>Source!AE371</f>
        <v>0</v>
      </c>
      <c r="R229">
        <f>ROUND(P229*I229, 2)</f>
        <v>0</v>
      </c>
      <c r="S229">
        <f>Source!AE371*IF(Source!BS371&lt;&gt; 0, Source!BS371, 1)</f>
        <v>0</v>
      </c>
      <c r="T229">
        <f>ROUND(S229*I229, 2)</f>
        <v>0</v>
      </c>
      <c r="U229">
        <f>Source!GF371</f>
        <v>1617365214</v>
      </c>
      <c r="V229">
        <v>-1534774958</v>
      </c>
      <c r="W229">
        <v>727427344</v>
      </c>
      <c r="X229">
        <v>3</v>
      </c>
    </row>
    <row r="230" spans="1:24" x14ac:dyDescent="0.2">
      <c r="A230">
        <f>Source!A403</f>
        <v>5</v>
      </c>
      <c r="B230">
        <v>403</v>
      </c>
      <c r="G230" t="str">
        <f>Source!G403</f>
        <v>Установка МАФов площадка группы № 7</v>
      </c>
    </row>
    <row r="231" spans="1:24" x14ac:dyDescent="0.2">
      <c r="A231">
        <v>20</v>
      </c>
      <c r="B231">
        <v>358</v>
      </c>
      <c r="C231">
        <v>3</v>
      </c>
      <c r="D231">
        <v>0</v>
      </c>
      <c r="E231">
        <f>SmtRes!AV358</f>
        <v>0</v>
      </c>
      <c r="F231" t="str">
        <f>SmtRes!I358</f>
        <v>21.3-2-12</v>
      </c>
      <c r="G231" t="str">
        <f>SmtRes!K358</f>
        <v>Растворы цементные, марка 25</v>
      </c>
      <c r="H231" t="str">
        <f>SmtRes!O358</f>
        <v>м3</v>
      </c>
      <c r="I231">
        <f>SmtRes!Y358*Source!I407</f>
        <v>4.4999999999999999E-4</v>
      </c>
      <c r="J231">
        <f>SmtRes!AO358</f>
        <v>1</v>
      </c>
      <c r="K231">
        <f>SmtRes!AE358</f>
        <v>3323.4</v>
      </c>
      <c r="L231">
        <f>SmtRes!DB358</f>
        <v>49.85</v>
      </c>
      <c r="M231">
        <f>ROUND(ROUND(L231*Source!I407, 6)*1, 2)</f>
        <v>1.5</v>
      </c>
      <c r="N231">
        <f>SmtRes!AA358</f>
        <v>3323.4</v>
      </c>
      <c r="O231">
        <f>ROUND(ROUND(L231*Source!I407, 6)*SmtRes!DA358, 2)</f>
        <v>1.5</v>
      </c>
      <c r="P231">
        <f>SmtRes!AG358</f>
        <v>0</v>
      </c>
      <c r="Q231">
        <f>SmtRes!DC358</f>
        <v>0</v>
      </c>
      <c r="R231">
        <f>ROUND(ROUND(Q231*Source!I407, 6)*1, 2)</f>
        <v>0</v>
      </c>
      <c r="S231">
        <f>SmtRes!AC358</f>
        <v>0</v>
      </c>
      <c r="T231">
        <f>ROUND(ROUND(Q231*Source!I407, 6)*SmtRes!AK358, 2)</f>
        <v>0</v>
      </c>
      <c r="U231">
        <f>SmtRes!X358</f>
        <v>416525707</v>
      </c>
      <c r="V231">
        <v>-1256474786</v>
      </c>
      <c r="W231">
        <v>809277097</v>
      </c>
      <c r="X231">
        <v>3</v>
      </c>
    </row>
    <row r="232" spans="1:24" x14ac:dyDescent="0.2">
      <c r="A232">
        <f>Source!A414</f>
        <v>18</v>
      </c>
      <c r="B232">
        <v>414</v>
      </c>
      <c r="C232">
        <v>3</v>
      </c>
      <c r="D232">
        <f>Source!BI414</f>
        <v>4</v>
      </c>
      <c r="E232">
        <f>Source!FS414</f>
        <v>0</v>
      </c>
      <c r="F232" t="str">
        <f>Source!F414</f>
        <v>по цене поставщика</v>
      </c>
      <c r="G232" t="str">
        <f>Source!G414</f>
        <v>Детский игровой домик-беседка "Теремок" (ИМН-18) для детского сада 2420х1570х1690 https://goroddd.ru/detdom/detskiy-igrovoy-domik-besedka-teremok-dlya-detskogo-sada</v>
      </c>
      <c r="H232" t="str">
        <f>Source!H414</f>
        <v>шт.</v>
      </c>
      <c r="I232">
        <f>Source!I414</f>
        <v>1</v>
      </c>
      <c r="J232">
        <v>1</v>
      </c>
      <c r="K232">
        <f>Source!AC414</f>
        <v>56666.67</v>
      </c>
      <c r="M232">
        <f>ROUND(K232*I232, 2)</f>
        <v>56666.67</v>
      </c>
      <c r="N232">
        <f>Source!AC414*IF(Source!BC414&lt;&gt; 0, Source!BC414, 1)</f>
        <v>56666.67</v>
      </c>
      <c r="O232">
        <f>ROUND(N232*I232, 2)</f>
        <v>56666.67</v>
      </c>
      <c r="P232">
        <f>Source!AE414</f>
        <v>0</v>
      </c>
      <c r="R232">
        <f>ROUND(P232*I232, 2)</f>
        <v>0</v>
      </c>
      <c r="S232">
        <f>Source!AE414*IF(Source!BS414&lt;&gt; 0, Source!BS414, 1)</f>
        <v>0</v>
      </c>
      <c r="T232">
        <f>ROUND(S232*I232, 2)</f>
        <v>0</v>
      </c>
      <c r="U232">
        <f>Source!GF414</f>
        <v>728424109</v>
      </c>
      <c r="V232">
        <v>794925648</v>
      </c>
      <c r="W232">
        <v>474556619</v>
      </c>
      <c r="X232">
        <v>3</v>
      </c>
    </row>
    <row r="233" spans="1:24" x14ac:dyDescent="0.2">
      <c r="A233">
        <f>Source!A415</f>
        <v>18</v>
      </c>
      <c r="B233">
        <v>415</v>
      </c>
      <c r="C233">
        <v>3</v>
      </c>
      <c r="D233">
        <f>Source!BI415</f>
        <v>4</v>
      </c>
      <c r="E233">
        <f>Source!FS415</f>
        <v>0</v>
      </c>
      <c r="F233" t="str">
        <f>Source!F415</f>
        <v>по цене поставщика</v>
      </c>
      <c r="G233" t="str">
        <f>Source!G415</f>
        <v>Детская игровая форма, уличный игровой макет "Рейсовый автобус" (ИМН-7) 2350х1080х1670 https://goroddd.ru/makety-i-elementy/tematicheskiy-maket-dlya-detskikh-ploschadok-reysovyy-avtobus-im</v>
      </c>
      <c r="H233" t="str">
        <f>Source!H415</f>
        <v>шт.</v>
      </c>
      <c r="I233">
        <f>Source!I415</f>
        <v>1</v>
      </c>
      <c r="J233">
        <v>1</v>
      </c>
      <c r="K233">
        <f>Source!AC415</f>
        <v>62333.33</v>
      </c>
      <c r="M233">
        <f>ROUND(K233*I233, 2)</f>
        <v>62333.33</v>
      </c>
      <c r="N233">
        <f>Source!AC415*IF(Source!BC415&lt;&gt; 0, Source!BC415, 1)</f>
        <v>62333.33</v>
      </c>
      <c r="O233">
        <f>ROUND(N233*I233, 2)</f>
        <v>62333.33</v>
      </c>
      <c r="P233">
        <f>Source!AE415</f>
        <v>0</v>
      </c>
      <c r="R233">
        <f>ROUND(P233*I233, 2)</f>
        <v>0</v>
      </c>
      <c r="S233">
        <f>Source!AE415*IF(Source!BS415&lt;&gt; 0, Source!BS415, 1)</f>
        <v>0</v>
      </c>
      <c r="T233">
        <f>ROUND(S233*I233, 2)</f>
        <v>0</v>
      </c>
      <c r="U233">
        <f>Source!GF415</f>
        <v>1794000053</v>
      </c>
      <c r="V233">
        <v>947073593</v>
      </c>
      <c r="W233">
        <v>-1856616728</v>
      </c>
      <c r="X233">
        <v>3</v>
      </c>
    </row>
    <row r="234" spans="1:24" x14ac:dyDescent="0.2">
      <c r="A234">
        <f>Source!A416</f>
        <v>18</v>
      </c>
      <c r="B234">
        <v>416</v>
      </c>
      <c r="C234">
        <v>3</v>
      </c>
      <c r="D234">
        <f>Source!BI416</f>
        <v>4</v>
      </c>
      <c r="E234">
        <f>Source!FS416</f>
        <v>0</v>
      </c>
      <c r="F234" t="str">
        <f>Source!F416</f>
        <v>по цене поставщика</v>
      </c>
      <c r="G234" t="str">
        <f>Source!G416</f>
        <v>Лавочка двухсторонняя для детских садов "Курица-наседка" (СПН-88) 1200х650х780 http://mes.mosedu.ru/</v>
      </c>
      <c r="H234" t="str">
        <f>Source!H416</f>
        <v>шт.</v>
      </c>
      <c r="I234">
        <f>Source!I416</f>
        <v>1</v>
      </c>
      <c r="J234">
        <v>1</v>
      </c>
      <c r="K234">
        <f>Source!AC416</f>
        <v>12391.67</v>
      </c>
      <c r="M234">
        <f>ROUND(K234*I234, 2)</f>
        <v>12391.67</v>
      </c>
      <c r="N234">
        <f>Source!AC416*IF(Source!BC416&lt;&gt; 0, Source!BC416, 1)</f>
        <v>12391.67</v>
      </c>
      <c r="O234">
        <f>ROUND(N234*I234, 2)</f>
        <v>12391.67</v>
      </c>
      <c r="P234">
        <f>Source!AE416</f>
        <v>0</v>
      </c>
      <c r="R234">
        <f>ROUND(P234*I234, 2)</f>
        <v>0</v>
      </c>
      <c r="S234">
        <f>Source!AE416*IF(Source!BS416&lt;&gt; 0, Source!BS416, 1)</f>
        <v>0</v>
      </c>
      <c r="T234">
        <f>ROUND(S234*I234, 2)</f>
        <v>0</v>
      </c>
      <c r="U234">
        <f>Source!GF416</f>
        <v>-106681237</v>
      </c>
      <c r="V234">
        <v>573341076</v>
      </c>
      <c r="W234">
        <v>619025188</v>
      </c>
      <c r="X234">
        <v>3</v>
      </c>
    </row>
    <row r="235" spans="1:24" x14ac:dyDescent="0.2">
      <c r="A235">
        <f>Source!A448</f>
        <v>5</v>
      </c>
      <c r="B235">
        <v>448</v>
      </c>
      <c r="G235" t="str">
        <f>Source!G448</f>
        <v>Установка МАФов площадка № 9</v>
      </c>
    </row>
    <row r="236" spans="1:24" x14ac:dyDescent="0.2">
      <c r="A236">
        <v>20</v>
      </c>
      <c r="B236">
        <v>369</v>
      </c>
      <c r="C236">
        <v>3</v>
      </c>
      <c r="D236">
        <v>0</v>
      </c>
      <c r="E236">
        <f>SmtRes!AV369</f>
        <v>0</v>
      </c>
      <c r="F236" t="str">
        <f>SmtRes!I369</f>
        <v>21.3-2-12</v>
      </c>
      <c r="G236" t="str">
        <f>SmtRes!K369</f>
        <v>Растворы цементные, марка 25</v>
      </c>
      <c r="H236" t="str">
        <f>SmtRes!O369</f>
        <v>м3</v>
      </c>
      <c r="I236">
        <f>SmtRes!Y369*Source!I452</f>
        <v>5.9999999999999995E-4</v>
      </c>
      <c r="J236">
        <f>SmtRes!AO369</f>
        <v>1</v>
      </c>
      <c r="K236">
        <f>SmtRes!AE369</f>
        <v>3323.4</v>
      </c>
      <c r="L236">
        <f>SmtRes!DB369</f>
        <v>49.85</v>
      </c>
      <c r="M236">
        <f>ROUND(ROUND(L236*Source!I452, 6)*1, 2)</f>
        <v>1.99</v>
      </c>
      <c r="N236">
        <f>SmtRes!AA369</f>
        <v>3323.4</v>
      </c>
      <c r="O236">
        <f>ROUND(ROUND(L236*Source!I452, 6)*SmtRes!DA369, 2)</f>
        <v>1.99</v>
      </c>
      <c r="P236">
        <f>SmtRes!AG369</f>
        <v>0</v>
      </c>
      <c r="Q236">
        <f>SmtRes!DC369</f>
        <v>0</v>
      </c>
      <c r="R236">
        <f>ROUND(ROUND(Q236*Source!I452, 6)*1, 2)</f>
        <v>0</v>
      </c>
      <c r="S236">
        <f>SmtRes!AC369</f>
        <v>0</v>
      </c>
      <c r="T236">
        <f>ROUND(ROUND(Q236*Source!I452, 6)*SmtRes!AK369, 2)</f>
        <v>0</v>
      </c>
      <c r="U236">
        <f>SmtRes!X369</f>
        <v>416525707</v>
      </c>
      <c r="V236">
        <v>-1256474786</v>
      </c>
      <c r="W236">
        <v>809277097</v>
      </c>
      <c r="X236">
        <v>3</v>
      </c>
    </row>
    <row r="237" spans="1:24" x14ac:dyDescent="0.2">
      <c r="A237">
        <f>Source!A459</f>
        <v>18</v>
      </c>
      <c r="B237">
        <v>459</v>
      </c>
      <c r="C237">
        <v>3</v>
      </c>
      <c r="D237">
        <f>Source!BI459</f>
        <v>4</v>
      </c>
      <c r="E237">
        <f>Source!FS459</f>
        <v>0</v>
      </c>
      <c r="F237" t="str">
        <f>Source!F459</f>
        <v>по цене поставщика</v>
      </c>
      <c r="G237" t="str">
        <f>Source!G459</f>
        <v>Функциональный уличный игровой домик для детей "Море" (DO-33) 1800х1350х1450  https://goroddd.ru/detdom/ulichnyy-igrovoy-domik-dlya-detey-more</v>
      </c>
      <c r="H237" t="str">
        <f>Source!H459</f>
        <v>шт.</v>
      </c>
      <c r="I237">
        <f>Source!I459</f>
        <v>1</v>
      </c>
      <c r="J237">
        <v>1</v>
      </c>
      <c r="K237">
        <f>Source!AC459</f>
        <v>44166.67</v>
      </c>
      <c r="M237">
        <f>ROUND(K237*I237, 2)</f>
        <v>44166.67</v>
      </c>
      <c r="N237">
        <f>Source!AC459*IF(Source!BC459&lt;&gt; 0, Source!BC459, 1)</f>
        <v>44166.67</v>
      </c>
      <c r="O237">
        <f>ROUND(N237*I237, 2)</f>
        <v>44166.67</v>
      </c>
      <c r="P237">
        <f>Source!AE459</f>
        <v>0</v>
      </c>
      <c r="R237">
        <f>ROUND(P237*I237, 2)</f>
        <v>0</v>
      </c>
      <c r="S237">
        <f>Source!AE459*IF(Source!BS459&lt;&gt; 0, Source!BS459, 1)</f>
        <v>0</v>
      </c>
      <c r="T237">
        <f>ROUND(S237*I237, 2)</f>
        <v>0</v>
      </c>
      <c r="U237">
        <f>Source!GF459</f>
        <v>774189156</v>
      </c>
      <c r="V237">
        <v>613531390</v>
      </c>
      <c r="W237">
        <v>-2073129128</v>
      </c>
      <c r="X237">
        <v>3</v>
      </c>
    </row>
    <row r="238" spans="1:24" x14ac:dyDescent="0.2">
      <c r="A238">
        <f>Source!A460</f>
        <v>18</v>
      </c>
      <c r="B238">
        <v>460</v>
      </c>
      <c r="C238">
        <v>3</v>
      </c>
      <c r="D238">
        <f>Source!BI460</f>
        <v>4</v>
      </c>
      <c r="E238">
        <f>Source!FS460</f>
        <v>0</v>
      </c>
      <c r="F238" t="str">
        <f>Source!F460</f>
        <v>по цене поставщика</v>
      </c>
      <c r="G238" t="str">
        <f>Source!G460</f>
        <v>Игровой макет кораблик для детских площадок "Чунга-Чанга" 2880х1100х2100  https://goroddd.ru/makety-i-elementy/ulichnyy-igrovoy-maket-dlya-detey-chunga-changa-imn-88-2880kh110</v>
      </c>
      <c r="H238" t="str">
        <f>Source!H460</f>
        <v>шт.</v>
      </c>
      <c r="I238">
        <f>Source!I460</f>
        <v>1</v>
      </c>
      <c r="J238">
        <v>1</v>
      </c>
      <c r="K238">
        <f>Source!AC460</f>
        <v>40166.67</v>
      </c>
      <c r="M238">
        <f>ROUND(K238*I238, 2)</f>
        <v>40166.67</v>
      </c>
      <c r="N238">
        <f>Source!AC460*IF(Source!BC460&lt;&gt; 0, Source!BC460, 1)</f>
        <v>40166.67</v>
      </c>
      <c r="O238">
        <f>ROUND(N238*I238, 2)</f>
        <v>40166.67</v>
      </c>
      <c r="P238">
        <f>Source!AE460</f>
        <v>0</v>
      </c>
      <c r="R238">
        <f>ROUND(P238*I238, 2)</f>
        <v>0</v>
      </c>
      <c r="S238">
        <f>Source!AE460*IF(Source!BS460&lt;&gt; 0, Source!BS460, 1)</f>
        <v>0</v>
      </c>
      <c r="T238">
        <f>ROUND(S238*I238, 2)</f>
        <v>0</v>
      </c>
      <c r="U238">
        <f>Source!GF460</f>
        <v>954585822</v>
      </c>
      <c r="V238">
        <v>-2146178687</v>
      </c>
      <c r="W238">
        <v>-520045571</v>
      </c>
      <c r="X238">
        <v>3</v>
      </c>
    </row>
    <row r="239" spans="1:24" x14ac:dyDescent="0.2">
      <c r="A239">
        <f>Source!A461</f>
        <v>18</v>
      </c>
      <c r="B239">
        <v>461</v>
      </c>
      <c r="C239">
        <v>3</v>
      </c>
      <c r="D239">
        <f>Source!BI461</f>
        <v>4</v>
      </c>
      <c r="E239">
        <f>Source!FS461</f>
        <v>0</v>
      </c>
      <c r="F239" t="str">
        <f>Source!F461</f>
        <v>по цене поставщика</v>
      </c>
      <c r="G239" t="str">
        <f>Source!G461</f>
        <v>Фигурная двухсторонняя скамейка для детей "Паровозик из Ромашково" 1250х620х700/900 https://goroddd.ru/detskie-skameiki-i-stoly/figurnaya-dvukhstoronnyaya-skameyka-dlya-detey-parovozik-iz-roma</v>
      </c>
      <c r="H239" t="str">
        <f>Source!H461</f>
        <v>шт.</v>
      </c>
      <c r="I239">
        <f>Source!I461</f>
        <v>1</v>
      </c>
      <c r="J239">
        <v>1</v>
      </c>
      <c r="K239">
        <f>Source!AC461</f>
        <v>13166.67</v>
      </c>
      <c r="M239">
        <f>ROUND(K239*I239, 2)</f>
        <v>13166.67</v>
      </c>
      <c r="N239">
        <f>Source!AC461*IF(Source!BC461&lt;&gt; 0, Source!BC461, 1)</f>
        <v>13166.67</v>
      </c>
      <c r="O239">
        <f>ROUND(N239*I239, 2)</f>
        <v>13166.67</v>
      </c>
      <c r="P239">
        <f>Source!AE461</f>
        <v>0</v>
      </c>
      <c r="R239">
        <f>ROUND(P239*I239, 2)</f>
        <v>0</v>
      </c>
      <c r="S239">
        <f>Source!AE461*IF(Source!BS461&lt;&gt; 0, Source!BS461, 1)</f>
        <v>0</v>
      </c>
      <c r="T239">
        <f>ROUND(S239*I239, 2)</f>
        <v>0</v>
      </c>
      <c r="U239">
        <f>Source!GF461</f>
        <v>-1807715979</v>
      </c>
      <c r="V239">
        <v>-1460114202</v>
      </c>
      <c r="W239">
        <v>338052618</v>
      </c>
      <c r="X239">
        <v>3</v>
      </c>
    </row>
    <row r="240" spans="1:24" x14ac:dyDescent="0.2">
      <c r="A240">
        <f>Source!A462</f>
        <v>18</v>
      </c>
      <c r="B240">
        <v>462</v>
      </c>
      <c r="C240">
        <v>3</v>
      </c>
      <c r="D240">
        <f>Source!BI462</f>
        <v>4</v>
      </c>
      <c r="E240">
        <f>Source!FS462</f>
        <v>0</v>
      </c>
      <c r="F240" t="str">
        <f>Source!F462</f>
        <v>по цене поставщика</v>
      </c>
      <c r="G240" t="str">
        <f>Source!G462</f>
        <v>Уличный игровой детский домик для детских садов "Чиполлино" 1400х1400х1700  https://goroddd.ru/detdom/ulichnyy-detskiy-domik-dlya-detskikh-sadov-chipollino-imn-13-140</v>
      </c>
      <c r="H240" t="str">
        <f>Source!H462</f>
        <v>шт.</v>
      </c>
      <c r="I240">
        <f>Source!I462</f>
        <v>1</v>
      </c>
      <c r="J240">
        <v>1</v>
      </c>
      <c r="K240">
        <f>Source!AC462</f>
        <v>43083.33</v>
      </c>
      <c r="M240">
        <f>ROUND(K240*I240, 2)</f>
        <v>43083.33</v>
      </c>
      <c r="N240">
        <f>Source!AC462*IF(Source!BC462&lt;&gt; 0, Source!BC462, 1)</f>
        <v>43083.33</v>
      </c>
      <c r="O240">
        <f>ROUND(N240*I240, 2)</f>
        <v>43083.33</v>
      </c>
      <c r="P240">
        <f>Source!AE462</f>
        <v>0</v>
      </c>
      <c r="R240">
        <f>ROUND(P240*I240, 2)</f>
        <v>0</v>
      </c>
      <c r="S240">
        <f>Source!AE462*IF(Source!BS462&lt;&gt; 0, Source!BS462, 1)</f>
        <v>0</v>
      </c>
      <c r="T240">
        <f>ROUND(S240*I240, 2)</f>
        <v>0</v>
      </c>
      <c r="U240">
        <f>Source!GF462</f>
        <v>-797437268</v>
      </c>
      <c r="V240">
        <v>74673736</v>
      </c>
      <c r="W240">
        <v>-1016610539</v>
      </c>
      <c r="X240">
        <v>3</v>
      </c>
    </row>
    <row r="241" spans="1:24" x14ac:dyDescent="0.2">
      <c r="A241">
        <f>Source!A494</f>
        <v>5</v>
      </c>
      <c r="B241">
        <v>494</v>
      </c>
      <c r="G241" t="str">
        <f>Source!G494</f>
        <v>Мусор</v>
      </c>
    </row>
    <row r="242" spans="1:24" x14ac:dyDescent="0.2">
      <c r="A242">
        <v>20</v>
      </c>
      <c r="B242">
        <v>375</v>
      </c>
      <c r="C242">
        <v>2</v>
      </c>
      <c r="D242">
        <v>0</v>
      </c>
      <c r="E242">
        <f>SmtRes!AV375</f>
        <v>0</v>
      </c>
      <c r="F242" t="str">
        <f>SmtRes!I375</f>
        <v>22.1-1-25</v>
      </c>
      <c r="G242" t="str">
        <f>SmtRes!K375</f>
        <v>Экскаваторы-планировщики на автомобиле, объем ковша до 0,63 м3</v>
      </c>
      <c r="H242" t="str">
        <f>SmtRes!O375</f>
        <v>маш.-ч</v>
      </c>
      <c r="I242">
        <f>SmtRes!Y375*Source!I498</f>
        <v>7.5740400000000001</v>
      </c>
      <c r="J242">
        <f>SmtRes!AO375</f>
        <v>1</v>
      </c>
      <c r="K242">
        <f>SmtRes!AF375</f>
        <v>2268.84</v>
      </c>
      <c r="L242">
        <f>SmtRes!DB375</f>
        <v>1225.17</v>
      </c>
      <c r="M242">
        <f>ROUND(ROUND(L242*Source!I498, 6)*1, 2)</f>
        <v>17184.23</v>
      </c>
      <c r="N242">
        <f>SmtRes!AB375</f>
        <v>2268.84</v>
      </c>
      <c r="O242">
        <f>ROUND(ROUND(L242*Source!I498, 6)*SmtRes!DA375, 2)</f>
        <v>17184.23</v>
      </c>
      <c r="P242">
        <f>SmtRes!AG375</f>
        <v>849.67</v>
      </c>
      <c r="Q242">
        <f>SmtRes!DC375</f>
        <v>458.82</v>
      </c>
      <c r="R242">
        <f>ROUND(ROUND(Q242*Source!I498, 6)*1, 2)</f>
        <v>6435.41</v>
      </c>
      <c r="S242">
        <f>SmtRes!AC375</f>
        <v>849.67</v>
      </c>
      <c r="T242">
        <f>ROUND(ROUND(Q242*Source!I498, 6)*SmtRes!AK375, 2)</f>
        <v>6435.41</v>
      </c>
      <c r="U242">
        <f>SmtRes!X375</f>
        <v>-273351582</v>
      </c>
      <c r="V242">
        <v>1101931379</v>
      </c>
      <c r="W242">
        <v>-1135960623</v>
      </c>
      <c r="X242">
        <v>2</v>
      </c>
    </row>
    <row r="243" spans="1:24" x14ac:dyDescent="0.2">
      <c r="A243">
        <v>20</v>
      </c>
      <c r="B243">
        <v>376</v>
      </c>
      <c r="C243">
        <v>2</v>
      </c>
      <c r="D243">
        <v>0</v>
      </c>
      <c r="E243">
        <f>SmtRes!AV376</f>
        <v>0</v>
      </c>
      <c r="F243" t="str">
        <f>SmtRes!I376</f>
        <v>22.1-18-13</v>
      </c>
      <c r="G243" t="str">
        <f>SmtRes!K376</f>
        <v>Автомобили-самосвалы, грузоподъемность до 10 т</v>
      </c>
      <c r="H243" t="str">
        <f>SmtRes!O376</f>
        <v>маш.-ч</v>
      </c>
      <c r="I243">
        <f>SmtRes!Y376*Source!I499</f>
        <v>4.3480599999999994</v>
      </c>
      <c r="J243">
        <f>SmtRes!AO376</f>
        <v>1</v>
      </c>
      <c r="K243">
        <f>SmtRes!AF376</f>
        <v>1014.12</v>
      </c>
      <c r="L243">
        <f>SmtRes!DB376</f>
        <v>31.44</v>
      </c>
      <c r="M243">
        <f>ROUND(ROUND(L243*Source!I499, 6)*1, 2)</f>
        <v>4409.7700000000004</v>
      </c>
      <c r="N243">
        <f>SmtRes!AB376</f>
        <v>1014.12</v>
      </c>
      <c r="O243">
        <f>ROUND(ROUND(L243*Source!I499, 6)*SmtRes!DA376, 2)</f>
        <v>4409.7700000000004</v>
      </c>
      <c r="P243">
        <f>SmtRes!AG376</f>
        <v>317.13</v>
      </c>
      <c r="Q243">
        <f>SmtRes!DC376</f>
        <v>9.83</v>
      </c>
      <c r="R243">
        <f>ROUND(ROUND(Q243*Source!I499, 6)*1, 2)</f>
        <v>1378.76</v>
      </c>
      <c r="S243">
        <f>SmtRes!AC376</f>
        <v>317.13</v>
      </c>
      <c r="T243">
        <f>ROUND(ROUND(Q243*Source!I499, 6)*SmtRes!AK376, 2)</f>
        <v>1378.76</v>
      </c>
      <c r="U243">
        <f>SmtRes!X376</f>
        <v>486337296</v>
      </c>
      <c r="V243">
        <v>-1297827098</v>
      </c>
      <c r="W243">
        <v>-271116281</v>
      </c>
      <c r="X243">
        <v>2</v>
      </c>
    </row>
    <row r="244" spans="1:24" x14ac:dyDescent="0.2">
      <c r="A244">
        <v>20</v>
      </c>
      <c r="B244">
        <v>377</v>
      </c>
      <c r="C244">
        <v>2</v>
      </c>
      <c r="D244">
        <v>0</v>
      </c>
      <c r="E244">
        <f>SmtRes!AV377</f>
        <v>0</v>
      </c>
      <c r="F244" t="str">
        <f>SmtRes!I377</f>
        <v>22.1-18-13</v>
      </c>
      <c r="G244" t="str">
        <f>SmtRes!K377</f>
        <v>Автомобили-самосвалы, грузоподъемность до 10 т</v>
      </c>
      <c r="H244" t="str">
        <f>SmtRes!O377</f>
        <v>маш.-ч</v>
      </c>
      <c r="I244">
        <f>SmtRes!Y377*Source!I500</f>
        <v>67.324799999999996</v>
      </c>
      <c r="J244">
        <f>SmtRes!AO377</f>
        <v>1</v>
      </c>
      <c r="K244">
        <f>SmtRes!AF377</f>
        <v>1014.12</v>
      </c>
      <c r="L244">
        <f>SmtRes!DB377</f>
        <v>486.72</v>
      </c>
      <c r="M244">
        <f>ROUND(ROUND(L244*Source!I500, 6)*1, 2)</f>
        <v>68267.350000000006</v>
      </c>
      <c r="N244">
        <f>SmtRes!AB377</f>
        <v>1014.12</v>
      </c>
      <c r="O244">
        <f>ROUND(ROUND(L244*Source!I500, 6)*SmtRes!DA377, 2)</f>
        <v>68267.350000000006</v>
      </c>
      <c r="P244">
        <f>SmtRes!AG377</f>
        <v>317.13</v>
      </c>
      <c r="Q244">
        <f>SmtRes!DC377</f>
        <v>152.16</v>
      </c>
      <c r="R244">
        <f>ROUND(ROUND(Q244*Source!I500, 6)*1, 2)</f>
        <v>21341.96</v>
      </c>
      <c r="S244">
        <f>SmtRes!AC377</f>
        <v>317.13</v>
      </c>
      <c r="T244">
        <f>ROUND(ROUND(Q244*Source!I500, 6)*SmtRes!AK377, 2)</f>
        <v>21341.96</v>
      </c>
      <c r="U244">
        <f>SmtRes!X377</f>
        <v>486337296</v>
      </c>
      <c r="V244">
        <v>-1297827098</v>
      </c>
      <c r="W244">
        <v>-271116281</v>
      </c>
      <c r="X244">
        <v>2</v>
      </c>
    </row>
    <row r="245" spans="1:24" x14ac:dyDescent="0.2">
      <c r="A245">
        <v>20</v>
      </c>
      <c r="B245">
        <v>378</v>
      </c>
      <c r="C245">
        <v>2</v>
      </c>
      <c r="D245">
        <v>0</v>
      </c>
      <c r="E245">
        <f>SmtRes!AV378</f>
        <v>0</v>
      </c>
      <c r="F245" t="str">
        <f>SmtRes!I378</f>
        <v>22.1-1-5</v>
      </c>
      <c r="G245" t="str">
        <f>SmtRes!K378</f>
        <v>Экскаваторы на гусеничном ходу гидравлические, объем ковша до 0,65 м3</v>
      </c>
      <c r="H245" t="str">
        <f>SmtRes!O378</f>
        <v>маш.-ч</v>
      </c>
      <c r="I245">
        <f>SmtRes!Y378*Source!I501</f>
        <v>9.5102699999999984E-2</v>
      </c>
      <c r="J245">
        <f>SmtRes!AO378</f>
        <v>1</v>
      </c>
      <c r="K245">
        <f>SmtRes!AF378</f>
        <v>1494.43</v>
      </c>
      <c r="L245">
        <f>SmtRes!DB378</f>
        <v>80.25</v>
      </c>
      <c r="M245">
        <f>ROUND(ROUND(L245*Source!I501, 6)*1, 2)</f>
        <v>142.12</v>
      </c>
      <c r="N245">
        <f>SmtRes!AB378</f>
        <v>1494.43</v>
      </c>
      <c r="O245">
        <f>ROUND(ROUND(L245*Source!I501, 6)*SmtRes!DA378, 2)</f>
        <v>142.12</v>
      </c>
      <c r="P245">
        <f>SmtRes!AG378</f>
        <v>481.21</v>
      </c>
      <c r="Q245">
        <f>SmtRes!DC378</f>
        <v>25.84</v>
      </c>
      <c r="R245">
        <f>ROUND(ROUND(Q245*Source!I501, 6)*1, 2)</f>
        <v>45.76</v>
      </c>
      <c r="S245">
        <f>SmtRes!AC378</f>
        <v>481.21</v>
      </c>
      <c r="T245">
        <f>ROUND(ROUND(Q245*Source!I501, 6)*SmtRes!AK378, 2)</f>
        <v>45.76</v>
      </c>
      <c r="U245">
        <f>SmtRes!X378</f>
        <v>-180135071</v>
      </c>
      <c r="V245">
        <v>641873084</v>
      </c>
      <c r="W245">
        <v>-1121043354</v>
      </c>
      <c r="X245">
        <v>2</v>
      </c>
    </row>
    <row r="246" spans="1:24" x14ac:dyDescent="0.2">
      <c r="A246">
        <v>20</v>
      </c>
      <c r="B246">
        <v>380</v>
      </c>
      <c r="C246">
        <v>2</v>
      </c>
      <c r="D246">
        <v>0</v>
      </c>
      <c r="E246">
        <f>SmtRes!AV380</f>
        <v>0</v>
      </c>
      <c r="F246" t="str">
        <f>SmtRes!I380</f>
        <v>22.1-18-13</v>
      </c>
      <c r="G246" t="str">
        <f>SmtRes!K380</f>
        <v>Автомобили-самосвалы, грузоподъемность до 10 т</v>
      </c>
      <c r="H246" t="str">
        <f>SmtRes!O380</f>
        <v>маш.-ч</v>
      </c>
      <c r="I246">
        <f>SmtRes!Y380*Source!I502</f>
        <v>3.1877999999999997E-2</v>
      </c>
      <c r="J246">
        <f>SmtRes!AO380</f>
        <v>1</v>
      </c>
      <c r="K246">
        <f>SmtRes!AF380</f>
        <v>1014.12</v>
      </c>
      <c r="L246">
        <f>SmtRes!DB380</f>
        <v>18.25</v>
      </c>
      <c r="M246">
        <f>ROUND(ROUND(L246*Source!I502, 6)*1, 2)</f>
        <v>32.32</v>
      </c>
      <c r="N246">
        <f>SmtRes!AB380</f>
        <v>1014.12</v>
      </c>
      <c r="O246">
        <f>ROUND(ROUND(L246*Source!I502, 6)*SmtRes!DA380, 2)</f>
        <v>32.32</v>
      </c>
      <c r="P246">
        <f>SmtRes!AG380</f>
        <v>317.13</v>
      </c>
      <c r="Q246">
        <f>SmtRes!DC380</f>
        <v>5.71</v>
      </c>
      <c r="R246">
        <f>ROUND(ROUND(Q246*Source!I502, 6)*1, 2)</f>
        <v>10.11</v>
      </c>
      <c r="S246">
        <f>SmtRes!AC380</f>
        <v>317.13</v>
      </c>
      <c r="T246">
        <f>ROUND(ROUND(Q246*Source!I502, 6)*SmtRes!AK380, 2)</f>
        <v>10.11</v>
      </c>
      <c r="U246">
        <f>SmtRes!X380</f>
        <v>486337296</v>
      </c>
      <c r="V246">
        <v>-1297827098</v>
      </c>
      <c r="W246">
        <v>-271116281</v>
      </c>
      <c r="X246">
        <v>2</v>
      </c>
    </row>
    <row r="247" spans="1:24" x14ac:dyDescent="0.2">
      <c r="A247">
        <v>20</v>
      </c>
      <c r="B247">
        <v>379</v>
      </c>
      <c r="C247">
        <v>2</v>
      </c>
      <c r="D247">
        <v>0</v>
      </c>
      <c r="E247">
        <f>SmtRes!AV379</f>
        <v>0</v>
      </c>
      <c r="F247" t="str">
        <f>SmtRes!I379</f>
        <v>22.1-18-12</v>
      </c>
      <c r="G247" t="str">
        <f>SmtRes!K379</f>
        <v>Автомобили-самосвалы, грузоподъемность до 7 т</v>
      </c>
      <c r="H247" t="str">
        <f>SmtRes!O379</f>
        <v>маш.-ч</v>
      </c>
      <c r="I247">
        <f>SmtRes!Y379*Source!I502</f>
        <v>3.542E-2</v>
      </c>
      <c r="J247">
        <f>SmtRes!AO379</f>
        <v>1</v>
      </c>
      <c r="K247">
        <f>SmtRes!AF379</f>
        <v>1009.4</v>
      </c>
      <c r="L247">
        <f>SmtRes!DB379</f>
        <v>20.190000000000001</v>
      </c>
      <c r="M247">
        <f>ROUND(ROUND(L247*Source!I502, 6)*1, 2)</f>
        <v>35.76</v>
      </c>
      <c r="N247">
        <f>SmtRes!AB379</f>
        <v>1009.4</v>
      </c>
      <c r="O247">
        <f>ROUND(ROUND(L247*Source!I502, 6)*SmtRes!DA379, 2)</f>
        <v>35.76</v>
      </c>
      <c r="P247">
        <f>SmtRes!AG379</f>
        <v>316.82</v>
      </c>
      <c r="Q247">
        <f>SmtRes!DC379</f>
        <v>6.34</v>
      </c>
      <c r="R247">
        <f>ROUND(ROUND(Q247*Source!I502, 6)*1, 2)</f>
        <v>11.23</v>
      </c>
      <c r="S247">
        <f>SmtRes!AC379</f>
        <v>316.82</v>
      </c>
      <c r="T247">
        <f>ROUND(ROUND(Q247*Source!I502, 6)*SmtRes!AK379, 2)</f>
        <v>11.23</v>
      </c>
      <c r="U247">
        <f>SmtRes!X379</f>
        <v>-1530614344</v>
      </c>
      <c r="V247">
        <v>699525434</v>
      </c>
      <c r="W247">
        <v>-672788225</v>
      </c>
      <c r="X247">
        <v>2</v>
      </c>
    </row>
    <row r="248" spans="1:24" x14ac:dyDescent="0.2">
      <c r="A248">
        <v>20</v>
      </c>
      <c r="B248">
        <v>382</v>
      </c>
      <c r="C248">
        <v>2</v>
      </c>
      <c r="D248">
        <v>0</v>
      </c>
      <c r="E248">
        <f>SmtRes!AV382</f>
        <v>0</v>
      </c>
      <c r="F248" t="str">
        <f>SmtRes!I382</f>
        <v>22.1-18-13</v>
      </c>
      <c r="G248" t="str">
        <f>SmtRes!K382</f>
        <v>Автомобили-самосвалы, грузоподъемность до 10 т</v>
      </c>
      <c r="H248" t="str">
        <f>SmtRes!O382</f>
        <v>маш.-ч</v>
      </c>
      <c r="I248">
        <f>SmtRes!Y382*Source!I503</f>
        <v>0.680064</v>
      </c>
      <c r="J248">
        <f>SmtRes!AO382</f>
        <v>1</v>
      </c>
      <c r="K248">
        <f>SmtRes!AF382</f>
        <v>1014.12</v>
      </c>
      <c r="L248">
        <f>SmtRes!DB382</f>
        <v>389.28</v>
      </c>
      <c r="M248">
        <f>ROUND(ROUND(L248*Source!I503, 6)*1, 2)</f>
        <v>689.41</v>
      </c>
      <c r="N248">
        <f>SmtRes!AB382</f>
        <v>1014.12</v>
      </c>
      <c r="O248">
        <f>ROUND(ROUND(L248*Source!I503, 6)*SmtRes!DA382, 2)</f>
        <v>689.41</v>
      </c>
      <c r="P248">
        <f>SmtRes!AG382</f>
        <v>317.13</v>
      </c>
      <c r="Q248">
        <f>SmtRes!DC382</f>
        <v>121.92</v>
      </c>
      <c r="R248">
        <f>ROUND(ROUND(Q248*Source!I503, 6)*1, 2)</f>
        <v>215.92</v>
      </c>
      <c r="S248">
        <f>SmtRes!AC382</f>
        <v>317.13</v>
      </c>
      <c r="T248">
        <f>ROUND(ROUND(Q248*Source!I503, 6)*SmtRes!AK382, 2)</f>
        <v>215.92</v>
      </c>
      <c r="U248">
        <f>SmtRes!X382</f>
        <v>486337296</v>
      </c>
      <c r="V248">
        <v>-1297827098</v>
      </c>
      <c r="W248">
        <v>-271116281</v>
      </c>
      <c r="X248">
        <v>2</v>
      </c>
    </row>
    <row r="249" spans="1:24" x14ac:dyDescent="0.2">
      <c r="A249">
        <v>20</v>
      </c>
      <c r="B249">
        <v>381</v>
      </c>
      <c r="C249">
        <v>2</v>
      </c>
      <c r="D249">
        <v>0</v>
      </c>
      <c r="E249">
        <f>SmtRes!AV381</f>
        <v>0</v>
      </c>
      <c r="F249" t="str">
        <f>SmtRes!I381</f>
        <v>22.1-18-12</v>
      </c>
      <c r="G249" t="str">
        <f>SmtRes!K381</f>
        <v>Автомобили-самосвалы, грузоподъемность до 7 т</v>
      </c>
      <c r="H249" t="str">
        <f>SmtRes!O381</f>
        <v>маш.-ч</v>
      </c>
      <c r="I249">
        <f>SmtRes!Y381*Source!I503</f>
        <v>0.85007999999999995</v>
      </c>
      <c r="J249">
        <f>SmtRes!AO381</f>
        <v>1</v>
      </c>
      <c r="K249">
        <f>SmtRes!AF381</f>
        <v>1009.4</v>
      </c>
      <c r="L249">
        <f>SmtRes!DB381</f>
        <v>484.32</v>
      </c>
      <c r="M249">
        <f>ROUND(ROUND(L249*Source!I503, 6)*1, 2)</f>
        <v>857.73</v>
      </c>
      <c r="N249">
        <f>SmtRes!AB381</f>
        <v>1009.4</v>
      </c>
      <c r="O249">
        <f>ROUND(ROUND(L249*Source!I503, 6)*SmtRes!DA381, 2)</f>
        <v>857.73</v>
      </c>
      <c r="P249">
        <f>SmtRes!AG381</f>
        <v>316.82</v>
      </c>
      <c r="Q249">
        <f>SmtRes!DC381</f>
        <v>152.16</v>
      </c>
      <c r="R249">
        <f>ROUND(ROUND(Q249*Source!I503, 6)*1, 2)</f>
        <v>269.48</v>
      </c>
      <c r="S249">
        <f>SmtRes!AC381</f>
        <v>316.82</v>
      </c>
      <c r="T249">
        <f>ROUND(ROUND(Q249*Source!I503, 6)*SmtRes!AK381, 2)</f>
        <v>269.48</v>
      </c>
      <c r="U249">
        <f>SmtRes!X381</f>
        <v>-1530614344</v>
      </c>
      <c r="V249">
        <v>699525434</v>
      </c>
      <c r="W249">
        <v>-672788225</v>
      </c>
      <c r="X249">
        <v>2</v>
      </c>
    </row>
    <row r="250" spans="1:24" x14ac:dyDescent="0.2">
      <c r="A250">
        <v>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Q231"/>
  <sheetViews>
    <sheetView tabSelected="1" workbookViewId="0"/>
  </sheetViews>
  <sheetFormatPr defaultRowHeight="12.75" x14ac:dyDescent="0.2"/>
  <cols>
    <col min="1" max="1" width="12.7109375" customWidth="1"/>
    <col min="2" max="2" width="40.7109375" customWidth="1"/>
    <col min="3" max="8" width="12.7109375" customWidth="1"/>
    <col min="15" max="15" width="127.7109375" hidden="1" customWidth="1"/>
    <col min="16" max="18" width="0" hidden="1" customWidth="1"/>
  </cols>
  <sheetData>
    <row r="2" spans="1:17" ht="16.5" x14ac:dyDescent="0.2">
      <c r="A2" s="75" t="s">
        <v>616</v>
      </c>
      <c r="B2" s="76"/>
      <c r="C2" s="76"/>
      <c r="D2" s="76"/>
      <c r="E2" s="76"/>
      <c r="F2" s="76"/>
      <c r="G2" s="76"/>
      <c r="H2" s="76"/>
    </row>
    <row r="3" spans="1:17" ht="33" x14ac:dyDescent="0.2">
      <c r="A3" s="75" t="str">
        <f>CONCATENATE("Объект: ",IF(Source!G601&lt;&gt;"Новый объект", Source!G601, ""))</f>
        <v>Объект: Выполнение работ по благоустройству территории для нужд БОУ Школа № 1018 ул. Чоботовская д 7</v>
      </c>
      <c r="B3" s="76"/>
      <c r="C3" s="76"/>
      <c r="D3" s="76"/>
      <c r="E3" s="76"/>
      <c r="F3" s="76"/>
      <c r="G3" s="76"/>
      <c r="H3" s="76"/>
      <c r="O3" s="77" t="s">
        <v>617</v>
      </c>
    </row>
    <row r="4" spans="1:17" x14ac:dyDescent="0.2">
      <c r="A4" s="29" t="s">
        <v>618</v>
      </c>
      <c r="B4" s="29" t="s">
        <v>619</v>
      </c>
      <c r="C4" s="29" t="s">
        <v>536</v>
      </c>
      <c r="D4" s="29" t="s">
        <v>620</v>
      </c>
      <c r="E4" s="79" t="s">
        <v>621</v>
      </c>
      <c r="F4" s="80"/>
      <c r="G4" s="79" t="s">
        <v>624</v>
      </c>
      <c r="H4" s="80"/>
    </row>
    <row r="5" spans="1:17" x14ac:dyDescent="0.2">
      <c r="A5" s="31"/>
      <c r="B5" s="31"/>
      <c r="C5" s="31"/>
      <c r="D5" s="31"/>
      <c r="E5" s="81"/>
      <c r="F5" s="82"/>
      <c r="G5" s="81"/>
      <c r="H5" s="82"/>
    </row>
    <row r="6" spans="1:17" ht="14.25" x14ac:dyDescent="0.2">
      <c r="A6" s="78"/>
      <c r="B6" s="78"/>
      <c r="C6" s="78"/>
      <c r="D6" s="78"/>
      <c r="E6" s="32" t="s">
        <v>622</v>
      </c>
      <c r="F6" s="32" t="s">
        <v>623</v>
      </c>
      <c r="G6" s="32" t="s">
        <v>622</v>
      </c>
      <c r="H6" s="32" t="s">
        <v>623</v>
      </c>
    </row>
    <row r="7" spans="1:17" ht="14.25" x14ac:dyDescent="0.2">
      <c r="A7" s="32">
        <v>1</v>
      </c>
      <c r="B7" s="32">
        <v>2</v>
      </c>
      <c r="C7" s="32">
        <v>3</v>
      </c>
      <c r="D7" s="32">
        <v>4</v>
      </c>
      <c r="E7" s="32">
        <v>5</v>
      </c>
      <c r="F7" s="32">
        <v>6</v>
      </c>
      <c r="G7" s="32">
        <v>7</v>
      </c>
      <c r="H7" s="32">
        <v>8</v>
      </c>
    </row>
    <row r="8" spans="1:17" ht="16.5" x14ac:dyDescent="0.2">
      <c r="A8" s="75" t="str">
        <f>CONCATENATE("Локальная смета: ",IF(Source!G22&lt;&gt;"Новая локальная смета", Source!G22, ""))</f>
        <v xml:space="preserve">Локальная смета: </v>
      </c>
      <c r="B8" s="76"/>
      <c r="C8" s="76"/>
      <c r="D8" s="76"/>
      <c r="E8" s="76"/>
      <c r="F8" s="76"/>
      <c r="G8" s="76"/>
      <c r="H8" s="76"/>
    </row>
    <row r="9" spans="1:17" ht="16.5" x14ac:dyDescent="0.2">
      <c r="A9" s="75" t="str">
        <f>CONCATENATE("Раздел: ",IF(Source!G26&lt;&gt;"Новый раздел", Source!G26, ""))</f>
        <v>Раздел: Детский сад ул. Чоботовская д 7</v>
      </c>
      <c r="B9" s="76"/>
      <c r="C9" s="76"/>
      <c r="D9" s="76"/>
      <c r="E9" s="76"/>
      <c r="F9" s="76"/>
      <c r="G9" s="76"/>
      <c r="H9" s="76"/>
    </row>
    <row r="10" spans="1:17" ht="16.5" x14ac:dyDescent="0.2">
      <c r="A10" s="75" t="str">
        <f>CONCATENATE("Подраздел: ",IF(Source!G30&lt;&gt;"Новый подраздел", Source!G30, ""))</f>
        <v>Подраздел: группа № 6</v>
      </c>
      <c r="B10" s="76"/>
      <c r="C10" s="76"/>
      <c r="D10" s="76"/>
      <c r="E10" s="76"/>
      <c r="F10" s="76"/>
      <c r="G10" s="76"/>
      <c r="H10" s="76"/>
    </row>
    <row r="11" spans="1:17" ht="14.25" x14ac:dyDescent="0.2">
      <c r="A11" s="83" t="s">
        <v>625</v>
      </c>
      <c r="B11" s="84"/>
      <c r="C11" s="84"/>
      <c r="D11" s="84"/>
      <c r="E11" s="84"/>
      <c r="F11" s="84"/>
      <c r="G11" s="84"/>
      <c r="H11" s="84"/>
    </row>
    <row r="12" spans="1:17" ht="42.75" x14ac:dyDescent="0.2">
      <c r="A12" s="85" t="s">
        <v>417</v>
      </c>
      <c r="B12" s="68" t="s">
        <v>419</v>
      </c>
      <c r="C12" s="68" t="s">
        <v>84</v>
      </c>
      <c r="D12" s="69">
        <f>ROUND(SUMIF(RV_DATA!W9:'RV_DATA'!W47, 904665643, RV_DATA!I9:'RV_DATA'!I47), 6)</f>
        <v>4.2076000000000002</v>
      </c>
      <c r="E12" s="86">
        <f>ROUND(RV_DATA!K33, 6)</f>
        <v>531.41</v>
      </c>
      <c r="F12" s="86">
        <f>ROUND(SUMIF(RV_DATA!W9:'RV_DATA'!W47, 904665643, RV_DATA!M9:'RV_DATA'!M47), 6)</f>
        <v>2235.96</v>
      </c>
      <c r="G12" s="86">
        <f>ROUND(RV_DATA!N33, 6)</f>
        <v>531.41</v>
      </c>
      <c r="H12" s="86">
        <f>ROUND(SUMIF(RV_DATA!W9:'RV_DATA'!W47, 904665643, RV_DATA!O9:'RV_DATA'!O47), 6)</f>
        <v>2235.96</v>
      </c>
      <c r="Q12">
        <v>2</v>
      </c>
    </row>
    <row r="13" spans="1:17" ht="28.5" x14ac:dyDescent="0.2">
      <c r="A13" s="85" t="s">
        <v>387</v>
      </c>
      <c r="B13" s="68" t="s">
        <v>389</v>
      </c>
      <c r="C13" s="68" t="s">
        <v>84</v>
      </c>
      <c r="D13" s="69">
        <f>ROUND(SUMIF(RV_DATA!W9:'RV_DATA'!W47, -202122669, RV_DATA!I9:'RV_DATA'!I47), 6)</f>
        <v>0.27872000000000002</v>
      </c>
      <c r="E13" s="86">
        <f>ROUND(RV_DATA!K17, 6)</f>
        <v>740.94</v>
      </c>
      <c r="F13" s="86">
        <f>ROUND(SUMIF(RV_DATA!W9:'RV_DATA'!W47, -202122669, RV_DATA!M9:'RV_DATA'!M47), 6)</f>
        <v>206.52</v>
      </c>
      <c r="G13" s="86">
        <f>ROUND(RV_DATA!N17, 6)</f>
        <v>740.94</v>
      </c>
      <c r="H13" s="86">
        <f>ROUND(SUMIF(RV_DATA!W9:'RV_DATA'!W47, -202122669, RV_DATA!O9:'RV_DATA'!O47), 6)</f>
        <v>206.52</v>
      </c>
      <c r="Q13">
        <v>2</v>
      </c>
    </row>
    <row r="14" spans="1:17" ht="28.5" x14ac:dyDescent="0.2">
      <c r="A14" s="85" t="s">
        <v>420</v>
      </c>
      <c r="B14" s="68" t="s">
        <v>422</v>
      </c>
      <c r="C14" s="68" t="s">
        <v>84</v>
      </c>
      <c r="D14" s="69">
        <f>ROUND(SUMIF(RV_DATA!W9:'RV_DATA'!W47, 83762966, RV_DATA!I9:'RV_DATA'!I47), 6)</f>
        <v>1.5811999999999999</v>
      </c>
      <c r="E14" s="86">
        <f>ROUND(RV_DATA!K32, 6)</f>
        <v>7.44</v>
      </c>
      <c r="F14" s="86">
        <f>ROUND(SUMIF(RV_DATA!W9:'RV_DATA'!W47, 83762966, RV_DATA!M9:'RV_DATA'!M47), 6)</f>
        <v>11.77</v>
      </c>
      <c r="G14" s="86">
        <f>ROUND(RV_DATA!N32, 6)</f>
        <v>7.44</v>
      </c>
      <c r="H14" s="86">
        <f>ROUND(SUMIF(RV_DATA!W9:'RV_DATA'!W47, 83762966, RV_DATA!O9:'RV_DATA'!O47), 6)</f>
        <v>11.77</v>
      </c>
      <c r="Q14">
        <v>2</v>
      </c>
    </row>
    <row r="15" spans="1:17" ht="14.25" x14ac:dyDescent="0.2">
      <c r="A15" s="85" t="s">
        <v>381</v>
      </c>
      <c r="B15" s="68" t="s">
        <v>383</v>
      </c>
      <c r="C15" s="68" t="s">
        <v>84</v>
      </c>
      <c r="D15" s="69">
        <f>ROUND(SUMIF(RV_DATA!W9:'RV_DATA'!W47, 2085687882, RV_DATA!I9:'RV_DATA'!I47), 6)</f>
        <v>0.25</v>
      </c>
      <c r="E15" s="86">
        <f>ROUND(RV_DATA!K10, 6)</f>
        <v>256.3</v>
      </c>
      <c r="F15" s="86">
        <f>ROUND(SUMIF(RV_DATA!W9:'RV_DATA'!W47, 2085687882, RV_DATA!M9:'RV_DATA'!M47), 6)</f>
        <v>64.08</v>
      </c>
      <c r="G15" s="86">
        <f>ROUND(RV_DATA!N10, 6)</f>
        <v>256.3</v>
      </c>
      <c r="H15" s="86">
        <f>ROUND(SUMIF(RV_DATA!W9:'RV_DATA'!W47, 2085687882, RV_DATA!O9:'RV_DATA'!O47), 6)</f>
        <v>64.08</v>
      </c>
      <c r="Q15">
        <v>2</v>
      </c>
    </row>
    <row r="16" spans="1:17" ht="28.5" x14ac:dyDescent="0.2">
      <c r="A16" s="85" t="s">
        <v>384</v>
      </c>
      <c r="B16" s="68" t="s">
        <v>386</v>
      </c>
      <c r="C16" s="68" t="s">
        <v>84</v>
      </c>
      <c r="D16" s="69">
        <f>ROUND(SUMIF(RV_DATA!W9:'RV_DATA'!W47, -857286917, RV_DATA!I9:'RV_DATA'!I47), 6)</f>
        <v>0.1</v>
      </c>
      <c r="E16" s="86">
        <f>ROUND(RV_DATA!K9, 6)</f>
        <v>327.49</v>
      </c>
      <c r="F16" s="86">
        <f>ROUND(SUMIF(RV_DATA!W9:'RV_DATA'!W47, -857286917, RV_DATA!M9:'RV_DATA'!M47), 6)</f>
        <v>32.75</v>
      </c>
      <c r="G16" s="86">
        <f>ROUND(RV_DATA!N9, 6)</f>
        <v>327.49</v>
      </c>
      <c r="H16" s="86">
        <f>ROUND(SUMIF(RV_DATA!W9:'RV_DATA'!W47, -857286917, RV_DATA!O9:'RV_DATA'!O47), 6)</f>
        <v>32.75</v>
      </c>
      <c r="Q16">
        <v>2</v>
      </c>
    </row>
    <row r="17" spans="1:17" ht="28.5" x14ac:dyDescent="0.2">
      <c r="A17" s="85" t="s">
        <v>445</v>
      </c>
      <c r="B17" s="68" t="s">
        <v>447</v>
      </c>
      <c r="C17" s="68" t="s">
        <v>84</v>
      </c>
      <c r="D17" s="69">
        <f>ROUND(SUMIF(RV_DATA!W9:'RV_DATA'!W47, -926712809, RV_DATA!I9:'RV_DATA'!I47), 6)</f>
        <v>0.13519999999999999</v>
      </c>
      <c r="E17" s="86">
        <f>ROUND(RV_DATA!K42, 6)</f>
        <v>683.9</v>
      </c>
      <c r="F17" s="86">
        <f>ROUND(SUMIF(RV_DATA!W9:'RV_DATA'!W47, -926712809, RV_DATA!M9:'RV_DATA'!M47), 6)</f>
        <v>92.46</v>
      </c>
      <c r="G17" s="86">
        <f>ROUND(RV_DATA!N42, 6)</f>
        <v>683.9</v>
      </c>
      <c r="H17" s="86">
        <f>ROUND(SUMIF(RV_DATA!W9:'RV_DATA'!W47, -926712809, RV_DATA!O9:'RV_DATA'!O47), 6)</f>
        <v>92.46</v>
      </c>
      <c r="Q17">
        <v>2</v>
      </c>
    </row>
    <row r="18" spans="1:17" ht="28.5" x14ac:dyDescent="0.2">
      <c r="A18" s="85" t="s">
        <v>423</v>
      </c>
      <c r="B18" s="68" t="s">
        <v>425</v>
      </c>
      <c r="C18" s="68" t="s">
        <v>84</v>
      </c>
      <c r="D18" s="69">
        <f>ROUND(SUMIF(RV_DATA!W9:'RV_DATA'!W47, 1460056643, RV_DATA!I9:'RV_DATA'!I47), 6)</f>
        <v>1.34E-2</v>
      </c>
      <c r="E18" s="86">
        <f>ROUND(RV_DATA!K31, 6)</f>
        <v>616.73</v>
      </c>
      <c r="F18" s="86">
        <f>ROUND(SUMIF(RV_DATA!W9:'RV_DATA'!W47, 1460056643, RV_DATA!M9:'RV_DATA'!M47), 6)</f>
        <v>8.27</v>
      </c>
      <c r="G18" s="86">
        <f>ROUND(RV_DATA!N31, 6)</f>
        <v>616.73</v>
      </c>
      <c r="H18" s="86">
        <f>ROUND(SUMIF(RV_DATA!W9:'RV_DATA'!W47, 1460056643, RV_DATA!O9:'RV_DATA'!O47), 6)</f>
        <v>8.27</v>
      </c>
      <c r="Q18">
        <v>2</v>
      </c>
    </row>
    <row r="19" spans="1:17" ht="28.5" x14ac:dyDescent="0.2">
      <c r="A19" s="85" t="s">
        <v>390</v>
      </c>
      <c r="B19" s="68" t="s">
        <v>392</v>
      </c>
      <c r="C19" s="68" t="s">
        <v>84</v>
      </c>
      <c r="D19" s="69">
        <f>ROUND(SUMIF(RV_DATA!W9:'RV_DATA'!W47, -180512758, RV_DATA!I9:'RV_DATA'!I47), 6)</f>
        <v>0.27872000000000002</v>
      </c>
      <c r="E19" s="86">
        <f>ROUND(RV_DATA!K16, 6)</f>
        <v>430.32</v>
      </c>
      <c r="F19" s="86">
        <f>ROUND(SUMIF(RV_DATA!W9:'RV_DATA'!W47, -180512758, RV_DATA!M9:'RV_DATA'!M47), 6)</f>
        <v>119.94</v>
      </c>
      <c r="G19" s="86">
        <f>ROUND(RV_DATA!N16, 6)</f>
        <v>430.32</v>
      </c>
      <c r="H19" s="86">
        <f>ROUND(SUMIF(RV_DATA!W9:'RV_DATA'!W47, -180512758, RV_DATA!O9:'RV_DATA'!O47), 6)</f>
        <v>119.94</v>
      </c>
      <c r="Q19">
        <v>2</v>
      </c>
    </row>
    <row r="20" spans="1:17" ht="28.5" x14ac:dyDescent="0.2">
      <c r="A20" s="85" t="s">
        <v>393</v>
      </c>
      <c r="B20" s="68" t="s">
        <v>395</v>
      </c>
      <c r="C20" s="68" t="s">
        <v>84</v>
      </c>
      <c r="D20" s="69">
        <f>ROUND(SUMIF(RV_DATA!W9:'RV_DATA'!W47, -1269477455, RV_DATA!I9:'RV_DATA'!I47), 6)</f>
        <v>0.89914000000000005</v>
      </c>
      <c r="E20" s="86">
        <f>ROUND(RV_DATA!K15, 6)</f>
        <v>2020.59</v>
      </c>
      <c r="F20" s="86">
        <f>ROUND(SUMIF(RV_DATA!W9:'RV_DATA'!W47, -1269477455, RV_DATA!M9:'RV_DATA'!M47), 6)</f>
        <v>1816.8</v>
      </c>
      <c r="G20" s="86">
        <f>ROUND(RV_DATA!N15, 6)</f>
        <v>2020.59</v>
      </c>
      <c r="H20" s="86">
        <f>ROUND(SUMIF(RV_DATA!W9:'RV_DATA'!W47, -1269477455, RV_DATA!O9:'RV_DATA'!O47), 6)</f>
        <v>1816.8</v>
      </c>
      <c r="Q20">
        <v>2</v>
      </c>
    </row>
    <row r="21" spans="1:17" ht="28.5" x14ac:dyDescent="0.2">
      <c r="A21" s="85" t="s">
        <v>408</v>
      </c>
      <c r="B21" s="68" t="s">
        <v>410</v>
      </c>
      <c r="C21" s="68" t="s">
        <v>84</v>
      </c>
      <c r="D21" s="69">
        <f>ROUND(SUMIF(RV_DATA!W9:'RV_DATA'!W47, -1074879534, RV_DATA!I9:'RV_DATA'!I47), 6)</f>
        <v>3.3633999999999999</v>
      </c>
      <c r="E21" s="86">
        <f>ROUND(RV_DATA!K19, 6)</f>
        <v>1261.8699999999999</v>
      </c>
      <c r="F21" s="86">
        <f>ROUND(SUMIF(RV_DATA!W9:'RV_DATA'!W47, -1074879534, RV_DATA!M9:'RV_DATA'!M47), 6)</f>
        <v>4244.17</v>
      </c>
      <c r="G21" s="86">
        <f>ROUND(RV_DATA!N19, 6)</f>
        <v>1261.8699999999999</v>
      </c>
      <c r="H21" s="86">
        <f>ROUND(SUMIF(RV_DATA!W9:'RV_DATA'!W47, -1074879534, RV_DATA!O9:'RV_DATA'!O47), 6)</f>
        <v>4244.17</v>
      </c>
      <c r="Q21">
        <v>2</v>
      </c>
    </row>
    <row r="22" spans="1:17" ht="28.5" x14ac:dyDescent="0.2">
      <c r="A22" s="85" t="s">
        <v>396</v>
      </c>
      <c r="B22" s="68" t="s">
        <v>398</v>
      </c>
      <c r="C22" s="68" t="s">
        <v>84</v>
      </c>
      <c r="D22" s="69">
        <f>ROUND(SUMIF(RV_DATA!W9:'RV_DATA'!W47, 38483568, RV_DATA!I9:'RV_DATA'!I47), 6)</f>
        <v>0.25996000000000002</v>
      </c>
      <c r="E22" s="86">
        <f>ROUND(RV_DATA!K14, 6)</f>
        <v>1412.71</v>
      </c>
      <c r="F22" s="86">
        <f>ROUND(SUMIF(RV_DATA!W9:'RV_DATA'!W47, 38483568, RV_DATA!M9:'RV_DATA'!M47), 6)</f>
        <v>367.25</v>
      </c>
      <c r="G22" s="86">
        <f>ROUND(RV_DATA!N14, 6)</f>
        <v>1412.71</v>
      </c>
      <c r="H22" s="86">
        <f>ROUND(SUMIF(RV_DATA!W9:'RV_DATA'!W47, 38483568, RV_DATA!O9:'RV_DATA'!O47), 6)</f>
        <v>367.25</v>
      </c>
      <c r="Q22">
        <v>2</v>
      </c>
    </row>
    <row r="23" spans="1:17" ht="28.5" x14ac:dyDescent="0.2">
      <c r="A23" s="85" t="s">
        <v>399</v>
      </c>
      <c r="B23" s="68" t="s">
        <v>401</v>
      </c>
      <c r="C23" s="68" t="s">
        <v>84</v>
      </c>
      <c r="D23" s="69">
        <f>ROUND(SUMIF(RV_DATA!W9:'RV_DATA'!W47, -362114551, RV_DATA!I9:'RV_DATA'!I47), 6)</f>
        <v>8.7099999999999997E-2</v>
      </c>
      <c r="E23" s="86">
        <f>ROUND(RV_DATA!K13, 6)</f>
        <v>1213.3399999999999</v>
      </c>
      <c r="F23" s="86">
        <f>ROUND(SUMIF(RV_DATA!W9:'RV_DATA'!W47, -362114551, RV_DATA!M9:'RV_DATA'!M47), 6)</f>
        <v>105.68</v>
      </c>
      <c r="G23" s="86">
        <f>ROUND(RV_DATA!N13, 6)</f>
        <v>1213.3399999999999</v>
      </c>
      <c r="H23" s="86">
        <f>ROUND(SUMIF(RV_DATA!W9:'RV_DATA'!W47, -362114551, RV_DATA!O9:'RV_DATA'!O47), 6)</f>
        <v>105.68</v>
      </c>
      <c r="Q23">
        <v>2</v>
      </c>
    </row>
    <row r="24" spans="1:17" ht="28.5" x14ac:dyDescent="0.2">
      <c r="A24" s="85" t="s">
        <v>426</v>
      </c>
      <c r="B24" s="68" t="s">
        <v>428</v>
      </c>
      <c r="C24" s="68" t="s">
        <v>84</v>
      </c>
      <c r="D24" s="69">
        <f>ROUND(SUMIF(RV_DATA!W9:'RV_DATA'!W47, -1650330276, RV_DATA!I9:'RV_DATA'!I47), 6)</f>
        <v>4.2076000000000002</v>
      </c>
      <c r="E24" s="86">
        <f>ROUND(RV_DATA!K30, 6)</f>
        <v>454.31</v>
      </c>
      <c r="F24" s="86">
        <f>ROUND(SUMIF(RV_DATA!W9:'RV_DATA'!W47, -1650330276, RV_DATA!M9:'RV_DATA'!M47), 6)</f>
        <v>1911.56</v>
      </c>
      <c r="G24" s="86">
        <f>ROUND(RV_DATA!N30, 6)</f>
        <v>454.31</v>
      </c>
      <c r="H24" s="86">
        <f>ROUND(SUMIF(RV_DATA!W9:'RV_DATA'!W47, -1650330276, RV_DATA!O9:'RV_DATA'!O47), 6)</f>
        <v>1911.56</v>
      </c>
      <c r="Q24">
        <v>2</v>
      </c>
    </row>
    <row r="25" spans="1:17" ht="15" x14ac:dyDescent="0.25">
      <c r="A25" s="87" t="s">
        <v>626</v>
      </c>
      <c r="B25" s="87"/>
      <c r="C25" s="87"/>
      <c r="D25" s="87"/>
      <c r="E25" s="88">
        <f>SUMIF(Q12:Q24, 2, F12:F24)</f>
        <v>11217.210000000001</v>
      </c>
      <c r="F25" s="88"/>
      <c r="G25" s="88">
        <f>SUMIF(Q12:Q24, 2, H12:H24)</f>
        <v>11217.210000000001</v>
      </c>
      <c r="H25" s="87"/>
    </row>
    <row r="26" spans="1:17" ht="14.25" x14ac:dyDescent="0.2">
      <c r="A26" s="83" t="s">
        <v>627</v>
      </c>
      <c r="B26" s="84"/>
      <c r="C26" s="84"/>
      <c r="D26" s="84"/>
      <c r="E26" s="84"/>
      <c r="F26" s="84"/>
      <c r="G26" s="84"/>
      <c r="H26" s="84"/>
    </row>
    <row r="27" spans="1:17" ht="14.25" x14ac:dyDescent="0.2">
      <c r="A27" s="85" t="s">
        <v>402</v>
      </c>
      <c r="B27" s="68" t="s">
        <v>404</v>
      </c>
      <c r="C27" s="68" t="s">
        <v>28</v>
      </c>
      <c r="D27" s="69">
        <f>ROUND(SUMIF(RV_DATA!W9:'RV_DATA'!W47, 445372051, RV_DATA!I9:'RV_DATA'!I47), 6)</f>
        <v>14.74</v>
      </c>
      <c r="E27" s="86">
        <f>ROUND(RV_DATA!K12, 6)</f>
        <v>590.78</v>
      </c>
      <c r="F27" s="86">
        <f>ROUND(SUMIF(RV_DATA!W9:'RV_DATA'!W47, 445372051, RV_DATA!M9:'RV_DATA'!M47), 6)</f>
        <v>8708.1</v>
      </c>
      <c r="G27" s="86">
        <f>ROUND(RV_DATA!N12, 6)</f>
        <v>590.78</v>
      </c>
      <c r="H27" s="86">
        <f>ROUND(SUMIF(RV_DATA!W9:'RV_DATA'!W47, 445372051, RV_DATA!O9:'RV_DATA'!O47), 6)</f>
        <v>8708.1</v>
      </c>
      <c r="Q27">
        <v>3</v>
      </c>
    </row>
    <row r="28" spans="1:17" ht="42.75" x14ac:dyDescent="0.2">
      <c r="A28" s="85" t="s">
        <v>41</v>
      </c>
      <c r="B28" s="68" t="s">
        <v>42</v>
      </c>
      <c r="C28" s="68" t="s">
        <v>28</v>
      </c>
      <c r="D28" s="69">
        <f>ROUND(SUMIF(RV_DATA!W9:'RV_DATA'!W47, 345930550, RV_DATA!I9:'RV_DATA'!I47), 6)</f>
        <v>23.315999999999999</v>
      </c>
      <c r="E28" s="86">
        <f>ROUND(RV_DATA!K21, 6)</f>
        <v>1763.75</v>
      </c>
      <c r="F28" s="86">
        <f>ROUND(SUMIF(RV_DATA!W9:'RV_DATA'!W47, 345930550, RV_DATA!M9:'RV_DATA'!M47), 6)</f>
        <v>41123.599999999999</v>
      </c>
      <c r="G28" s="86">
        <f>ROUND(RV_DATA!N21, 6)</f>
        <v>1763.75</v>
      </c>
      <c r="H28" s="86">
        <f>ROUND(SUMIF(RV_DATA!W9:'RV_DATA'!W47, 345930550, RV_DATA!O9:'RV_DATA'!O47), 6)</f>
        <v>41123.599999999999</v>
      </c>
      <c r="Q28">
        <v>3</v>
      </c>
    </row>
    <row r="29" spans="1:17" ht="28.5" x14ac:dyDescent="0.2">
      <c r="A29" s="85" t="s">
        <v>411</v>
      </c>
      <c r="B29" s="68" t="s">
        <v>413</v>
      </c>
      <c r="C29" s="68" t="s">
        <v>101</v>
      </c>
      <c r="D29" s="69">
        <f>ROUND(SUMIF(RV_DATA!W9:'RV_DATA'!W47, -3533703, RV_DATA!I9:'RV_DATA'!I47), 6)</f>
        <v>8.0399999999999999E-2</v>
      </c>
      <c r="E29" s="86">
        <f>ROUND(RV_DATA!K23, 6)</f>
        <v>25888.1</v>
      </c>
      <c r="F29" s="86">
        <f>ROUND(SUMIF(RV_DATA!W9:'RV_DATA'!W47, -3533703, RV_DATA!M9:'RV_DATA'!M47), 6)</f>
        <v>2081.41</v>
      </c>
      <c r="G29" s="86">
        <f>ROUND(RV_DATA!N23, 6)</f>
        <v>25888.1</v>
      </c>
      <c r="H29" s="86">
        <f>ROUND(SUMIF(RV_DATA!W9:'RV_DATA'!W47, -3533703, RV_DATA!O9:'RV_DATA'!O47), 6)</f>
        <v>2081.41</v>
      </c>
      <c r="Q29">
        <v>3</v>
      </c>
    </row>
    <row r="30" spans="1:17" ht="14.25" x14ac:dyDescent="0.2">
      <c r="A30" s="85" t="s">
        <v>405</v>
      </c>
      <c r="B30" s="68" t="s">
        <v>407</v>
      </c>
      <c r="C30" s="68" t="s">
        <v>28</v>
      </c>
      <c r="D30" s="69">
        <f>ROUND(SUMIF(RV_DATA!W9:'RV_DATA'!W47, 1819467959, RV_DATA!I9:'RV_DATA'!I47), 6)</f>
        <v>3.35</v>
      </c>
      <c r="E30" s="86">
        <f>ROUND(RV_DATA!K11, 6)</f>
        <v>35.25</v>
      </c>
      <c r="F30" s="86">
        <f>ROUND(SUMIF(RV_DATA!W9:'RV_DATA'!W47, 1819467959, RV_DATA!M9:'RV_DATA'!M47), 6)</f>
        <v>118.09</v>
      </c>
      <c r="G30" s="86">
        <f>ROUND(RV_DATA!N11, 6)</f>
        <v>35.25</v>
      </c>
      <c r="H30" s="86">
        <f>ROUND(SUMIF(RV_DATA!W9:'RV_DATA'!W47, 1819467959, RV_DATA!O9:'RV_DATA'!O47), 6)</f>
        <v>118.09</v>
      </c>
      <c r="Q30">
        <v>3</v>
      </c>
    </row>
    <row r="31" spans="1:17" ht="28.5" x14ac:dyDescent="0.2">
      <c r="A31" s="85" t="s">
        <v>429</v>
      </c>
      <c r="B31" s="68" t="s">
        <v>431</v>
      </c>
      <c r="C31" s="68" t="s">
        <v>298</v>
      </c>
      <c r="D31" s="69">
        <f>ROUND(SUMIF(RV_DATA!W9:'RV_DATA'!W47, 2115870156, RV_DATA!I9:'RV_DATA'!I47), 6)</f>
        <v>7.5039999999999996</v>
      </c>
      <c r="E31" s="86">
        <f>ROUND(RV_DATA!K29, 6)</f>
        <v>12.02</v>
      </c>
      <c r="F31" s="86">
        <f>ROUND(SUMIF(RV_DATA!W9:'RV_DATA'!W47, 2115870156, RV_DATA!M9:'RV_DATA'!M47), 6)</f>
        <v>90.2</v>
      </c>
      <c r="G31" s="86">
        <f>ROUND(RV_DATA!N29, 6)</f>
        <v>12.02</v>
      </c>
      <c r="H31" s="86">
        <f>ROUND(SUMIF(RV_DATA!W9:'RV_DATA'!W47, 2115870156, RV_DATA!O9:'RV_DATA'!O47), 6)</f>
        <v>90.2</v>
      </c>
      <c r="Q31">
        <v>3</v>
      </c>
    </row>
    <row r="32" spans="1:17" ht="14.25" x14ac:dyDescent="0.2">
      <c r="A32" s="85" t="s">
        <v>432</v>
      </c>
      <c r="B32" s="68" t="s">
        <v>434</v>
      </c>
      <c r="C32" s="68" t="s">
        <v>101</v>
      </c>
      <c r="D32" s="69">
        <f>ROUND(SUMIF(RV_DATA!W9:'RV_DATA'!W47, -1513198188, RV_DATA!I9:'RV_DATA'!I47), 6)</f>
        <v>4.2209999999999999E-3</v>
      </c>
      <c r="E32" s="86">
        <f>ROUND(RV_DATA!K28, 6)</f>
        <v>343020.03</v>
      </c>
      <c r="F32" s="86">
        <f>ROUND(SUMIF(RV_DATA!W9:'RV_DATA'!W47, -1513198188, RV_DATA!M9:'RV_DATA'!M47), 6)</f>
        <v>1447.88</v>
      </c>
      <c r="G32" s="86">
        <f>ROUND(RV_DATA!N28, 6)</f>
        <v>343020.03</v>
      </c>
      <c r="H32" s="86">
        <f>ROUND(SUMIF(RV_DATA!W9:'RV_DATA'!W47, -1513198188, RV_DATA!O9:'RV_DATA'!O47), 6)</f>
        <v>1447.88</v>
      </c>
      <c r="Q32">
        <v>3</v>
      </c>
    </row>
    <row r="33" spans="1:17" ht="28.5" x14ac:dyDescent="0.2">
      <c r="A33" s="85" t="s">
        <v>435</v>
      </c>
      <c r="B33" s="68" t="s">
        <v>437</v>
      </c>
      <c r="C33" s="68" t="s">
        <v>438</v>
      </c>
      <c r="D33" s="69">
        <f>ROUND(SUMIF(RV_DATA!W9:'RV_DATA'!W47, 1650918109, RV_DATA!I9:'RV_DATA'!I47), 6)</f>
        <v>1181.8800000000001</v>
      </c>
      <c r="E33" s="86">
        <f>ROUND(RV_DATA!K27, 6)</f>
        <v>17.77</v>
      </c>
      <c r="F33" s="86">
        <f>ROUND(SUMIF(RV_DATA!W9:'RV_DATA'!W47, 1650918109, RV_DATA!M9:'RV_DATA'!M47), 6)</f>
        <v>21002</v>
      </c>
      <c r="G33" s="86">
        <f>ROUND(RV_DATA!N27, 6)</f>
        <v>17.77</v>
      </c>
      <c r="H33" s="86">
        <f>ROUND(SUMIF(RV_DATA!W9:'RV_DATA'!W47, 1650918109, RV_DATA!O9:'RV_DATA'!O47), 6)</f>
        <v>21002</v>
      </c>
      <c r="Q33">
        <v>3</v>
      </c>
    </row>
    <row r="34" spans="1:17" ht="57" x14ac:dyDescent="0.2">
      <c r="A34" s="85" t="s">
        <v>439</v>
      </c>
      <c r="B34" s="68" t="s">
        <v>441</v>
      </c>
      <c r="C34" s="68" t="s">
        <v>438</v>
      </c>
      <c r="D34" s="69">
        <f>ROUND(SUMIF(RV_DATA!W9:'RV_DATA'!W47, 1409483656, RV_DATA!I9:'RV_DATA'!I47), 6)</f>
        <v>379.89</v>
      </c>
      <c r="E34" s="86">
        <f>ROUND(RV_DATA!K26, 6)</f>
        <v>202.34</v>
      </c>
      <c r="F34" s="86">
        <f>ROUND(SUMIF(RV_DATA!W9:'RV_DATA'!W47, 1409483656, RV_DATA!M9:'RV_DATA'!M47), 6)</f>
        <v>76866.95</v>
      </c>
      <c r="G34" s="86">
        <f>ROUND(RV_DATA!N26, 6)</f>
        <v>202.34</v>
      </c>
      <c r="H34" s="86">
        <f>ROUND(SUMIF(RV_DATA!W9:'RV_DATA'!W47, 1409483656, RV_DATA!O9:'RV_DATA'!O47), 6)</f>
        <v>76866.95</v>
      </c>
      <c r="Q34">
        <v>3</v>
      </c>
    </row>
    <row r="35" spans="1:17" ht="28.5" x14ac:dyDescent="0.2">
      <c r="A35" s="85" t="s">
        <v>442</v>
      </c>
      <c r="B35" s="68" t="s">
        <v>444</v>
      </c>
      <c r="C35" s="68" t="s">
        <v>101</v>
      </c>
      <c r="D35" s="69">
        <f>ROUND(SUMIF(RV_DATA!W9:'RV_DATA'!W47, 1055948583, RV_DATA!I9:'RV_DATA'!I47), 6)</f>
        <v>8.4419999999999995E-2</v>
      </c>
      <c r="E35" s="86">
        <f>ROUND(RV_DATA!K25, 6)</f>
        <v>748299.67</v>
      </c>
      <c r="F35" s="86">
        <f>ROUND(SUMIF(RV_DATA!W9:'RV_DATA'!W47, 1055948583, RV_DATA!M9:'RV_DATA'!M47), 6)</f>
        <v>63171.46</v>
      </c>
      <c r="G35" s="86">
        <f>ROUND(RV_DATA!N25, 6)</f>
        <v>748299.67</v>
      </c>
      <c r="H35" s="86">
        <f>ROUND(SUMIF(RV_DATA!W9:'RV_DATA'!W47, 1055948583, RV_DATA!O9:'RV_DATA'!O47), 6)</f>
        <v>63171.46</v>
      </c>
      <c r="Q35">
        <v>3</v>
      </c>
    </row>
    <row r="36" spans="1:17" ht="57" x14ac:dyDescent="0.2">
      <c r="A36" s="85" t="s">
        <v>448</v>
      </c>
      <c r="B36" s="68" t="s">
        <v>450</v>
      </c>
      <c r="C36" s="68" t="s">
        <v>28</v>
      </c>
      <c r="D36" s="69">
        <f>ROUND(SUMIF(RV_DATA!W9:'RV_DATA'!W47, -1406457179, RV_DATA!I9:'RV_DATA'!I47), 6)</f>
        <v>2.2360000000000002</v>
      </c>
      <c r="E36" s="86">
        <f>ROUND(RV_DATA!K41, 6)</f>
        <v>3714.73</v>
      </c>
      <c r="F36" s="86">
        <f>ROUND(SUMIF(RV_DATA!W9:'RV_DATA'!W47, -1406457179, RV_DATA!M9:'RV_DATA'!M47), 6)</f>
        <v>8306.14</v>
      </c>
      <c r="G36" s="86">
        <f>ROUND(RV_DATA!N41, 6)</f>
        <v>3714.73</v>
      </c>
      <c r="H36" s="86">
        <f>ROUND(SUMIF(RV_DATA!W9:'RV_DATA'!W47, -1406457179, RV_DATA!O9:'RV_DATA'!O47), 6)</f>
        <v>8306.14</v>
      </c>
      <c r="Q36">
        <v>3</v>
      </c>
    </row>
    <row r="37" spans="1:17" ht="14.25" x14ac:dyDescent="0.2">
      <c r="A37" s="85" t="s">
        <v>457</v>
      </c>
      <c r="B37" s="68" t="s">
        <v>459</v>
      </c>
      <c r="C37" s="68" t="s">
        <v>28</v>
      </c>
      <c r="D37" s="69">
        <f>ROUND(SUMIF(RV_DATA!W9:'RV_DATA'!W47, 809277097, RV_DATA!I9:'RV_DATA'!I47), 6)</f>
        <v>5.9999999999999995E-4</v>
      </c>
      <c r="E37" s="86">
        <f>ROUND(RV_DATA!K43, 6)</f>
        <v>3323.4</v>
      </c>
      <c r="F37" s="86">
        <f>ROUND(SUMIF(RV_DATA!W9:'RV_DATA'!W47, 809277097, RV_DATA!M9:'RV_DATA'!M47), 6)</f>
        <v>1.99</v>
      </c>
      <c r="G37" s="86">
        <f>ROUND(RV_DATA!N43, 6)</f>
        <v>3323.4</v>
      </c>
      <c r="H37" s="86">
        <f>ROUND(SUMIF(RV_DATA!W9:'RV_DATA'!W47, 809277097, RV_DATA!O9:'RV_DATA'!O47), 6)</f>
        <v>1.99</v>
      </c>
      <c r="Q37">
        <v>3</v>
      </c>
    </row>
    <row r="38" spans="1:17" ht="14.25" x14ac:dyDescent="0.2">
      <c r="A38" s="85" t="s">
        <v>451</v>
      </c>
      <c r="B38" s="68" t="s">
        <v>453</v>
      </c>
      <c r="C38" s="68" t="s">
        <v>28</v>
      </c>
      <c r="D38" s="69">
        <f>ROUND(SUMIF(RV_DATA!W9:'RV_DATA'!W47, 761304375, RV_DATA!I9:'RV_DATA'!I47), 6)</f>
        <v>1.04E-2</v>
      </c>
      <c r="E38" s="86">
        <f>ROUND(RV_DATA!K40, 6)</f>
        <v>3392.59</v>
      </c>
      <c r="F38" s="86">
        <f>ROUND(SUMIF(RV_DATA!W9:'RV_DATA'!W47, 761304375, RV_DATA!M9:'RV_DATA'!M47), 6)</f>
        <v>35.28</v>
      </c>
      <c r="G38" s="86">
        <f>ROUND(RV_DATA!N40, 6)</f>
        <v>3392.59</v>
      </c>
      <c r="H38" s="86">
        <f>ROUND(SUMIF(RV_DATA!W9:'RV_DATA'!W47, 761304375, RV_DATA!O9:'RV_DATA'!O47), 6)</f>
        <v>35.28</v>
      </c>
      <c r="Q38">
        <v>3</v>
      </c>
    </row>
    <row r="39" spans="1:17" ht="28.5" x14ac:dyDescent="0.2">
      <c r="A39" s="85" t="s">
        <v>414</v>
      </c>
      <c r="B39" s="68" t="s">
        <v>416</v>
      </c>
      <c r="C39" s="68" t="s">
        <v>101</v>
      </c>
      <c r="D39" s="69">
        <f>ROUND(SUMIF(RV_DATA!W9:'RV_DATA'!W47, -1328752311, RV_DATA!I9:'RV_DATA'!I47), 6)</f>
        <v>9.5676000000000005</v>
      </c>
      <c r="E39" s="86">
        <f>ROUND(RV_DATA!K22, 6)</f>
        <v>2652.04</v>
      </c>
      <c r="F39" s="86">
        <f>ROUND(SUMIF(RV_DATA!W9:'RV_DATA'!W47, -1328752311, RV_DATA!M9:'RV_DATA'!M47), 6)</f>
        <v>25373.66</v>
      </c>
      <c r="G39" s="86">
        <f>ROUND(RV_DATA!N22, 6)</f>
        <v>2652.04</v>
      </c>
      <c r="H39" s="86">
        <f>ROUND(SUMIF(RV_DATA!W9:'RV_DATA'!W47, -1328752311, RV_DATA!O9:'RV_DATA'!O47), 6)</f>
        <v>25373.66</v>
      </c>
      <c r="Q39">
        <v>3</v>
      </c>
    </row>
    <row r="40" spans="1:17" ht="28.5" x14ac:dyDescent="0.2">
      <c r="A40" s="85" t="s">
        <v>454</v>
      </c>
      <c r="B40" s="68" t="s">
        <v>456</v>
      </c>
      <c r="C40" s="68" t="s">
        <v>28</v>
      </c>
      <c r="D40" s="69">
        <f>ROUND(SUMIF(RV_DATA!W9:'RV_DATA'!W47, -418158513, RV_DATA!I9:'RV_DATA'!I47), 6)</f>
        <v>0.83199999999999996</v>
      </c>
      <c r="E40" s="86">
        <f>ROUND(RV_DATA!K39, 6)</f>
        <v>11566.57</v>
      </c>
      <c r="F40" s="86">
        <f>ROUND(SUMIF(RV_DATA!W9:'RV_DATA'!W47, -418158513, RV_DATA!M9:'RV_DATA'!M47), 6)</f>
        <v>9623.39</v>
      </c>
      <c r="G40" s="86">
        <f>ROUND(RV_DATA!N39, 6)</f>
        <v>11566.57</v>
      </c>
      <c r="H40" s="86">
        <f>ROUND(SUMIF(RV_DATA!W9:'RV_DATA'!W47, -418158513, RV_DATA!O9:'RV_DATA'!O47), 6)</f>
        <v>9623.39</v>
      </c>
      <c r="Q40">
        <v>3</v>
      </c>
    </row>
    <row r="41" spans="1:17" ht="85.5" x14ac:dyDescent="0.2">
      <c r="A41" s="85" t="s">
        <v>104</v>
      </c>
      <c r="B41" s="68" t="s">
        <v>105</v>
      </c>
      <c r="C41" s="68" t="s">
        <v>106</v>
      </c>
      <c r="D41" s="69">
        <f>ROUND(SUMIF(RV_DATA!W9:'RV_DATA'!W47, 1338406588, RV_DATA!I9:'RV_DATA'!I47), 6)</f>
        <v>1</v>
      </c>
      <c r="E41" s="86">
        <f>ROUND(RV_DATA!K44, 6)</f>
        <v>17250</v>
      </c>
      <c r="F41" s="86">
        <f>ROUND(SUMIF(RV_DATA!W9:'RV_DATA'!W47, 1338406588, RV_DATA!M9:'RV_DATA'!M47), 6)</f>
        <v>17250</v>
      </c>
      <c r="G41" s="86">
        <f>ROUND(RV_DATA!N44, 6)</f>
        <v>17250</v>
      </c>
      <c r="H41" s="86">
        <f>ROUND(SUMIF(RV_DATA!W9:'RV_DATA'!W47, 1338406588, RV_DATA!O9:'RV_DATA'!O47), 6)</f>
        <v>17250</v>
      </c>
      <c r="Q41">
        <v>3</v>
      </c>
    </row>
    <row r="42" spans="1:17" ht="71.25" x14ac:dyDescent="0.2">
      <c r="A42" s="85" t="s">
        <v>104</v>
      </c>
      <c r="B42" s="68" t="s">
        <v>110</v>
      </c>
      <c r="C42" s="68" t="s">
        <v>106</v>
      </c>
      <c r="D42" s="69">
        <f>ROUND(SUMIF(RV_DATA!W9:'RV_DATA'!W47, -2073129128, RV_DATA!I9:'RV_DATA'!I47), 6)</f>
        <v>1</v>
      </c>
      <c r="E42" s="86">
        <f>ROUND(RV_DATA!K45, 6)</f>
        <v>44166.67</v>
      </c>
      <c r="F42" s="86">
        <f>ROUND(SUMIF(RV_DATA!W9:'RV_DATA'!W47, -2073129128, RV_DATA!M9:'RV_DATA'!M47), 6)</f>
        <v>44166.67</v>
      </c>
      <c r="G42" s="86">
        <f>ROUND(RV_DATA!N45, 6)</f>
        <v>44166.67</v>
      </c>
      <c r="H42" s="86">
        <f>ROUND(SUMIF(RV_DATA!W9:'RV_DATA'!W47, -2073129128, RV_DATA!O9:'RV_DATA'!O47), 6)</f>
        <v>44166.67</v>
      </c>
      <c r="Q42">
        <v>3</v>
      </c>
    </row>
    <row r="43" spans="1:17" ht="85.5" x14ac:dyDescent="0.2">
      <c r="A43" s="85" t="s">
        <v>104</v>
      </c>
      <c r="B43" s="68" t="s">
        <v>113</v>
      </c>
      <c r="C43" s="68" t="s">
        <v>106</v>
      </c>
      <c r="D43" s="69">
        <f>ROUND(SUMIF(RV_DATA!W9:'RV_DATA'!W47, -1856616728, RV_DATA!I9:'RV_DATA'!I47), 6)</f>
        <v>1</v>
      </c>
      <c r="E43" s="86">
        <f>ROUND(RV_DATA!K46, 6)</f>
        <v>62333.33</v>
      </c>
      <c r="F43" s="86">
        <f>ROUND(SUMIF(RV_DATA!W9:'RV_DATA'!W47, -1856616728, RV_DATA!M9:'RV_DATA'!M47), 6)</f>
        <v>62333.33</v>
      </c>
      <c r="G43" s="86">
        <f>ROUND(RV_DATA!N46, 6)</f>
        <v>62333.33</v>
      </c>
      <c r="H43" s="86">
        <f>ROUND(SUMIF(RV_DATA!W9:'RV_DATA'!W47, -1856616728, RV_DATA!O9:'RV_DATA'!O47), 6)</f>
        <v>62333.33</v>
      </c>
      <c r="Q43">
        <v>3</v>
      </c>
    </row>
    <row r="44" spans="1:17" ht="42.75" x14ac:dyDescent="0.2">
      <c r="A44" s="85" t="s">
        <v>104</v>
      </c>
      <c r="B44" s="68" t="s">
        <v>116</v>
      </c>
      <c r="C44" s="68" t="s">
        <v>106</v>
      </c>
      <c r="D44" s="69">
        <f>ROUND(SUMIF(RV_DATA!W9:'RV_DATA'!W47, 619025188, RV_DATA!I9:'RV_DATA'!I47), 6)</f>
        <v>1</v>
      </c>
      <c r="E44" s="86">
        <f>ROUND(RV_DATA!K47, 6)</f>
        <v>12391.67</v>
      </c>
      <c r="F44" s="86">
        <f>ROUND(SUMIF(RV_DATA!W9:'RV_DATA'!W47, 619025188, RV_DATA!M9:'RV_DATA'!M47), 6)</f>
        <v>12391.67</v>
      </c>
      <c r="G44" s="86">
        <f>ROUND(RV_DATA!N47, 6)</f>
        <v>12391.67</v>
      </c>
      <c r="H44" s="86">
        <f>ROUND(SUMIF(RV_DATA!W9:'RV_DATA'!W47, 619025188, RV_DATA!O9:'RV_DATA'!O47), 6)</f>
        <v>12391.67</v>
      </c>
      <c r="Q44">
        <v>3</v>
      </c>
    </row>
    <row r="45" spans="1:17" ht="15" x14ac:dyDescent="0.25">
      <c r="A45" s="87" t="s">
        <v>628</v>
      </c>
      <c r="B45" s="87"/>
      <c r="C45" s="87"/>
      <c r="D45" s="87"/>
      <c r="E45" s="88">
        <f>SUMIF(Q27:Q44, 3, F27:F44)</f>
        <v>394091.81999999995</v>
      </c>
      <c r="F45" s="88"/>
      <c r="G45" s="88">
        <f>SUMIF(Q27:Q44, 3, H27:H44)</f>
        <v>394091.81999999995</v>
      </c>
      <c r="H45" s="87"/>
    </row>
    <row r="46" spans="1:17" ht="16.5" x14ac:dyDescent="0.2">
      <c r="A46" s="75" t="str">
        <f>CONCATENATE("Подраздел: ",IF(Source!G91&lt;&gt;"Новый подраздел", Source!G91, ""))</f>
        <v>Подраздел: Игровая площадка группы №12</v>
      </c>
      <c r="B46" s="76"/>
      <c r="C46" s="76"/>
      <c r="D46" s="76"/>
      <c r="E46" s="76"/>
      <c r="F46" s="76"/>
      <c r="G46" s="76"/>
      <c r="H46" s="76"/>
    </row>
    <row r="47" spans="1:17" ht="14.25" x14ac:dyDescent="0.2">
      <c r="A47" s="83" t="s">
        <v>625</v>
      </c>
      <c r="B47" s="84"/>
      <c r="C47" s="84"/>
      <c r="D47" s="84"/>
      <c r="E47" s="84"/>
      <c r="F47" s="84"/>
      <c r="G47" s="84"/>
      <c r="H47" s="84"/>
    </row>
    <row r="48" spans="1:17" ht="42.75" x14ac:dyDescent="0.2">
      <c r="A48" s="85" t="s">
        <v>417</v>
      </c>
      <c r="B48" s="68" t="s">
        <v>419</v>
      </c>
      <c r="C48" s="68" t="s">
        <v>84</v>
      </c>
      <c r="D48" s="69">
        <f>ROUND(SUMIF(RV_DATA!W49:'RV_DATA'!W86, 904665643, RV_DATA!I49:'RV_DATA'!I86), 6)</f>
        <v>2.6375999999999999</v>
      </c>
      <c r="E48" s="86">
        <f>ROUND(RV_DATA!K71, 6)</f>
        <v>531.41</v>
      </c>
      <c r="F48" s="86">
        <f>ROUND(SUMIF(RV_DATA!W49:'RV_DATA'!W86, 904665643, RV_DATA!M49:'RV_DATA'!M86), 6)</f>
        <v>1401.65</v>
      </c>
      <c r="G48" s="86">
        <f>ROUND(RV_DATA!N71, 6)</f>
        <v>531.41</v>
      </c>
      <c r="H48" s="86">
        <f>ROUND(SUMIF(RV_DATA!W49:'RV_DATA'!W86, 904665643, RV_DATA!O49:'RV_DATA'!O86), 6)</f>
        <v>1401.65</v>
      </c>
      <c r="Q48">
        <v>2</v>
      </c>
    </row>
    <row r="49" spans="1:17" ht="28.5" x14ac:dyDescent="0.2">
      <c r="A49" s="85" t="s">
        <v>387</v>
      </c>
      <c r="B49" s="68" t="s">
        <v>389</v>
      </c>
      <c r="C49" s="68" t="s">
        <v>84</v>
      </c>
      <c r="D49" s="69">
        <f>ROUND(SUMIF(RV_DATA!W49:'RV_DATA'!W86, -202122669, RV_DATA!I49:'RV_DATA'!I86), 6)</f>
        <v>0.17471999999999999</v>
      </c>
      <c r="E49" s="86">
        <f>ROUND(RV_DATA!K55, 6)</f>
        <v>740.94</v>
      </c>
      <c r="F49" s="86">
        <f>ROUND(SUMIF(RV_DATA!W49:'RV_DATA'!W86, -202122669, RV_DATA!M49:'RV_DATA'!M86), 6)</f>
        <v>129.46</v>
      </c>
      <c r="G49" s="86">
        <f>ROUND(RV_DATA!N55, 6)</f>
        <v>740.94</v>
      </c>
      <c r="H49" s="86">
        <f>ROUND(SUMIF(RV_DATA!W49:'RV_DATA'!W86, -202122669, RV_DATA!O49:'RV_DATA'!O86), 6)</f>
        <v>129.46</v>
      </c>
      <c r="Q49">
        <v>2</v>
      </c>
    </row>
    <row r="50" spans="1:17" ht="28.5" x14ac:dyDescent="0.2">
      <c r="A50" s="85" t="s">
        <v>420</v>
      </c>
      <c r="B50" s="68" t="s">
        <v>422</v>
      </c>
      <c r="C50" s="68" t="s">
        <v>84</v>
      </c>
      <c r="D50" s="69">
        <f>ROUND(SUMIF(RV_DATA!W49:'RV_DATA'!W86, 83762966, RV_DATA!I49:'RV_DATA'!I86), 6)</f>
        <v>0.99119999999999997</v>
      </c>
      <c r="E50" s="86">
        <f>ROUND(RV_DATA!K70, 6)</f>
        <v>7.44</v>
      </c>
      <c r="F50" s="86">
        <f>ROUND(SUMIF(RV_DATA!W49:'RV_DATA'!W86, 83762966, RV_DATA!M49:'RV_DATA'!M86), 6)</f>
        <v>7.38</v>
      </c>
      <c r="G50" s="86">
        <f>ROUND(RV_DATA!N70, 6)</f>
        <v>7.44</v>
      </c>
      <c r="H50" s="86">
        <f>ROUND(SUMIF(RV_DATA!W49:'RV_DATA'!W86, 83762966, RV_DATA!O49:'RV_DATA'!O86), 6)</f>
        <v>7.38</v>
      </c>
      <c r="Q50">
        <v>2</v>
      </c>
    </row>
    <row r="51" spans="1:17" ht="28.5" x14ac:dyDescent="0.2">
      <c r="A51" s="85" t="s">
        <v>445</v>
      </c>
      <c r="B51" s="68" t="s">
        <v>447</v>
      </c>
      <c r="C51" s="68" t="s">
        <v>84</v>
      </c>
      <c r="D51" s="69">
        <f>ROUND(SUMIF(RV_DATA!W49:'RV_DATA'!W86, -926712809, RV_DATA!I49:'RV_DATA'!I86), 6)</f>
        <v>9.5680000000000001E-2</v>
      </c>
      <c r="E51" s="86">
        <f>ROUND(RV_DATA!K80, 6)</f>
        <v>683.9</v>
      </c>
      <c r="F51" s="86">
        <f>ROUND(SUMIF(RV_DATA!W49:'RV_DATA'!W86, -926712809, RV_DATA!M49:'RV_DATA'!M86), 6)</f>
        <v>65.430000000000007</v>
      </c>
      <c r="G51" s="86">
        <f>ROUND(RV_DATA!N80, 6)</f>
        <v>683.9</v>
      </c>
      <c r="H51" s="86">
        <f>ROUND(SUMIF(RV_DATA!W49:'RV_DATA'!W86, -926712809, RV_DATA!O49:'RV_DATA'!O86), 6)</f>
        <v>65.430000000000007</v>
      </c>
      <c r="Q51">
        <v>2</v>
      </c>
    </row>
    <row r="52" spans="1:17" ht="28.5" x14ac:dyDescent="0.2">
      <c r="A52" s="85" t="s">
        <v>423</v>
      </c>
      <c r="B52" s="68" t="s">
        <v>425</v>
      </c>
      <c r="C52" s="68" t="s">
        <v>84</v>
      </c>
      <c r="D52" s="69">
        <f>ROUND(SUMIF(RV_DATA!W49:'RV_DATA'!W86, 1460056643, RV_DATA!I49:'RV_DATA'!I86), 6)</f>
        <v>8.3999999999999995E-3</v>
      </c>
      <c r="E52" s="86">
        <f>ROUND(RV_DATA!K69, 6)</f>
        <v>616.73</v>
      </c>
      <c r="F52" s="86">
        <f>ROUND(SUMIF(RV_DATA!W49:'RV_DATA'!W86, 1460056643, RV_DATA!M49:'RV_DATA'!M86), 6)</f>
        <v>5.18</v>
      </c>
      <c r="G52" s="86">
        <f>ROUND(RV_DATA!N69, 6)</f>
        <v>616.73</v>
      </c>
      <c r="H52" s="86">
        <f>ROUND(SUMIF(RV_DATA!W49:'RV_DATA'!W86, 1460056643, RV_DATA!O49:'RV_DATA'!O86), 6)</f>
        <v>5.18</v>
      </c>
      <c r="Q52">
        <v>2</v>
      </c>
    </row>
    <row r="53" spans="1:17" ht="28.5" x14ac:dyDescent="0.2">
      <c r="A53" s="85" t="s">
        <v>390</v>
      </c>
      <c r="B53" s="68" t="s">
        <v>392</v>
      </c>
      <c r="C53" s="68" t="s">
        <v>84</v>
      </c>
      <c r="D53" s="69">
        <f>ROUND(SUMIF(RV_DATA!W49:'RV_DATA'!W86, -180512758, RV_DATA!I49:'RV_DATA'!I86), 6)</f>
        <v>0.17471999999999999</v>
      </c>
      <c r="E53" s="86">
        <f>ROUND(RV_DATA!K54, 6)</f>
        <v>430.32</v>
      </c>
      <c r="F53" s="86">
        <f>ROUND(SUMIF(RV_DATA!W49:'RV_DATA'!W86, -180512758, RV_DATA!M49:'RV_DATA'!M86), 6)</f>
        <v>75.19</v>
      </c>
      <c r="G53" s="86">
        <f>ROUND(RV_DATA!N54, 6)</f>
        <v>430.32</v>
      </c>
      <c r="H53" s="86">
        <f>ROUND(SUMIF(RV_DATA!W49:'RV_DATA'!W86, -180512758, RV_DATA!O49:'RV_DATA'!O86), 6)</f>
        <v>75.19</v>
      </c>
      <c r="Q53">
        <v>2</v>
      </c>
    </row>
    <row r="54" spans="1:17" ht="28.5" x14ac:dyDescent="0.2">
      <c r="A54" s="85" t="s">
        <v>393</v>
      </c>
      <c r="B54" s="68" t="s">
        <v>395</v>
      </c>
      <c r="C54" s="68" t="s">
        <v>84</v>
      </c>
      <c r="D54" s="69">
        <f>ROUND(SUMIF(RV_DATA!W49:'RV_DATA'!W86, -1269477455, RV_DATA!I49:'RV_DATA'!I86), 6)</f>
        <v>0.56364000000000003</v>
      </c>
      <c r="E54" s="86">
        <f>ROUND(RV_DATA!K53, 6)</f>
        <v>2020.59</v>
      </c>
      <c r="F54" s="86">
        <f>ROUND(SUMIF(RV_DATA!W49:'RV_DATA'!W86, -1269477455, RV_DATA!M49:'RV_DATA'!M86), 6)</f>
        <v>1138.8900000000001</v>
      </c>
      <c r="G54" s="86">
        <f>ROUND(RV_DATA!N53, 6)</f>
        <v>2020.59</v>
      </c>
      <c r="H54" s="86">
        <f>ROUND(SUMIF(RV_DATA!W49:'RV_DATA'!W86, -1269477455, RV_DATA!O49:'RV_DATA'!O86), 6)</f>
        <v>1138.8900000000001</v>
      </c>
      <c r="Q54">
        <v>2</v>
      </c>
    </row>
    <row r="55" spans="1:17" ht="28.5" x14ac:dyDescent="0.2">
      <c r="A55" s="85" t="s">
        <v>408</v>
      </c>
      <c r="B55" s="68" t="s">
        <v>410</v>
      </c>
      <c r="C55" s="68" t="s">
        <v>84</v>
      </c>
      <c r="D55" s="69">
        <f>ROUND(SUMIF(RV_DATA!W49:'RV_DATA'!W86, -1074879534, RV_DATA!I49:'RV_DATA'!I86), 6)</f>
        <v>2.1084000000000001</v>
      </c>
      <c r="E55" s="86">
        <f>ROUND(RV_DATA!K57, 6)</f>
        <v>1261.8699999999999</v>
      </c>
      <c r="F55" s="86">
        <f>ROUND(SUMIF(RV_DATA!W49:'RV_DATA'!W86, -1074879534, RV_DATA!M49:'RV_DATA'!M86), 6)</f>
        <v>2660.52</v>
      </c>
      <c r="G55" s="86">
        <f>ROUND(RV_DATA!N57, 6)</f>
        <v>1261.8699999999999</v>
      </c>
      <c r="H55" s="86">
        <f>ROUND(SUMIF(RV_DATA!W49:'RV_DATA'!W86, -1074879534, RV_DATA!O49:'RV_DATA'!O86), 6)</f>
        <v>2660.52</v>
      </c>
      <c r="Q55">
        <v>2</v>
      </c>
    </row>
    <row r="56" spans="1:17" ht="28.5" x14ac:dyDescent="0.2">
      <c r="A56" s="85" t="s">
        <v>396</v>
      </c>
      <c r="B56" s="68" t="s">
        <v>398</v>
      </c>
      <c r="C56" s="68" t="s">
        <v>84</v>
      </c>
      <c r="D56" s="69">
        <f>ROUND(SUMIF(RV_DATA!W49:'RV_DATA'!W86, 38483568, RV_DATA!I49:'RV_DATA'!I86), 6)</f>
        <v>0.16295999999999999</v>
      </c>
      <c r="E56" s="86">
        <f>ROUND(RV_DATA!K52, 6)</f>
        <v>1412.71</v>
      </c>
      <c r="F56" s="86">
        <f>ROUND(SUMIF(RV_DATA!W49:'RV_DATA'!W86, 38483568, RV_DATA!M49:'RV_DATA'!M86), 6)</f>
        <v>230.22</v>
      </c>
      <c r="G56" s="86">
        <f>ROUND(RV_DATA!N52, 6)</f>
        <v>1412.71</v>
      </c>
      <c r="H56" s="86">
        <f>ROUND(SUMIF(RV_DATA!W49:'RV_DATA'!W86, 38483568, RV_DATA!O49:'RV_DATA'!O86), 6)</f>
        <v>230.22</v>
      </c>
      <c r="Q56">
        <v>2</v>
      </c>
    </row>
    <row r="57" spans="1:17" ht="28.5" x14ac:dyDescent="0.2">
      <c r="A57" s="85" t="s">
        <v>399</v>
      </c>
      <c r="B57" s="68" t="s">
        <v>401</v>
      </c>
      <c r="C57" s="68" t="s">
        <v>84</v>
      </c>
      <c r="D57" s="69">
        <f>ROUND(SUMIF(RV_DATA!W49:'RV_DATA'!W86, -362114551, RV_DATA!I49:'RV_DATA'!I86), 6)</f>
        <v>5.4600000000000003E-2</v>
      </c>
      <c r="E57" s="86">
        <f>ROUND(RV_DATA!K51, 6)</f>
        <v>1213.3399999999999</v>
      </c>
      <c r="F57" s="86">
        <f>ROUND(SUMIF(RV_DATA!W49:'RV_DATA'!W86, -362114551, RV_DATA!M49:'RV_DATA'!M86), 6)</f>
        <v>66.25</v>
      </c>
      <c r="G57" s="86">
        <f>ROUND(RV_DATA!N51, 6)</f>
        <v>1213.3399999999999</v>
      </c>
      <c r="H57" s="86">
        <f>ROUND(SUMIF(RV_DATA!W49:'RV_DATA'!W86, -362114551, RV_DATA!O49:'RV_DATA'!O86), 6)</f>
        <v>66.25</v>
      </c>
      <c r="Q57">
        <v>2</v>
      </c>
    </row>
    <row r="58" spans="1:17" ht="28.5" x14ac:dyDescent="0.2">
      <c r="A58" s="85" t="s">
        <v>426</v>
      </c>
      <c r="B58" s="68" t="s">
        <v>428</v>
      </c>
      <c r="C58" s="68" t="s">
        <v>84</v>
      </c>
      <c r="D58" s="69">
        <f>ROUND(SUMIF(RV_DATA!W49:'RV_DATA'!W86, -1650330276, RV_DATA!I49:'RV_DATA'!I86), 6)</f>
        <v>2.6375999999999999</v>
      </c>
      <c r="E58" s="86">
        <f>ROUND(RV_DATA!K68, 6)</f>
        <v>454.31</v>
      </c>
      <c r="F58" s="86">
        <f>ROUND(SUMIF(RV_DATA!W49:'RV_DATA'!W86, -1650330276, RV_DATA!M49:'RV_DATA'!M86), 6)</f>
        <v>1198.29</v>
      </c>
      <c r="G58" s="86">
        <f>ROUND(RV_DATA!N68, 6)</f>
        <v>454.31</v>
      </c>
      <c r="H58" s="86">
        <f>ROUND(SUMIF(RV_DATA!W49:'RV_DATA'!W86, -1650330276, RV_DATA!O49:'RV_DATA'!O86), 6)</f>
        <v>1198.29</v>
      </c>
      <c r="Q58">
        <v>2</v>
      </c>
    </row>
    <row r="59" spans="1:17" ht="15" x14ac:dyDescent="0.25">
      <c r="A59" s="87" t="s">
        <v>626</v>
      </c>
      <c r="B59" s="87"/>
      <c r="C59" s="87"/>
      <c r="D59" s="87"/>
      <c r="E59" s="88">
        <f>SUMIF(Q48:Q58, 2, F48:F58)</f>
        <v>6978.4600000000009</v>
      </c>
      <c r="F59" s="88"/>
      <c r="G59" s="88">
        <f>SUMIF(Q48:Q58, 2, H48:H58)</f>
        <v>6978.4600000000009</v>
      </c>
      <c r="H59" s="87"/>
    </row>
    <row r="60" spans="1:17" ht="14.25" x14ac:dyDescent="0.2">
      <c r="A60" s="83" t="s">
        <v>627</v>
      </c>
      <c r="B60" s="84"/>
      <c r="C60" s="84"/>
      <c r="D60" s="84"/>
      <c r="E60" s="84"/>
      <c r="F60" s="84"/>
      <c r="G60" s="84"/>
      <c r="H60" s="84"/>
    </row>
    <row r="61" spans="1:17" ht="14.25" x14ac:dyDescent="0.2">
      <c r="A61" s="85" t="s">
        <v>402</v>
      </c>
      <c r="B61" s="68" t="s">
        <v>404</v>
      </c>
      <c r="C61" s="68" t="s">
        <v>28</v>
      </c>
      <c r="D61" s="69">
        <f>ROUND(SUMIF(RV_DATA!W49:'RV_DATA'!W86, 445372051, RV_DATA!I49:'RV_DATA'!I86), 6)</f>
        <v>9.24</v>
      </c>
      <c r="E61" s="86">
        <f>ROUND(RV_DATA!K50, 6)</f>
        <v>590.78</v>
      </c>
      <c r="F61" s="86">
        <f>ROUND(SUMIF(RV_DATA!W49:'RV_DATA'!W86, 445372051, RV_DATA!M49:'RV_DATA'!M86), 6)</f>
        <v>5458.81</v>
      </c>
      <c r="G61" s="86">
        <f>ROUND(RV_DATA!N50, 6)</f>
        <v>590.78</v>
      </c>
      <c r="H61" s="86">
        <f>ROUND(SUMIF(RV_DATA!W49:'RV_DATA'!W86, 445372051, RV_DATA!O49:'RV_DATA'!O86), 6)</f>
        <v>5458.81</v>
      </c>
      <c r="Q61">
        <v>3</v>
      </c>
    </row>
    <row r="62" spans="1:17" ht="42.75" x14ac:dyDescent="0.2">
      <c r="A62" s="85" t="s">
        <v>41</v>
      </c>
      <c r="B62" s="68" t="s">
        <v>42</v>
      </c>
      <c r="C62" s="68" t="s">
        <v>28</v>
      </c>
      <c r="D62" s="69">
        <f>ROUND(SUMIF(RV_DATA!W49:'RV_DATA'!W86, 345930550, RV_DATA!I49:'RV_DATA'!I86), 6)</f>
        <v>14.616</v>
      </c>
      <c r="E62" s="86">
        <f>ROUND(RV_DATA!K59, 6)</f>
        <v>1763.75</v>
      </c>
      <c r="F62" s="86">
        <f>ROUND(SUMIF(RV_DATA!W49:'RV_DATA'!W86, 345930550, RV_DATA!M49:'RV_DATA'!M86), 6)</f>
        <v>25778.97</v>
      </c>
      <c r="G62" s="86">
        <f>ROUND(RV_DATA!N59, 6)</f>
        <v>1763.75</v>
      </c>
      <c r="H62" s="86">
        <f>ROUND(SUMIF(RV_DATA!W49:'RV_DATA'!W86, 345930550, RV_DATA!O49:'RV_DATA'!O86), 6)</f>
        <v>25778.97</v>
      </c>
      <c r="Q62">
        <v>3</v>
      </c>
    </row>
    <row r="63" spans="1:17" ht="28.5" x14ac:dyDescent="0.2">
      <c r="A63" s="85" t="s">
        <v>411</v>
      </c>
      <c r="B63" s="68" t="s">
        <v>413</v>
      </c>
      <c r="C63" s="68" t="s">
        <v>101</v>
      </c>
      <c r="D63" s="69">
        <f>ROUND(SUMIF(RV_DATA!W49:'RV_DATA'!W86, -3533703, RV_DATA!I49:'RV_DATA'!I86), 6)</f>
        <v>5.04E-2</v>
      </c>
      <c r="E63" s="86">
        <f>ROUND(RV_DATA!K61, 6)</f>
        <v>25888.1</v>
      </c>
      <c r="F63" s="86">
        <f>ROUND(SUMIF(RV_DATA!W49:'RV_DATA'!W86, -3533703, RV_DATA!M49:'RV_DATA'!M86), 6)</f>
        <v>1304.76</v>
      </c>
      <c r="G63" s="86">
        <f>ROUND(RV_DATA!N61, 6)</f>
        <v>25888.1</v>
      </c>
      <c r="H63" s="86">
        <f>ROUND(SUMIF(RV_DATA!W49:'RV_DATA'!W86, -3533703, RV_DATA!O49:'RV_DATA'!O86), 6)</f>
        <v>1304.76</v>
      </c>
      <c r="Q63">
        <v>3</v>
      </c>
    </row>
    <row r="64" spans="1:17" ht="14.25" x14ac:dyDescent="0.2">
      <c r="A64" s="85" t="s">
        <v>405</v>
      </c>
      <c r="B64" s="68" t="s">
        <v>407</v>
      </c>
      <c r="C64" s="68" t="s">
        <v>28</v>
      </c>
      <c r="D64" s="69">
        <f>ROUND(SUMIF(RV_DATA!W49:'RV_DATA'!W86, 1819467959, RV_DATA!I49:'RV_DATA'!I86), 6)</f>
        <v>2.1</v>
      </c>
      <c r="E64" s="86">
        <f>ROUND(RV_DATA!K49, 6)</f>
        <v>35.25</v>
      </c>
      <c r="F64" s="86">
        <f>ROUND(SUMIF(RV_DATA!W49:'RV_DATA'!W86, 1819467959, RV_DATA!M49:'RV_DATA'!M86), 6)</f>
        <v>74.03</v>
      </c>
      <c r="G64" s="86">
        <f>ROUND(RV_DATA!N49, 6)</f>
        <v>35.25</v>
      </c>
      <c r="H64" s="86">
        <f>ROUND(SUMIF(RV_DATA!W49:'RV_DATA'!W86, 1819467959, RV_DATA!O49:'RV_DATA'!O86), 6)</f>
        <v>74.03</v>
      </c>
      <c r="Q64">
        <v>3</v>
      </c>
    </row>
    <row r="65" spans="1:17" ht="28.5" x14ac:dyDescent="0.2">
      <c r="A65" s="85" t="s">
        <v>429</v>
      </c>
      <c r="B65" s="68" t="s">
        <v>431</v>
      </c>
      <c r="C65" s="68" t="s">
        <v>298</v>
      </c>
      <c r="D65" s="69">
        <f>ROUND(SUMIF(RV_DATA!W49:'RV_DATA'!W86, 2115870156, RV_DATA!I49:'RV_DATA'!I86), 6)</f>
        <v>4.7039999999999997</v>
      </c>
      <c r="E65" s="86">
        <f>ROUND(RV_DATA!K67, 6)</f>
        <v>12.02</v>
      </c>
      <c r="F65" s="86">
        <f>ROUND(SUMIF(RV_DATA!W49:'RV_DATA'!W86, 2115870156, RV_DATA!M49:'RV_DATA'!M86), 6)</f>
        <v>56.54</v>
      </c>
      <c r="G65" s="86">
        <f>ROUND(RV_DATA!N67, 6)</f>
        <v>12.02</v>
      </c>
      <c r="H65" s="86">
        <f>ROUND(SUMIF(RV_DATA!W49:'RV_DATA'!W86, 2115870156, RV_DATA!O49:'RV_DATA'!O86), 6)</f>
        <v>56.54</v>
      </c>
      <c r="Q65">
        <v>3</v>
      </c>
    </row>
    <row r="66" spans="1:17" ht="14.25" x14ac:dyDescent="0.2">
      <c r="A66" s="85" t="s">
        <v>432</v>
      </c>
      <c r="B66" s="68" t="s">
        <v>434</v>
      </c>
      <c r="C66" s="68" t="s">
        <v>101</v>
      </c>
      <c r="D66" s="69">
        <f>ROUND(SUMIF(RV_DATA!W49:'RV_DATA'!W86, -1513198188, RV_DATA!I49:'RV_DATA'!I86), 6)</f>
        <v>2.6459999999999999E-3</v>
      </c>
      <c r="E66" s="86">
        <f>ROUND(RV_DATA!K66, 6)</f>
        <v>343020.03</v>
      </c>
      <c r="F66" s="86">
        <f>ROUND(SUMIF(RV_DATA!W49:'RV_DATA'!W86, -1513198188, RV_DATA!M49:'RV_DATA'!M86), 6)</f>
        <v>907.63</v>
      </c>
      <c r="G66" s="86">
        <f>ROUND(RV_DATA!N66, 6)</f>
        <v>343020.03</v>
      </c>
      <c r="H66" s="86">
        <f>ROUND(SUMIF(RV_DATA!W49:'RV_DATA'!W86, -1513198188, RV_DATA!O49:'RV_DATA'!O86), 6)</f>
        <v>907.63</v>
      </c>
      <c r="Q66">
        <v>3</v>
      </c>
    </row>
    <row r="67" spans="1:17" ht="28.5" x14ac:dyDescent="0.2">
      <c r="A67" s="85" t="s">
        <v>435</v>
      </c>
      <c r="B67" s="68" t="s">
        <v>437</v>
      </c>
      <c r="C67" s="68" t="s">
        <v>438</v>
      </c>
      <c r="D67" s="69">
        <f>ROUND(SUMIF(RV_DATA!W49:'RV_DATA'!W86, 1650918109, RV_DATA!I49:'RV_DATA'!I86), 6)</f>
        <v>740.88</v>
      </c>
      <c r="E67" s="86">
        <f>ROUND(RV_DATA!K65, 6)</f>
        <v>17.77</v>
      </c>
      <c r="F67" s="86">
        <f>ROUND(SUMIF(RV_DATA!W49:'RV_DATA'!W86, 1650918109, RV_DATA!M49:'RV_DATA'!M86), 6)</f>
        <v>13165.44</v>
      </c>
      <c r="G67" s="86">
        <f>ROUND(RV_DATA!N65, 6)</f>
        <v>17.77</v>
      </c>
      <c r="H67" s="86">
        <f>ROUND(SUMIF(RV_DATA!W49:'RV_DATA'!W86, 1650918109, RV_DATA!O49:'RV_DATA'!O86), 6)</f>
        <v>13165.44</v>
      </c>
      <c r="Q67">
        <v>3</v>
      </c>
    </row>
    <row r="68" spans="1:17" ht="57" x14ac:dyDescent="0.2">
      <c r="A68" s="85" t="s">
        <v>439</v>
      </c>
      <c r="B68" s="68" t="s">
        <v>441</v>
      </c>
      <c r="C68" s="68" t="s">
        <v>438</v>
      </c>
      <c r="D68" s="69">
        <f>ROUND(SUMIF(RV_DATA!W49:'RV_DATA'!W86, 1409483656, RV_DATA!I49:'RV_DATA'!I86), 6)</f>
        <v>238.14</v>
      </c>
      <c r="E68" s="86">
        <f>ROUND(RV_DATA!K64, 6)</f>
        <v>202.34</v>
      </c>
      <c r="F68" s="86">
        <f>ROUND(SUMIF(RV_DATA!W49:'RV_DATA'!W86, 1409483656, RV_DATA!M49:'RV_DATA'!M86), 6)</f>
        <v>48185.25</v>
      </c>
      <c r="G68" s="86">
        <f>ROUND(RV_DATA!N64, 6)</f>
        <v>202.34</v>
      </c>
      <c r="H68" s="86">
        <f>ROUND(SUMIF(RV_DATA!W49:'RV_DATA'!W86, 1409483656, RV_DATA!O49:'RV_DATA'!O86), 6)</f>
        <v>48185.25</v>
      </c>
      <c r="Q68">
        <v>3</v>
      </c>
    </row>
    <row r="69" spans="1:17" ht="28.5" x14ac:dyDescent="0.2">
      <c r="A69" s="85" t="s">
        <v>442</v>
      </c>
      <c r="B69" s="68" t="s">
        <v>444</v>
      </c>
      <c r="C69" s="68" t="s">
        <v>101</v>
      </c>
      <c r="D69" s="69">
        <f>ROUND(SUMIF(RV_DATA!W49:'RV_DATA'!W86, 1055948583, RV_DATA!I49:'RV_DATA'!I86), 6)</f>
        <v>5.2920000000000002E-2</v>
      </c>
      <c r="E69" s="86">
        <f>ROUND(RV_DATA!K63, 6)</f>
        <v>748299.67</v>
      </c>
      <c r="F69" s="86">
        <f>ROUND(SUMIF(RV_DATA!W49:'RV_DATA'!W86, 1055948583, RV_DATA!M49:'RV_DATA'!M86), 6)</f>
        <v>39600.019999999997</v>
      </c>
      <c r="G69" s="86">
        <f>ROUND(RV_DATA!N63, 6)</f>
        <v>748299.67</v>
      </c>
      <c r="H69" s="86">
        <f>ROUND(SUMIF(RV_DATA!W49:'RV_DATA'!W86, 1055948583, RV_DATA!O49:'RV_DATA'!O86), 6)</f>
        <v>39600.019999999997</v>
      </c>
      <c r="Q69">
        <v>3</v>
      </c>
    </row>
    <row r="70" spans="1:17" ht="57" x14ac:dyDescent="0.2">
      <c r="A70" s="85" t="s">
        <v>448</v>
      </c>
      <c r="B70" s="68" t="s">
        <v>450</v>
      </c>
      <c r="C70" s="68" t="s">
        <v>28</v>
      </c>
      <c r="D70" s="69">
        <f>ROUND(SUMIF(RV_DATA!W49:'RV_DATA'!W86, -1406457179, RV_DATA!I49:'RV_DATA'!I86), 6)</f>
        <v>1.5824</v>
      </c>
      <c r="E70" s="86">
        <f>ROUND(RV_DATA!K79, 6)</f>
        <v>3714.73</v>
      </c>
      <c r="F70" s="86">
        <f>ROUND(SUMIF(RV_DATA!W49:'RV_DATA'!W86, -1406457179, RV_DATA!M49:'RV_DATA'!M86), 6)</f>
        <v>5878.19</v>
      </c>
      <c r="G70" s="86">
        <f>ROUND(RV_DATA!N79, 6)</f>
        <v>3714.73</v>
      </c>
      <c r="H70" s="86">
        <f>ROUND(SUMIF(RV_DATA!W49:'RV_DATA'!W86, -1406457179, RV_DATA!O49:'RV_DATA'!O86), 6)</f>
        <v>5878.19</v>
      </c>
      <c r="Q70">
        <v>3</v>
      </c>
    </row>
    <row r="71" spans="1:17" ht="14.25" x14ac:dyDescent="0.2">
      <c r="A71" s="85" t="s">
        <v>457</v>
      </c>
      <c r="B71" s="68" t="s">
        <v>459</v>
      </c>
      <c r="C71" s="68" t="s">
        <v>28</v>
      </c>
      <c r="D71" s="69">
        <f>ROUND(SUMIF(RV_DATA!W49:'RV_DATA'!W86, 809277097, RV_DATA!I49:'RV_DATA'!I86), 6)</f>
        <v>7.5000000000000002E-4</v>
      </c>
      <c r="E71" s="86">
        <f>ROUND(RV_DATA!K81, 6)</f>
        <v>3323.4</v>
      </c>
      <c r="F71" s="86">
        <f>ROUND(SUMIF(RV_DATA!W49:'RV_DATA'!W86, 809277097, RV_DATA!M49:'RV_DATA'!M86), 6)</f>
        <v>2.4900000000000002</v>
      </c>
      <c r="G71" s="86">
        <f>ROUND(RV_DATA!N81, 6)</f>
        <v>3323.4</v>
      </c>
      <c r="H71" s="86">
        <f>ROUND(SUMIF(RV_DATA!W49:'RV_DATA'!W86, 809277097, RV_DATA!O49:'RV_DATA'!O86), 6)</f>
        <v>2.4900000000000002</v>
      </c>
      <c r="Q71">
        <v>3</v>
      </c>
    </row>
    <row r="72" spans="1:17" ht="14.25" x14ac:dyDescent="0.2">
      <c r="A72" s="85" t="s">
        <v>451</v>
      </c>
      <c r="B72" s="68" t="s">
        <v>453</v>
      </c>
      <c r="C72" s="68" t="s">
        <v>28</v>
      </c>
      <c r="D72" s="69">
        <f>ROUND(SUMIF(RV_DATA!W49:'RV_DATA'!W86, 761304375, RV_DATA!I49:'RV_DATA'!I86), 6)</f>
        <v>7.3600000000000002E-3</v>
      </c>
      <c r="E72" s="86">
        <f>ROUND(RV_DATA!K78, 6)</f>
        <v>3392.59</v>
      </c>
      <c r="F72" s="86">
        <f>ROUND(SUMIF(RV_DATA!W49:'RV_DATA'!W86, 761304375, RV_DATA!M49:'RV_DATA'!M86), 6)</f>
        <v>24.97</v>
      </c>
      <c r="G72" s="86">
        <f>ROUND(RV_DATA!N78, 6)</f>
        <v>3392.59</v>
      </c>
      <c r="H72" s="86">
        <f>ROUND(SUMIF(RV_DATA!W49:'RV_DATA'!W86, 761304375, RV_DATA!O49:'RV_DATA'!O86), 6)</f>
        <v>24.97</v>
      </c>
      <c r="Q72">
        <v>3</v>
      </c>
    </row>
    <row r="73" spans="1:17" ht="28.5" x14ac:dyDescent="0.2">
      <c r="A73" s="85" t="s">
        <v>414</v>
      </c>
      <c r="B73" s="68" t="s">
        <v>416</v>
      </c>
      <c r="C73" s="68" t="s">
        <v>101</v>
      </c>
      <c r="D73" s="69">
        <f>ROUND(SUMIF(RV_DATA!W49:'RV_DATA'!W86, -1328752311, RV_DATA!I49:'RV_DATA'!I86), 6)</f>
        <v>5.9976000000000003</v>
      </c>
      <c r="E73" s="86">
        <f>ROUND(RV_DATA!K60, 6)</f>
        <v>2652.04</v>
      </c>
      <c r="F73" s="86">
        <f>ROUND(SUMIF(RV_DATA!W49:'RV_DATA'!W86, -1328752311, RV_DATA!M49:'RV_DATA'!M86), 6)</f>
        <v>15905.88</v>
      </c>
      <c r="G73" s="86">
        <f>ROUND(RV_DATA!N60, 6)</f>
        <v>2652.04</v>
      </c>
      <c r="H73" s="86">
        <f>ROUND(SUMIF(RV_DATA!W49:'RV_DATA'!W86, -1328752311, RV_DATA!O49:'RV_DATA'!O86), 6)</f>
        <v>15905.88</v>
      </c>
      <c r="Q73">
        <v>3</v>
      </c>
    </row>
    <row r="74" spans="1:17" ht="28.5" x14ac:dyDescent="0.2">
      <c r="A74" s="85" t="s">
        <v>454</v>
      </c>
      <c r="B74" s="68" t="s">
        <v>456</v>
      </c>
      <c r="C74" s="68" t="s">
        <v>28</v>
      </c>
      <c r="D74" s="69">
        <f>ROUND(SUMIF(RV_DATA!W49:'RV_DATA'!W86, -418158513, RV_DATA!I49:'RV_DATA'!I86), 6)</f>
        <v>0.58879999999999999</v>
      </c>
      <c r="E74" s="86">
        <f>ROUND(RV_DATA!K77, 6)</f>
        <v>11566.57</v>
      </c>
      <c r="F74" s="86">
        <f>ROUND(SUMIF(RV_DATA!W49:'RV_DATA'!W86, -418158513, RV_DATA!M49:'RV_DATA'!M86), 6)</f>
        <v>6810.4</v>
      </c>
      <c r="G74" s="86">
        <f>ROUND(RV_DATA!N77, 6)</f>
        <v>11566.57</v>
      </c>
      <c r="H74" s="86">
        <f>ROUND(SUMIF(RV_DATA!W49:'RV_DATA'!W86, -418158513, RV_DATA!O49:'RV_DATA'!O86), 6)</f>
        <v>6810.4</v>
      </c>
      <c r="Q74">
        <v>3</v>
      </c>
    </row>
    <row r="75" spans="1:17" ht="85.5" x14ac:dyDescent="0.2">
      <c r="A75" s="85" t="s">
        <v>104</v>
      </c>
      <c r="B75" s="68" t="s">
        <v>105</v>
      </c>
      <c r="C75" s="68" t="s">
        <v>106</v>
      </c>
      <c r="D75" s="69">
        <f>ROUND(SUMIF(RV_DATA!W49:'RV_DATA'!W86, 1338406588, RV_DATA!I49:'RV_DATA'!I86), 6)</f>
        <v>1</v>
      </c>
      <c r="E75" s="86">
        <f>ROUND(RV_DATA!K82, 6)</f>
        <v>17250</v>
      </c>
      <c r="F75" s="86">
        <f>ROUND(SUMIF(RV_DATA!W49:'RV_DATA'!W86, 1338406588, RV_DATA!M49:'RV_DATA'!M86), 6)</f>
        <v>17250</v>
      </c>
      <c r="G75" s="86">
        <f>ROUND(RV_DATA!N82, 6)</f>
        <v>17250</v>
      </c>
      <c r="H75" s="86">
        <f>ROUND(SUMIF(RV_DATA!W49:'RV_DATA'!W86, 1338406588, RV_DATA!O49:'RV_DATA'!O86), 6)</f>
        <v>17250</v>
      </c>
      <c r="Q75">
        <v>3</v>
      </c>
    </row>
    <row r="76" spans="1:17" ht="85.5" x14ac:dyDescent="0.2">
      <c r="A76" s="85" t="s">
        <v>104</v>
      </c>
      <c r="B76" s="68" t="s">
        <v>200</v>
      </c>
      <c r="C76" s="68" t="s">
        <v>106</v>
      </c>
      <c r="D76" s="69">
        <f>ROUND(SUMIF(RV_DATA!W49:'RV_DATA'!W86, -1016610539, RV_DATA!I49:'RV_DATA'!I86), 6)</f>
        <v>1</v>
      </c>
      <c r="E76" s="86">
        <f>ROUND(RV_DATA!K83, 6)</f>
        <v>43083.33</v>
      </c>
      <c r="F76" s="86">
        <f>ROUND(SUMIF(RV_DATA!W49:'RV_DATA'!W86, -1016610539, RV_DATA!M49:'RV_DATA'!M86), 6)</f>
        <v>43083.33</v>
      </c>
      <c r="G76" s="86">
        <f>ROUND(RV_DATA!N83, 6)</f>
        <v>43083.33</v>
      </c>
      <c r="H76" s="86">
        <f>ROUND(SUMIF(RV_DATA!W49:'RV_DATA'!W86, -1016610539, RV_DATA!O49:'RV_DATA'!O86), 6)</f>
        <v>43083.33</v>
      </c>
      <c r="Q76">
        <v>3</v>
      </c>
    </row>
    <row r="77" spans="1:17" ht="85.5" x14ac:dyDescent="0.2">
      <c r="A77" s="85" t="s">
        <v>104</v>
      </c>
      <c r="B77" s="68" t="s">
        <v>203</v>
      </c>
      <c r="C77" s="68" t="s">
        <v>106</v>
      </c>
      <c r="D77" s="69">
        <f>ROUND(SUMIF(RV_DATA!W49:'RV_DATA'!W86, -520045571, RV_DATA!I49:'RV_DATA'!I86), 6)</f>
        <v>1</v>
      </c>
      <c r="E77" s="86">
        <f>ROUND(RV_DATA!K84, 6)</f>
        <v>40166.67</v>
      </c>
      <c r="F77" s="86">
        <f>ROUND(SUMIF(RV_DATA!W49:'RV_DATA'!W86, -520045571, RV_DATA!M49:'RV_DATA'!M86), 6)</f>
        <v>40166.67</v>
      </c>
      <c r="G77" s="86">
        <f>ROUND(RV_DATA!N84, 6)</f>
        <v>40166.67</v>
      </c>
      <c r="H77" s="86">
        <f>ROUND(SUMIF(RV_DATA!W49:'RV_DATA'!W86, -520045571, RV_DATA!O49:'RV_DATA'!O86), 6)</f>
        <v>40166.67</v>
      </c>
      <c r="Q77">
        <v>3</v>
      </c>
    </row>
    <row r="78" spans="1:17" ht="99.75" x14ac:dyDescent="0.2">
      <c r="A78" s="85" t="s">
        <v>104</v>
      </c>
      <c r="B78" s="68" t="s">
        <v>206</v>
      </c>
      <c r="C78" s="68" t="s">
        <v>106</v>
      </c>
      <c r="D78" s="69">
        <f>ROUND(SUMIF(RV_DATA!W49:'RV_DATA'!W86, -82390964, RV_DATA!I49:'RV_DATA'!I86), 6)</f>
        <v>1</v>
      </c>
      <c r="E78" s="86">
        <f>ROUND(RV_DATA!K85, 6)</f>
        <v>48916.67</v>
      </c>
      <c r="F78" s="86">
        <f>ROUND(SUMIF(RV_DATA!W49:'RV_DATA'!W86, -82390964, RV_DATA!M49:'RV_DATA'!M86), 6)</f>
        <v>48916.67</v>
      </c>
      <c r="G78" s="86">
        <f>ROUND(RV_DATA!N85, 6)</f>
        <v>48916.67</v>
      </c>
      <c r="H78" s="86">
        <f>ROUND(SUMIF(RV_DATA!W49:'RV_DATA'!W86, -82390964, RV_DATA!O49:'RV_DATA'!O86), 6)</f>
        <v>48916.67</v>
      </c>
      <c r="Q78">
        <v>3</v>
      </c>
    </row>
    <row r="79" spans="1:17" ht="71.25" x14ac:dyDescent="0.2">
      <c r="A79" s="85" t="s">
        <v>104</v>
      </c>
      <c r="B79" s="68" t="s">
        <v>209</v>
      </c>
      <c r="C79" s="68" t="s">
        <v>106</v>
      </c>
      <c r="D79" s="69">
        <f>ROUND(SUMIF(RV_DATA!W49:'RV_DATA'!W86, 727427344, RV_DATA!I49:'RV_DATA'!I86), 6)</f>
        <v>1</v>
      </c>
      <c r="E79" s="86">
        <f>ROUND(RV_DATA!K86, 6)</f>
        <v>10833.33</v>
      </c>
      <c r="F79" s="86">
        <f>ROUND(SUMIF(RV_DATA!W49:'RV_DATA'!W86, 727427344, RV_DATA!M49:'RV_DATA'!M86), 6)</f>
        <v>10833.33</v>
      </c>
      <c r="G79" s="86">
        <f>ROUND(RV_DATA!N86, 6)</f>
        <v>10833.33</v>
      </c>
      <c r="H79" s="86">
        <f>ROUND(SUMIF(RV_DATA!W49:'RV_DATA'!W86, 727427344, RV_DATA!O49:'RV_DATA'!O86), 6)</f>
        <v>10833.33</v>
      </c>
      <c r="Q79">
        <v>3</v>
      </c>
    </row>
    <row r="80" spans="1:17" ht="15" x14ac:dyDescent="0.25">
      <c r="A80" s="87" t="s">
        <v>628</v>
      </c>
      <c r="B80" s="87"/>
      <c r="C80" s="87"/>
      <c r="D80" s="87"/>
      <c r="E80" s="88">
        <f>SUMIF(Q61:Q79, 3, F61:F79)</f>
        <v>323403.37999999995</v>
      </c>
      <c r="F80" s="88"/>
      <c r="G80" s="88">
        <f>SUMIF(Q61:Q79, 3, H61:H79)</f>
        <v>323403.37999999995</v>
      </c>
      <c r="H80" s="87"/>
    </row>
    <row r="81" spans="1:17" ht="16.5" x14ac:dyDescent="0.2">
      <c r="A81" s="75" t="str">
        <f>CONCATENATE("Подраздел: ",IF(Source!G149&lt;&gt;"Новый подраздел", Source!G149, ""))</f>
        <v>Подраздел: Игровая площадка группы № 11</v>
      </c>
      <c r="B81" s="76"/>
      <c r="C81" s="76"/>
      <c r="D81" s="76"/>
      <c r="E81" s="76"/>
      <c r="F81" s="76"/>
      <c r="G81" s="76"/>
      <c r="H81" s="76"/>
    </row>
    <row r="82" spans="1:17" ht="14.25" x14ac:dyDescent="0.2">
      <c r="A82" s="83" t="s">
        <v>625</v>
      </c>
      <c r="B82" s="84"/>
      <c r="C82" s="84"/>
      <c r="D82" s="84"/>
      <c r="E82" s="84"/>
      <c r="F82" s="84"/>
      <c r="G82" s="84"/>
      <c r="H82" s="84"/>
    </row>
    <row r="83" spans="1:17" ht="42.75" x14ac:dyDescent="0.2">
      <c r="A83" s="85" t="s">
        <v>417</v>
      </c>
      <c r="B83" s="68" t="s">
        <v>419</v>
      </c>
      <c r="C83" s="68" t="s">
        <v>84</v>
      </c>
      <c r="D83" s="69">
        <f>ROUND(SUMIF(RV_DATA!W88:'RV_DATA'!W123, 904665643, RV_DATA!I88:'RV_DATA'!I123), 6)</f>
        <v>3.2128480000000001</v>
      </c>
      <c r="E83" s="86">
        <f>ROUND(RV_DATA!K110, 6)</f>
        <v>531.41</v>
      </c>
      <c r="F83" s="86">
        <f>ROUND(SUMIF(RV_DATA!W88:'RV_DATA'!W123, 904665643, RV_DATA!M88:'RV_DATA'!M123), 6)</f>
        <v>1707.34</v>
      </c>
      <c r="G83" s="86">
        <f>ROUND(RV_DATA!N110, 6)</f>
        <v>531.41</v>
      </c>
      <c r="H83" s="86">
        <f>ROUND(SUMIF(RV_DATA!W88:'RV_DATA'!W123, 904665643, RV_DATA!O88:'RV_DATA'!O123), 6)</f>
        <v>1707.34</v>
      </c>
      <c r="Q83">
        <v>2</v>
      </c>
    </row>
    <row r="84" spans="1:17" ht="28.5" x14ac:dyDescent="0.2">
      <c r="A84" s="85" t="s">
        <v>387</v>
      </c>
      <c r="B84" s="68" t="s">
        <v>389</v>
      </c>
      <c r="C84" s="68" t="s">
        <v>84</v>
      </c>
      <c r="D84" s="69">
        <f>ROUND(SUMIF(RV_DATA!W88:'RV_DATA'!W123, -202122669, RV_DATA!I88:'RV_DATA'!I123), 6)</f>
        <v>0.214864</v>
      </c>
      <c r="E84" s="86">
        <f>ROUND(RV_DATA!K94, 6)</f>
        <v>740.94</v>
      </c>
      <c r="F84" s="86">
        <f>ROUND(SUMIF(RV_DATA!W88:'RV_DATA'!W123, -202122669, RV_DATA!M88:'RV_DATA'!M123), 6)</f>
        <v>159.19999999999999</v>
      </c>
      <c r="G84" s="86">
        <f>ROUND(RV_DATA!N94, 6)</f>
        <v>740.94</v>
      </c>
      <c r="H84" s="86">
        <f>ROUND(SUMIF(RV_DATA!W88:'RV_DATA'!W123, -202122669, RV_DATA!O88:'RV_DATA'!O123), 6)</f>
        <v>159.19999999999999</v>
      </c>
      <c r="Q84">
        <v>2</v>
      </c>
    </row>
    <row r="85" spans="1:17" ht="28.5" x14ac:dyDescent="0.2">
      <c r="A85" s="85" t="s">
        <v>420</v>
      </c>
      <c r="B85" s="68" t="s">
        <v>422</v>
      </c>
      <c r="C85" s="68" t="s">
        <v>84</v>
      </c>
      <c r="D85" s="69">
        <f>ROUND(SUMIF(RV_DATA!W88:'RV_DATA'!W123, 83762966, RV_DATA!I88:'RV_DATA'!I123), 6)</f>
        <v>1.207376</v>
      </c>
      <c r="E85" s="86">
        <f>ROUND(RV_DATA!K109, 6)</f>
        <v>7.44</v>
      </c>
      <c r="F85" s="86">
        <f>ROUND(SUMIF(RV_DATA!W88:'RV_DATA'!W123, 83762966, RV_DATA!M88:'RV_DATA'!M123), 6)</f>
        <v>8.98</v>
      </c>
      <c r="G85" s="86">
        <f>ROUND(RV_DATA!N109, 6)</f>
        <v>7.44</v>
      </c>
      <c r="H85" s="86">
        <f>ROUND(SUMIF(RV_DATA!W88:'RV_DATA'!W123, 83762966, RV_DATA!O88:'RV_DATA'!O123), 6)</f>
        <v>8.98</v>
      </c>
      <c r="Q85">
        <v>2</v>
      </c>
    </row>
    <row r="86" spans="1:17" ht="28.5" x14ac:dyDescent="0.2">
      <c r="A86" s="85" t="s">
        <v>445</v>
      </c>
      <c r="B86" s="68" t="s">
        <v>447</v>
      </c>
      <c r="C86" s="68" t="s">
        <v>84</v>
      </c>
      <c r="D86" s="69">
        <f>ROUND(SUMIF(RV_DATA!W88:'RV_DATA'!W123, -926712809, RV_DATA!I88:'RV_DATA'!I123), 6)</f>
        <v>0.112372</v>
      </c>
      <c r="E86" s="86">
        <f>ROUND(RV_DATA!K119, 6)</f>
        <v>683.9</v>
      </c>
      <c r="F86" s="86">
        <f>ROUND(SUMIF(RV_DATA!W88:'RV_DATA'!W123, -926712809, RV_DATA!M88:'RV_DATA'!M123), 6)</f>
        <v>76.849999999999994</v>
      </c>
      <c r="G86" s="86">
        <f>ROUND(RV_DATA!N119, 6)</f>
        <v>683.9</v>
      </c>
      <c r="H86" s="86">
        <f>ROUND(SUMIF(RV_DATA!W88:'RV_DATA'!W123, -926712809, RV_DATA!O88:'RV_DATA'!O123), 6)</f>
        <v>76.849999999999994</v>
      </c>
      <c r="Q86">
        <v>2</v>
      </c>
    </row>
    <row r="87" spans="1:17" ht="28.5" x14ac:dyDescent="0.2">
      <c r="A87" s="85" t="s">
        <v>423</v>
      </c>
      <c r="B87" s="68" t="s">
        <v>425</v>
      </c>
      <c r="C87" s="68" t="s">
        <v>84</v>
      </c>
      <c r="D87" s="69">
        <f>ROUND(SUMIF(RV_DATA!W88:'RV_DATA'!W123, 1460056643, RV_DATA!I88:'RV_DATA'!I123), 6)</f>
        <v>1.0232E-2</v>
      </c>
      <c r="E87" s="86">
        <f>ROUND(RV_DATA!K108, 6)</f>
        <v>616.73</v>
      </c>
      <c r="F87" s="86">
        <f>ROUND(SUMIF(RV_DATA!W88:'RV_DATA'!W123, 1460056643, RV_DATA!M88:'RV_DATA'!M123), 6)</f>
        <v>6.31</v>
      </c>
      <c r="G87" s="86">
        <f>ROUND(RV_DATA!N108, 6)</f>
        <v>616.73</v>
      </c>
      <c r="H87" s="86">
        <f>ROUND(SUMIF(RV_DATA!W88:'RV_DATA'!W123, 1460056643, RV_DATA!O88:'RV_DATA'!O123), 6)</f>
        <v>6.31</v>
      </c>
      <c r="Q87">
        <v>2</v>
      </c>
    </row>
    <row r="88" spans="1:17" ht="28.5" x14ac:dyDescent="0.2">
      <c r="A88" s="85" t="s">
        <v>390</v>
      </c>
      <c r="B88" s="68" t="s">
        <v>392</v>
      </c>
      <c r="C88" s="68" t="s">
        <v>84</v>
      </c>
      <c r="D88" s="69">
        <f>ROUND(SUMIF(RV_DATA!W88:'RV_DATA'!W123, -180512758, RV_DATA!I88:'RV_DATA'!I123), 6)</f>
        <v>0.214864</v>
      </c>
      <c r="E88" s="86">
        <f>ROUND(RV_DATA!K93, 6)</f>
        <v>430.32</v>
      </c>
      <c r="F88" s="86">
        <f>ROUND(SUMIF(RV_DATA!W88:'RV_DATA'!W123, -180512758, RV_DATA!M88:'RV_DATA'!M123), 6)</f>
        <v>92.46</v>
      </c>
      <c r="G88" s="86">
        <f>ROUND(RV_DATA!N93, 6)</f>
        <v>430.32</v>
      </c>
      <c r="H88" s="86">
        <f>ROUND(SUMIF(RV_DATA!W88:'RV_DATA'!W123, -180512758, RV_DATA!O88:'RV_DATA'!O123), 6)</f>
        <v>92.46</v>
      </c>
      <c r="Q88">
        <v>2</v>
      </c>
    </row>
    <row r="89" spans="1:17" ht="28.5" x14ac:dyDescent="0.2">
      <c r="A89" s="85" t="s">
        <v>393</v>
      </c>
      <c r="B89" s="68" t="s">
        <v>395</v>
      </c>
      <c r="C89" s="68" t="s">
        <v>84</v>
      </c>
      <c r="D89" s="69">
        <f>ROUND(SUMIF(RV_DATA!W88:'RV_DATA'!W123, -1269477455, RV_DATA!I88:'RV_DATA'!I123), 6)</f>
        <v>0.687361</v>
      </c>
      <c r="E89" s="86">
        <f>ROUND(RV_DATA!K92, 6)</f>
        <v>2020.59</v>
      </c>
      <c r="F89" s="86">
        <f>ROUND(SUMIF(RV_DATA!W88:'RV_DATA'!W123, -1269477455, RV_DATA!M88:'RV_DATA'!M123), 6)</f>
        <v>1388.88</v>
      </c>
      <c r="G89" s="86">
        <f>ROUND(RV_DATA!N92, 6)</f>
        <v>2020.59</v>
      </c>
      <c r="H89" s="86">
        <f>ROUND(SUMIF(RV_DATA!W88:'RV_DATA'!W123, -1269477455, RV_DATA!O88:'RV_DATA'!O123), 6)</f>
        <v>1388.88</v>
      </c>
      <c r="Q89">
        <v>2</v>
      </c>
    </row>
    <row r="90" spans="1:17" ht="28.5" x14ac:dyDescent="0.2">
      <c r="A90" s="85" t="s">
        <v>408</v>
      </c>
      <c r="B90" s="68" t="s">
        <v>410</v>
      </c>
      <c r="C90" s="68" t="s">
        <v>84</v>
      </c>
      <c r="D90" s="69">
        <f>ROUND(SUMIF(RV_DATA!W88:'RV_DATA'!W123, -1074879534, RV_DATA!I88:'RV_DATA'!I123), 6)</f>
        <v>2.5682320000000001</v>
      </c>
      <c r="E90" s="86">
        <f>ROUND(RV_DATA!K96, 6)</f>
        <v>1261.8699999999999</v>
      </c>
      <c r="F90" s="86">
        <f>ROUND(SUMIF(RV_DATA!W88:'RV_DATA'!W123, -1074879534, RV_DATA!M88:'RV_DATA'!M123), 6)</f>
        <v>3240.77</v>
      </c>
      <c r="G90" s="86">
        <f>ROUND(RV_DATA!N96, 6)</f>
        <v>1261.8699999999999</v>
      </c>
      <c r="H90" s="86">
        <f>ROUND(SUMIF(RV_DATA!W88:'RV_DATA'!W123, -1074879534, RV_DATA!O88:'RV_DATA'!O123), 6)</f>
        <v>3240.77</v>
      </c>
      <c r="Q90">
        <v>2</v>
      </c>
    </row>
    <row r="91" spans="1:17" ht="28.5" x14ac:dyDescent="0.2">
      <c r="A91" s="85" t="s">
        <v>396</v>
      </c>
      <c r="B91" s="68" t="s">
        <v>398</v>
      </c>
      <c r="C91" s="68" t="s">
        <v>84</v>
      </c>
      <c r="D91" s="69">
        <f>ROUND(SUMIF(RV_DATA!W88:'RV_DATA'!W123, 38483568, RV_DATA!I88:'RV_DATA'!I123), 6)</f>
        <v>0.200402</v>
      </c>
      <c r="E91" s="86">
        <f>ROUND(RV_DATA!K91, 6)</f>
        <v>1412.71</v>
      </c>
      <c r="F91" s="86">
        <f>ROUND(SUMIF(RV_DATA!W88:'RV_DATA'!W123, 38483568, RV_DATA!M88:'RV_DATA'!M123), 6)</f>
        <v>283.11</v>
      </c>
      <c r="G91" s="86">
        <f>ROUND(RV_DATA!N91, 6)</f>
        <v>1412.71</v>
      </c>
      <c r="H91" s="86">
        <f>ROUND(SUMIF(RV_DATA!W88:'RV_DATA'!W123, 38483568, RV_DATA!O88:'RV_DATA'!O123), 6)</f>
        <v>283.11</v>
      </c>
      <c r="Q91">
        <v>2</v>
      </c>
    </row>
    <row r="92" spans="1:17" ht="28.5" x14ac:dyDescent="0.2">
      <c r="A92" s="85" t="s">
        <v>399</v>
      </c>
      <c r="B92" s="68" t="s">
        <v>401</v>
      </c>
      <c r="C92" s="68" t="s">
        <v>84</v>
      </c>
      <c r="D92" s="69">
        <f>ROUND(SUMIF(RV_DATA!W88:'RV_DATA'!W123, -362114551, RV_DATA!I88:'RV_DATA'!I123), 6)</f>
        <v>6.7144999999999996E-2</v>
      </c>
      <c r="E92" s="86">
        <f>ROUND(RV_DATA!K90, 6)</f>
        <v>1213.3399999999999</v>
      </c>
      <c r="F92" s="86">
        <f>ROUND(SUMIF(RV_DATA!W88:'RV_DATA'!W123, -362114551, RV_DATA!M88:'RV_DATA'!M123), 6)</f>
        <v>81.47</v>
      </c>
      <c r="G92" s="86">
        <f>ROUND(RV_DATA!N90, 6)</f>
        <v>1213.3399999999999</v>
      </c>
      <c r="H92" s="86">
        <f>ROUND(SUMIF(RV_DATA!W88:'RV_DATA'!W123, -362114551, RV_DATA!O88:'RV_DATA'!O123), 6)</f>
        <v>81.47</v>
      </c>
      <c r="Q92">
        <v>2</v>
      </c>
    </row>
    <row r="93" spans="1:17" ht="28.5" x14ac:dyDescent="0.2">
      <c r="A93" s="85" t="s">
        <v>426</v>
      </c>
      <c r="B93" s="68" t="s">
        <v>428</v>
      </c>
      <c r="C93" s="68" t="s">
        <v>84</v>
      </c>
      <c r="D93" s="69">
        <f>ROUND(SUMIF(RV_DATA!W88:'RV_DATA'!W123, -1650330276, RV_DATA!I88:'RV_DATA'!I123), 6)</f>
        <v>3.2128480000000001</v>
      </c>
      <c r="E93" s="86">
        <f>ROUND(RV_DATA!K107, 6)</f>
        <v>454.31</v>
      </c>
      <c r="F93" s="86">
        <f>ROUND(SUMIF(RV_DATA!W88:'RV_DATA'!W123, -1650330276, RV_DATA!M88:'RV_DATA'!M123), 6)</f>
        <v>1459.64</v>
      </c>
      <c r="G93" s="86">
        <f>ROUND(RV_DATA!N107, 6)</f>
        <v>454.31</v>
      </c>
      <c r="H93" s="86">
        <f>ROUND(SUMIF(RV_DATA!W88:'RV_DATA'!W123, -1650330276, RV_DATA!O88:'RV_DATA'!O123), 6)</f>
        <v>1459.64</v>
      </c>
      <c r="Q93">
        <v>2</v>
      </c>
    </row>
    <row r="94" spans="1:17" ht="15" x14ac:dyDescent="0.25">
      <c r="A94" s="87" t="s">
        <v>626</v>
      </c>
      <c r="B94" s="87"/>
      <c r="C94" s="87"/>
      <c r="D94" s="87"/>
      <c r="E94" s="88">
        <f>SUMIF(Q83:Q93, 2, F83:F93)</f>
        <v>8505.01</v>
      </c>
      <c r="F94" s="88"/>
      <c r="G94" s="88">
        <f>SUMIF(Q83:Q93, 2, H83:H93)</f>
        <v>8505.01</v>
      </c>
      <c r="H94" s="87"/>
    </row>
    <row r="95" spans="1:17" ht="14.25" x14ac:dyDescent="0.2">
      <c r="A95" s="83" t="s">
        <v>627</v>
      </c>
      <c r="B95" s="84"/>
      <c r="C95" s="84"/>
      <c r="D95" s="84"/>
      <c r="E95" s="84"/>
      <c r="F95" s="84"/>
      <c r="G95" s="84"/>
      <c r="H95" s="84"/>
    </row>
    <row r="96" spans="1:17" ht="14.25" x14ac:dyDescent="0.2">
      <c r="A96" s="85" t="s">
        <v>402</v>
      </c>
      <c r="B96" s="68" t="s">
        <v>404</v>
      </c>
      <c r="C96" s="68" t="s">
        <v>28</v>
      </c>
      <c r="D96" s="69">
        <f>ROUND(SUMIF(RV_DATA!W88:'RV_DATA'!W123, 445372051, RV_DATA!I88:'RV_DATA'!I123), 6)</f>
        <v>11.363</v>
      </c>
      <c r="E96" s="86">
        <f>ROUND(RV_DATA!K89, 6)</f>
        <v>590.78</v>
      </c>
      <c r="F96" s="86">
        <f>ROUND(SUMIF(RV_DATA!W88:'RV_DATA'!W123, 445372051, RV_DATA!M88:'RV_DATA'!M123), 6)</f>
        <v>6713.03</v>
      </c>
      <c r="G96" s="86">
        <f>ROUND(RV_DATA!N89, 6)</f>
        <v>590.78</v>
      </c>
      <c r="H96" s="86">
        <f>ROUND(SUMIF(RV_DATA!W88:'RV_DATA'!W123, 445372051, RV_DATA!O88:'RV_DATA'!O123), 6)</f>
        <v>6713.03</v>
      </c>
      <c r="Q96">
        <v>3</v>
      </c>
    </row>
    <row r="97" spans="1:17" ht="42.75" x14ac:dyDescent="0.2">
      <c r="A97" s="85" t="s">
        <v>41</v>
      </c>
      <c r="B97" s="68" t="s">
        <v>42</v>
      </c>
      <c r="C97" s="68" t="s">
        <v>28</v>
      </c>
      <c r="D97" s="69">
        <f>ROUND(SUMIF(RV_DATA!W88:'RV_DATA'!W123, 345930550, RV_DATA!I88:'RV_DATA'!I123), 6)</f>
        <v>17.80368</v>
      </c>
      <c r="E97" s="86">
        <f>ROUND(RV_DATA!K98, 6)</f>
        <v>1763.75</v>
      </c>
      <c r="F97" s="86">
        <f>ROUND(SUMIF(RV_DATA!W88:'RV_DATA'!W123, 345930550, RV_DATA!M88:'RV_DATA'!M123), 6)</f>
        <v>31401.24</v>
      </c>
      <c r="G97" s="86">
        <f>ROUND(RV_DATA!N98, 6)</f>
        <v>1763.75</v>
      </c>
      <c r="H97" s="86">
        <f>ROUND(SUMIF(RV_DATA!W88:'RV_DATA'!W123, 345930550, RV_DATA!O88:'RV_DATA'!O123), 6)</f>
        <v>31401.24</v>
      </c>
      <c r="Q97">
        <v>3</v>
      </c>
    </row>
    <row r="98" spans="1:17" ht="28.5" x14ac:dyDescent="0.2">
      <c r="A98" s="85" t="s">
        <v>411</v>
      </c>
      <c r="B98" s="68" t="s">
        <v>413</v>
      </c>
      <c r="C98" s="68" t="s">
        <v>101</v>
      </c>
      <c r="D98" s="69">
        <f>ROUND(SUMIF(RV_DATA!W88:'RV_DATA'!W123, -3533703, RV_DATA!I88:'RV_DATA'!I123), 6)</f>
        <v>6.1392000000000002E-2</v>
      </c>
      <c r="E98" s="86">
        <f>ROUND(RV_DATA!K100, 6)</f>
        <v>25888.1</v>
      </c>
      <c r="F98" s="86">
        <f>ROUND(SUMIF(RV_DATA!W88:'RV_DATA'!W123, -3533703, RV_DATA!M88:'RV_DATA'!M123), 6)</f>
        <v>1589.33</v>
      </c>
      <c r="G98" s="86">
        <f>ROUND(RV_DATA!N100, 6)</f>
        <v>25888.1</v>
      </c>
      <c r="H98" s="86">
        <f>ROUND(SUMIF(RV_DATA!W88:'RV_DATA'!W123, -3533703, RV_DATA!O88:'RV_DATA'!O123), 6)</f>
        <v>1589.33</v>
      </c>
      <c r="Q98">
        <v>3</v>
      </c>
    </row>
    <row r="99" spans="1:17" ht="14.25" x14ac:dyDescent="0.2">
      <c r="A99" s="85" t="s">
        <v>405</v>
      </c>
      <c r="B99" s="68" t="s">
        <v>407</v>
      </c>
      <c r="C99" s="68" t="s">
        <v>28</v>
      </c>
      <c r="D99" s="69">
        <f>ROUND(SUMIF(RV_DATA!W88:'RV_DATA'!W123, 1819467959, RV_DATA!I88:'RV_DATA'!I123), 6)</f>
        <v>2.5629</v>
      </c>
      <c r="E99" s="86">
        <f>ROUND(RV_DATA!K88, 6)</f>
        <v>35.25</v>
      </c>
      <c r="F99" s="86">
        <f>ROUND(SUMIF(RV_DATA!W88:'RV_DATA'!W123, 1819467959, RV_DATA!M88:'RV_DATA'!M123), 6)</f>
        <v>90.35</v>
      </c>
      <c r="G99" s="86">
        <f>ROUND(RV_DATA!N88, 6)</f>
        <v>35.25</v>
      </c>
      <c r="H99" s="86">
        <f>ROUND(SUMIF(RV_DATA!W88:'RV_DATA'!W123, 1819467959, RV_DATA!O88:'RV_DATA'!O123), 6)</f>
        <v>90.35</v>
      </c>
      <c r="Q99">
        <v>3</v>
      </c>
    </row>
    <row r="100" spans="1:17" ht="28.5" x14ac:dyDescent="0.2">
      <c r="A100" s="85" t="s">
        <v>429</v>
      </c>
      <c r="B100" s="68" t="s">
        <v>431</v>
      </c>
      <c r="C100" s="68" t="s">
        <v>298</v>
      </c>
      <c r="D100" s="69">
        <f>ROUND(SUMIF(RV_DATA!W88:'RV_DATA'!W123, 2115870156, RV_DATA!I88:'RV_DATA'!I123), 6)</f>
        <v>5.7299199999999999</v>
      </c>
      <c r="E100" s="86">
        <f>ROUND(RV_DATA!K106, 6)</f>
        <v>12.02</v>
      </c>
      <c r="F100" s="86">
        <f>ROUND(SUMIF(RV_DATA!W88:'RV_DATA'!W123, 2115870156, RV_DATA!M88:'RV_DATA'!M123), 6)</f>
        <v>68.87</v>
      </c>
      <c r="G100" s="86">
        <f>ROUND(RV_DATA!N106, 6)</f>
        <v>12.02</v>
      </c>
      <c r="H100" s="86">
        <f>ROUND(SUMIF(RV_DATA!W88:'RV_DATA'!W123, 2115870156, RV_DATA!O88:'RV_DATA'!O123), 6)</f>
        <v>68.87</v>
      </c>
      <c r="Q100">
        <v>3</v>
      </c>
    </row>
    <row r="101" spans="1:17" ht="14.25" x14ac:dyDescent="0.2">
      <c r="A101" s="85" t="s">
        <v>432</v>
      </c>
      <c r="B101" s="68" t="s">
        <v>434</v>
      </c>
      <c r="C101" s="68" t="s">
        <v>101</v>
      </c>
      <c r="D101" s="69">
        <f>ROUND(SUMIF(RV_DATA!W88:'RV_DATA'!W123, -1513198188, RV_DATA!I88:'RV_DATA'!I123), 6)</f>
        <v>3.2230000000000002E-3</v>
      </c>
      <c r="E101" s="86">
        <f>ROUND(RV_DATA!K105, 6)</f>
        <v>343020.03</v>
      </c>
      <c r="F101" s="86">
        <f>ROUND(SUMIF(RV_DATA!W88:'RV_DATA'!W123, -1513198188, RV_DATA!M88:'RV_DATA'!M123), 6)</f>
        <v>1105.58</v>
      </c>
      <c r="G101" s="86">
        <f>ROUND(RV_DATA!N105, 6)</f>
        <v>343020.03</v>
      </c>
      <c r="H101" s="86">
        <f>ROUND(SUMIF(RV_DATA!W88:'RV_DATA'!W123, -1513198188, RV_DATA!O88:'RV_DATA'!O123), 6)</f>
        <v>1105.58</v>
      </c>
      <c r="Q101">
        <v>3</v>
      </c>
    </row>
    <row r="102" spans="1:17" ht="28.5" x14ac:dyDescent="0.2">
      <c r="A102" s="85" t="s">
        <v>435</v>
      </c>
      <c r="B102" s="68" t="s">
        <v>437</v>
      </c>
      <c r="C102" s="68" t="s">
        <v>438</v>
      </c>
      <c r="D102" s="69">
        <f>ROUND(SUMIF(RV_DATA!W88:'RV_DATA'!W123, 1650918109, RV_DATA!I88:'RV_DATA'!I123), 6)</f>
        <v>902.4624</v>
      </c>
      <c r="E102" s="86">
        <f>ROUND(RV_DATA!K104, 6)</f>
        <v>17.77</v>
      </c>
      <c r="F102" s="86">
        <f>ROUND(SUMIF(RV_DATA!W88:'RV_DATA'!W123, 1650918109, RV_DATA!M88:'RV_DATA'!M123), 6)</f>
        <v>16036.75</v>
      </c>
      <c r="G102" s="86">
        <f>ROUND(RV_DATA!N104, 6)</f>
        <v>17.77</v>
      </c>
      <c r="H102" s="86">
        <f>ROUND(SUMIF(RV_DATA!W88:'RV_DATA'!W123, 1650918109, RV_DATA!O88:'RV_DATA'!O123), 6)</f>
        <v>16036.75</v>
      </c>
      <c r="Q102">
        <v>3</v>
      </c>
    </row>
    <row r="103" spans="1:17" ht="57" x14ac:dyDescent="0.2">
      <c r="A103" s="85" t="s">
        <v>439</v>
      </c>
      <c r="B103" s="68" t="s">
        <v>441</v>
      </c>
      <c r="C103" s="68" t="s">
        <v>438</v>
      </c>
      <c r="D103" s="69">
        <f>ROUND(SUMIF(RV_DATA!W88:'RV_DATA'!W123, 1409483656, RV_DATA!I88:'RV_DATA'!I123), 6)</f>
        <v>290.0772</v>
      </c>
      <c r="E103" s="86">
        <f>ROUND(RV_DATA!K103, 6)</f>
        <v>202.34</v>
      </c>
      <c r="F103" s="86">
        <f>ROUND(SUMIF(RV_DATA!W88:'RV_DATA'!W123, 1409483656, RV_DATA!M88:'RV_DATA'!M123), 6)</f>
        <v>58694.22</v>
      </c>
      <c r="G103" s="86">
        <f>ROUND(RV_DATA!N103, 6)</f>
        <v>202.34</v>
      </c>
      <c r="H103" s="86">
        <f>ROUND(SUMIF(RV_DATA!W88:'RV_DATA'!W123, 1409483656, RV_DATA!O88:'RV_DATA'!O123), 6)</f>
        <v>58694.22</v>
      </c>
      <c r="Q103">
        <v>3</v>
      </c>
    </row>
    <row r="104" spans="1:17" ht="28.5" x14ac:dyDescent="0.2">
      <c r="A104" s="85" t="s">
        <v>442</v>
      </c>
      <c r="B104" s="68" t="s">
        <v>444</v>
      </c>
      <c r="C104" s="68" t="s">
        <v>101</v>
      </c>
      <c r="D104" s="69">
        <f>ROUND(SUMIF(RV_DATA!W88:'RV_DATA'!W123, 1055948583, RV_DATA!I88:'RV_DATA'!I123), 6)</f>
        <v>6.4462000000000005E-2</v>
      </c>
      <c r="E104" s="86">
        <f>ROUND(RV_DATA!K102, 6)</f>
        <v>748299.67</v>
      </c>
      <c r="F104" s="86">
        <f>ROUND(SUMIF(RV_DATA!W88:'RV_DATA'!W123, 1055948583, RV_DATA!M88:'RV_DATA'!M123), 6)</f>
        <v>48236.6</v>
      </c>
      <c r="G104" s="86">
        <f>ROUND(RV_DATA!N102, 6)</f>
        <v>748299.67</v>
      </c>
      <c r="H104" s="86">
        <f>ROUND(SUMIF(RV_DATA!W88:'RV_DATA'!W123, 1055948583, RV_DATA!O88:'RV_DATA'!O123), 6)</f>
        <v>48236.6</v>
      </c>
      <c r="Q104">
        <v>3</v>
      </c>
    </row>
    <row r="105" spans="1:17" ht="57" x14ac:dyDescent="0.2">
      <c r="A105" s="85" t="s">
        <v>448</v>
      </c>
      <c r="B105" s="68" t="s">
        <v>450</v>
      </c>
      <c r="C105" s="68" t="s">
        <v>28</v>
      </c>
      <c r="D105" s="69">
        <f>ROUND(SUMIF(RV_DATA!W88:'RV_DATA'!W123, -1406457179, RV_DATA!I88:'RV_DATA'!I123), 6)</f>
        <v>1.85846</v>
      </c>
      <c r="E105" s="86">
        <f>ROUND(RV_DATA!K118, 6)</f>
        <v>3714.73</v>
      </c>
      <c r="F105" s="86">
        <f>ROUND(SUMIF(RV_DATA!W88:'RV_DATA'!W123, -1406457179, RV_DATA!M88:'RV_DATA'!M123), 6)</f>
        <v>6903.68</v>
      </c>
      <c r="G105" s="86">
        <f>ROUND(RV_DATA!N118, 6)</f>
        <v>3714.73</v>
      </c>
      <c r="H105" s="86">
        <f>ROUND(SUMIF(RV_DATA!W88:'RV_DATA'!W123, -1406457179, RV_DATA!O88:'RV_DATA'!O123), 6)</f>
        <v>6903.68</v>
      </c>
      <c r="Q105">
        <v>3</v>
      </c>
    </row>
    <row r="106" spans="1:17" ht="14.25" x14ac:dyDescent="0.2">
      <c r="A106" s="85" t="s">
        <v>457</v>
      </c>
      <c r="B106" s="68" t="s">
        <v>459</v>
      </c>
      <c r="C106" s="68" t="s">
        <v>28</v>
      </c>
      <c r="D106" s="69">
        <f>ROUND(SUMIF(RV_DATA!W88:'RV_DATA'!W123, 809277097, RV_DATA!I88:'RV_DATA'!I123), 6)</f>
        <v>4.4999999999999999E-4</v>
      </c>
      <c r="E106" s="86">
        <f>ROUND(RV_DATA!K120, 6)</f>
        <v>3323.4</v>
      </c>
      <c r="F106" s="86">
        <f>ROUND(SUMIF(RV_DATA!W88:'RV_DATA'!W123, 809277097, RV_DATA!M88:'RV_DATA'!M123), 6)</f>
        <v>1.5</v>
      </c>
      <c r="G106" s="86">
        <f>ROUND(RV_DATA!N120, 6)</f>
        <v>3323.4</v>
      </c>
      <c r="H106" s="86">
        <f>ROUND(SUMIF(RV_DATA!W88:'RV_DATA'!W123, 809277097, RV_DATA!O88:'RV_DATA'!O123), 6)</f>
        <v>1.5</v>
      </c>
      <c r="Q106">
        <v>3</v>
      </c>
    </row>
    <row r="107" spans="1:17" ht="14.25" x14ac:dyDescent="0.2">
      <c r="A107" s="85" t="s">
        <v>451</v>
      </c>
      <c r="B107" s="68" t="s">
        <v>453</v>
      </c>
      <c r="C107" s="68" t="s">
        <v>28</v>
      </c>
      <c r="D107" s="69">
        <f>ROUND(SUMIF(RV_DATA!W88:'RV_DATA'!W123, 761304375, RV_DATA!I88:'RV_DATA'!I123), 6)</f>
        <v>8.6440000000000006E-3</v>
      </c>
      <c r="E107" s="86">
        <f>ROUND(RV_DATA!K117, 6)</f>
        <v>3392.59</v>
      </c>
      <c r="F107" s="86">
        <f>ROUND(SUMIF(RV_DATA!W88:'RV_DATA'!W123, 761304375, RV_DATA!M88:'RV_DATA'!M123), 6)</f>
        <v>29.32</v>
      </c>
      <c r="G107" s="86">
        <f>ROUND(RV_DATA!N117, 6)</f>
        <v>3392.59</v>
      </c>
      <c r="H107" s="86">
        <f>ROUND(SUMIF(RV_DATA!W88:'RV_DATA'!W123, 761304375, RV_DATA!O88:'RV_DATA'!O123), 6)</f>
        <v>29.32</v>
      </c>
      <c r="Q107">
        <v>3</v>
      </c>
    </row>
    <row r="108" spans="1:17" ht="28.5" x14ac:dyDescent="0.2">
      <c r="A108" s="85" t="s">
        <v>414</v>
      </c>
      <c r="B108" s="68" t="s">
        <v>416</v>
      </c>
      <c r="C108" s="68" t="s">
        <v>101</v>
      </c>
      <c r="D108" s="69">
        <f>ROUND(SUMIF(RV_DATA!W88:'RV_DATA'!W123, -1328752311, RV_DATA!I88:'RV_DATA'!I123), 6)</f>
        <v>7.3056479999999997</v>
      </c>
      <c r="E108" s="86">
        <f>ROUND(RV_DATA!K99, 6)</f>
        <v>2652.04</v>
      </c>
      <c r="F108" s="86">
        <f>ROUND(SUMIF(RV_DATA!W88:'RV_DATA'!W123, -1328752311, RV_DATA!M88:'RV_DATA'!M123), 6)</f>
        <v>19374.88</v>
      </c>
      <c r="G108" s="86">
        <f>ROUND(RV_DATA!N99, 6)</f>
        <v>2652.04</v>
      </c>
      <c r="H108" s="86">
        <f>ROUND(SUMIF(RV_DATA!W88:'RV_DATA'!W123, -1328752311, RV_DATA!O88:'RV_DATA'!O123), 6)</f>
        <v>19374.88</v>
      </c>
      <c r="Q108">
        <v>3</v>
      </c>
    </row>
    <row r="109" spans="1:17" ht="28.5" x14ac:dyDescent="0.2">
      <c r="A109" s="85" t="s">
        <v>454</v>
      </c>
      <c r="B109" s="68" t="s">
        <v>456</v>
      </c>
      <c r="C109" s="68" t="s">
        <v>28</v>
      </c>
      <c r="D109" s="69">
        <f>ROUND(SUMIF(RV_DATA!W88:'RV_DATA'!W123, -418158513, RV_DATA!I88:'RV_DATA'!I123), 6)</f>
        <v>0.69152000000000002</v>
      </c>
      <c r="E109" s="86">
        <f>ROUND(RV_DATA!K116, 6)</f>
        <v>11566.57</v>
      </c>
      <c r="F109" s="86">
        <f>ROUND(SUMIF(RV_DATA!W88:'RV_DATA'!W123, -418158513, RV_DATA!M88:'RV_DATA'!M123), 6)</f>
        <v>7998.51</v>
      </c>
      <c r="G109" s="86">
        <f>ROUND(RV_DATA!N116, 6)</f>
        <v>11566.57</v>
      </c>
      <c r="H109" s="86">
        <f>ROUND(SUMIF(RV_DATA!W88:'RV_DATA'!W123, -418158513, RV_DATA!O88:'RV_DATA'!O123), 6)</f>
        <v>7998.51</v>
      </c>
      <c r="Q109">
        <v>3</v>
      </c>
    </row>
    <row r="110" spans="1:17" ht="85.5" x14ac:dyDescent="0.2">
      <c r="A110" s="85" t="s">
        <v>104</v>
      </c>
      <c r="B110" s="68" t="s">
        <v>105</v>
      </c>
      <c r="C110" s="68" t="s">
        <v>106</v>
      </c>
      <c r="D110" s="69">
        <f>ROUND(SUMIF(RV_DATA!W88:'RV_DATA'!W123, 1338406588, RV_DATA!I88:'RV_DATA'!I123), 6)</f>
        <v>1</v>
      </c>
      <c r="E110" s="86">
        <f>ROUND(RV_DATA!K121, 6)</f>
        <v>17250</v>
      </c>
      <c r="F110" s="86">
        <f>ROUND(SUMIF(RV_DATA!W88:'RV_DATA'!W123, 1338406588, RV_DATA!M88:'RV_DATA'!M123), 6)</f>
        <v>17250</v>
      </c>
      <c r="G110" s="86">
        <f>ROUND(RV_DATA!N121, 6)</f>
        <v>17250</v>
      </c>
      <c r="H110" s="86">
        <f>ROUND(SUMIF(RV_DATA!W88:'RV_DATA'!W123, 1338406588, RV_DATA!O88:'RV_DATA'!O123), 6)</f>
        <v>17250</v>
      </c>
      <c r="Q110">
        <v>3</v>
      </c>
    </row>
    <row r="111" spans="1:17" ht="85.5" x14ac:dyDescent="0.2">
      <c r="A111" s="85" t="s">
        <v>104</v>
      </c>
      <c r="B111" s="68" t="s">
        <v>203</v>
      </c>
      <c r="C111" s="68" t="s">
        <v>106</v>
      </c>
      <c r="D111" s="69">
        <f>ROUND(SUMIF(RV_DATA!W88:'RV_DATA'!W123, -520045571, RV_DATA!I88:'RV_DATA'!I123), 6)</f>
        <v>1</v>
      </c>
      <c r="E111" s="86">
        <f>ROUND(RV_DATA!K122, 6)</f>
        <v>40166.67</v>
      </c>
      <c r="F111" s="86">
        <f>ROUND(SUMIF(RV_DATA!W88:'RV_DATA'!W123, -520045571, RV_DATA!M88:'RV_DATA'!M123), 6)</f>
        <v>40166.67</v>
      </c>
      <c r="G111" s="86">
        <f>ROUND(RV_DATA!N122, 6)</f>
        <v>40166.67</v>
      </c>
      <c r="H111" s="86">
        <f>ROUND(SUMIF(RV_DATA!W88:'RV_DATA'!W123, -520045571, RV_DATA!O88:'RV_DATA'!O123), 6)</f>
        <v>40166.67</v>
      </c>
      <c r="Q111">
        <v>3</v>
      </c>
    </row>
    <row r="112" spans="1:17" ht="42.75" x14ac:dyDescent="0.2">
      <c r="A112" s="85" t="s">
        <v>104</v>
      </c>
      <c r="B112" s="68" t="s">
        <v>116</v>
      </c>
      <c r="C112" s="68" t="s">
        <v>106</v>
      </c>
      <c r="D112" s="69">
        <f>ROUND(SUMIF(RV_DATA!W88:'RV_DATA'!W123, 619025188, RV_DATA!I88:'RV_DATA'!I123), 6)</f>
        <v>1</v>
      </c>
      <c r="E112" s="86">
        <f>ROUND(RV_DATA!K123, 6)</f>
        <v>12391.67</v>
      </c>
      <c r="F112" s="86">
        <f>ROUND(SUMIF(RV_DATA!W88:'RV_DATA'!W123, 619025188, RV_DATA!M88:'RV_DATA'!M123), 6)</f>
        <v>12391.67</v>
      </c>
      <c r="G112" s="86">
        <f>ROUND(RV_DATA!N123, 6)</f>
        <v>12391.67</v>
      </c>
      <c r="H112" s="86">
        <f>ROUND(SUMIF(RV_DATA!W88:'RV_DATA'!W123, 619025188, RV_DATA!O88:'RV_DATA'!O123), 6)</f>
        <v>12391.67</v>
      </c>
      <c r="Q112">
        <v>3</v>
      </c>
    </row>
    <row r="113" spans="1:17" ht="15" x14ac:dyDescent="0.25">
      <c r="A113" s="87" t="s">
        <v>628</v>
      </c>
      <c r="B113" s="87"/>
      <c r="C113" s="87"/>
      <c r="D113" s="87"/>
      <c r="E113" s="88">
        <f>SUMIF(Q96:Q112, 3, F96:F112)</f>
        <v>268052.2</v>
      </c>
      <c r="F113" s="88"/>
      <c r="G113" s="88">
        <f>SUMIF(Q96:Q112, 3, H96:H112)</f>
        <v>268052.2</v>
      </c>
      <c r="H113" s="87"/>
    </row>
    <row r="114" spans="1:17" ht="16.5" x14ac:dyDescent="0.2">
      <c r="A114" s="75" t="str">
        <f>CONCATENATE("Подраздел: ",IF(Source!G205&lt;&gt;"Новый подраздел", Source!G205, ""))</f>
        <v>Подраздел: Игровая площадка группы № 8</v>
      </c>
      <c r="B114" s="76"/>
      <c r="C114" s="76"/>
      <c r="D114" s="76"/>
      <c r="E114" s="76"/>
      <c r="F114" s="76"/>
      <c r="G114" s="76"/>
      <c r="H114" s="76"/>
    </row>
    <row r="115" spans="1:17" ht="14.25" x14ac:dyDescent="0.2">
      <c r="A115" s="83" t="s">
        <v>625</v>
      </c>
      <c r="B115" s="84"/>
      <c r="C115" s="84"/>
      <c r="D115" s="84"/>
      <c r="E115" s="84"/>
      <c r="F115" s="84"/>
      <c r="G115" s="84"/>
      <c r="H115" s="84"/>
    </row>
    <row r="116" spans="1:17" ht="42.75" x14ac:dyDescent="0.2">
      <c r="A116" s="85" t="s">
        <v>417</v>
      </c>
      <c r="B116" s="68" t="s">
        <v>419</v>
      </c>
      <c r="C116" s="68" t="s">
        <v>84</v>
      </c>
      <c r="D116" s="69">
        <f>ROUND(SUMIF(RV_DATA!W125:'RV_DATA'!W160, 904665643, RV_DATA!I125:'RV_DATA'!I160), 6)</f>
        <v>2.8260000000000001</v>
      </c>
      <c r="E116" s="86">
        <f>ROUND(RV_DATA!K147, 6)</f>
        <v>531.41</v>
      </c>
      <c r="F116" s="86">
        <f>ROUND(SUMIF(RV_DATA!W125:'RV_DATA'!W160, 904665643, RV_DATA!M125:'RV_DATA'!M160), 6)</f>
        <v>1501.77</v>
      </c>
      <c r="G116" s="86">
        <f>ROUND(RV_DATA!N147, 6)</f>
        <v>531.41</v>
      </c>
      <c r="H116" s="86">
        <f>ROUND(SUMIF(RV_DATA!W125:'RV_DATA'!W160, 904665643, RV_DATA!O125:'RV_DATA'!O160), 6)</f>
        <v>1501.77</v>
      </c>
      <c r="Q116">
        <v>2</v>
      </c>
    </row>
    <row r="117" spans="1:17" ht="28.5" x14ac:dyDescent="0.2">
      <c r="A117" s="85" t="s">
        <v>387</v>
      </c>
      <c r="B117" s="68" t="s">
        <v>389</v>
      </c>
      <c r="C117" s="68" t="s">
        <v>84</v>
      </c>
      <c r="D117" s="69">
        <f>ROUND(SUMIF(RV_DATA!W125:'RV_DATA'!W160, -202122669, RV_DATA!I125:'RV_DATA'!I160), 6)</f>
        <v>0.18720000000000001</v>
      </c>
      <c r="E117" s="86">
        <f>ROUND(RV_DATA!K131, 6)</f>
        <v>740.94</v>
      </c>
      <c r="F117" s="86">
        <f>ROUND(SUMIF(RV_DATA!W125:'RV_DATA'!W160, -202122669, RV_DATA!M125:'RV_DATA'!M160), 6)</f>
        <v>138.69999999999999</v>
      </c>
      <c r="G117" s="86">
        <f>ROUND(RV_DATA!N131, 6)</f>
        <v>740.94</v>
      </c>
      <c r="H117" s="86">
        <f>ROUND(SUMIF(RV_DATA!W125:'RV_DATA'!W160, -202122669, RV_DATA!O125:'RV_DATA'!O160), 6)</f>
        <v>138.69999999999999</v>
      </c>
      <c r="Q117">
        <v>2</v>
      </c>
    </row>
    <row r="118" spans="1:17" ht="28.5" x14ac:dyDescent="0.2">
      <c r="A118" s="85" t="s">
        <v>420</v>
      </c>
      <c r="B118" s="68" t="s">
        <v>422</v>
      </c>
      <c r="C118" s="68" t="s">
        <v>84</v>
      </c>
      <c r="D118" s="69">
        <f>ROUND(SUMIF(RV_DATA!W125:'RV_DATA'!W160, 83762966, RV_DATA!I125:'RV_DATA'!I160), 6)</f>
        <v>1.0620000000000001</v>
      </c>
      <c r="E118" s="86">
        <f>ROUND(RV_DATA!K146, 6)</f>
        <v>7.44</v>
      </c>
      <c r="F118" s="86">
        <f>ROUND(SUMIF(RV_DATA!W125:'RV_DATA'!W160, 83762966, RV_DATA!M125:'RV_DATA'!M160), 6)</f>
        <v>7.9</v>
      </c>
      <c r="G118" s="86">
        <f>ROUND(RV_DATA!N146, 6)</f>
        <v>7.44</v>
      </c>
      <c r="H118" s="86">
        <f>ROUND(SUMIF(RV_DATA!W125:'RV_DATA'!W160, 83762966, RV_DATA!O125:'RV_DATA'!O160), 6)</f>
        <v>7.9</v>
      </c>
      <c r="Q118">
        <v>2</v>
      </c>
    </row>
    <row r="119" spans="1:17" ht="28.5" x14ac:dyDescent="0.2">
      <c r="A119" s="85" t="s">
        <v>445</v>
      </c>
      <c r="B119" s="68" t="s">
        <v>447</v>
      </c>
      <c r="C119" s="68" t="s">
        <v>84</v>
      </c>
      <c r="D119" s="69">
        <f>ROUND(SUMIF(RV_DATA!W125:'RV_DATA'!W160, -926712809, RV_DATA!I125:'RV_DATA'!I160), 6)</f>
        <v>9.8799999999999999E-2</v>
      </c>
      <c r="E119" s="86">
        <f>ROUND(RV_DATA!K156, 6)</f>
        <v>683.9</v>
      </c>
      <c r="F119" s="86">
        <f>ROUND(SUMIF(RV_DATA!W125:'RV_DATA'!W160, -926712809, RV_DATA!M125:'RV_DATA'!M160), 6)</f>
        <v>67.569999999999993</v>
      </c>
      <c r="G119" s="86">
        <f>ROUND(RV_DATA!N156, 6)</f>
        <v>683.9</v>
      </c>
      <c r="H119" s="86">
        <f>ROUND(SUMIF(RV_DATA!W125:'RV_DATA'!W160, -926712809, RV_DATA!O125:'RV_DATA'!O160), 6)</f>
        <v>67.569999999999993</v>
      </c>
      <c r="Q119">
        <v>2</v>
      </c>
    </row>
    <row r="120" spans="1:17" ht="28.5" x14ac:dyDescent="0.2">
      <c r="A120" s="85" t="s">
        <v>423</v>
      </c>
      <c r="B120" s="68" t="s">
        <v>425</v>
      </c>
      <c r="C120" s="68" t="s">
        <v>84</v>
      </c>
      <c r="D120" s="69">
        <f>ROUND(SUMIF(RV_DATA!W125:'RV_DATA'!W160, 1460056643, RV_DATA!I125:'RV_DATA'!I160), 6)</f>
        <v>8.9999999999999993E-3</v>
      </c>
      <c r="E120" s="86">
        <f>ROUND(RV_DATA!K145, 6)</f>
        <v>616.73</v>
      </c>
      <c r="F120" s="86">
        <f>ROUND(SUMIF(RV_DATA!W125:'RV_DATA'!W160, 1460056643, RV_DATA!M125:'RV_DATA'!M160), 6)</f>
        <v>5.55</v>
      </c>
      <c r="G120" s="86">
        <f>ROUND(RV_DATA!N145, 6)</f>
        <v>616.73</v>
      </c>
      <c r="H120" s="86">
        <f>ROUND(SUMIF(RV_DATA!W125:'RV_DATA'!W160, 1460056643, RV_DATA!O125:'RV_DATA'!O160), 6)</f>
        <v>5.55</v>
      </c>
      <c r="Q120">
        <v>2</v>
      </c>
    </row>
    <row r="121" spans="1:17" ht="28.5" x14ac:dyDescent="0.2">
      <c r="A121" s="85" t="s">
        <v>390</v>
      </c>
      <c r="B121" s="68" t="s">
        <v>392</v>
      </c>
      <c r="C121" s="68" t="s">
        <v>84</v>
      </c>
      <c r="D121" s="69">
        <f>ROUND(SUMIF(RV_DATA!W125:'RV_DATA'!W160, -180512758, RV_DATA!I125:'RV_DATA'!I160), 6)</f>
        <v>0.18720000000000001</v>
      </c>
      <c r="E121" s="86">
        <f>ROUND(RV_DATA!K130, 6)</f>
        <v>430.32</v>
      </c>
      <c r="F121" s="86">
        <f>ROUND(SUMIF(RV_DATA!W125:'RV_DATA'!W160, -180512758, RV_DATA!M125:'RV_DATA'!M160), 6)</f>
        <v>80.56</v>
      </c>
      <c r="G121" s="86">
        <f>ROUND(RV_DATA!N130, 6)</f>
        <v>430.32</v>
      </c>
      <c r="H121" s="86">
        <f>ROUND(SUMIF(RV_DATA!W125:'RV_DATA'!W160, -180512758, RV_DATA!O125:'RV_DATA'!O160), 6)</f>
        <v>80.56</v>
      </c>
      <c r="Q121">
        <v>2</v>
      </c>
    </row>
    <row r="122" spans="1:17" ht="28.5" x14ac:dyDescent="0.2">
      <c r="A122" s="85" t="s">
        <v>393</v>
      </c>
      <c r="B122" s="68" t="s">
        <v>395</v>
      </c>
      <c r="C122" s="68" t="s">
        <v>84</v>
      </c>
      <c r="D122" s="69">
        <f>ROUND(SUMIF(RV_DATA!W125:'RV_DATA'!W160, -1269477455, RV_DATA!I125:'RV_DATA'!I160), 6)</f>
        <v>0.60389999999999999</v>
      </c>
      <c r="E122" s="86">
        <f>ROUND(RV_DATA!K129, 6)</f>
        <v>2020.59</v>
      </c>
      <c r="F122" s="86">
        <f>ROUND(SUMIF(RV_DATA!W125:'RV_DATA'!W160, -1269477455, RV_DATA!M125:'RV_DATA'!M160), 6)</f>
        <v>1220.24</v>
      </c>
      <c r="G122" s="86">
        <f>ROUND(RV_DATA!N129, 6)</f>
        <v>2020.59</v>
      </c>
      <c r="H122" s="86">
        <f>ROUND(SUMIF(RV_DATA!W125:'RV_DATA'!W160, -1269477455, RV_DATA!O125:'RV_DATA'!O160), 6)</f>
        <v>1220.24</v>
      </c>
      <c r="Q122">
        <v>2</v>
      </c>
    </row>
    <row r="123" spans="1:17" ht="28.5" x14ac:dyDescent="0.2">
      <c r="A123" s="85" t="s">
        <v>408</v>
      </c>
      <c r="B123" s="68" t="s">
        <v>410</v>
      </c>
      <c r="C123" s="68" t="s">
        <v>84</v>
      </c>
      <c r="D123" s="69">
        <f>ROUND(SUMIF(RV_DATA!W125:'RV_DATA'!W160, -1074879534, RV_DATA!I125:'RV_DATA'!I160), 6)</f>
        <v>2.2589999999999999</v>
      </c>
      <c r="E123" s="86">
        <f>ROUND(RV_DATA!K133, 6)</f>
        <v>1261.8699999999999</v>
      </c>
      <c r="F123" s="86">
        <f>ROUND(SUMIF(RV_DATA!W125:'RV_DATA'!W160, -1074879534, RV_DATA!M125:'RV_DATA'!M160), 6)</f>
        <v>2850.56</v>
      </c>
      <c r="G123" s="86">
        <f>ROUND(RV_DATA!N133, 6)</f>
        <v>1261.8699999999999</v>
      </c>
      <c r="H123" s="86">
        <f>ROUND(SUMIF(RV_DATA!W125:'RV_DATA'!W160, -1074879534, RV_DATA!O125:'RV_DATA'!O160), 6)</f>
        <v>2850.56</v>
      </c>
      <c r="Q123">
        <v>2</v>
      </c>
    </row>
    <row r="124" spans="1:17" ht="28.5" x14ac:dyDescent="0.2">
      <c r="A124" s="85" t="s">
        <v>396</v>
      </c>
      <c r="B124" s="68" t="s">
        <v>398</v>
      </c>
      <c r="C124" s="68" t="s">
        <v>84</v>
      </c>
      <c r="D124" s="69">
        <f>ROUND(SUMIF(RV_DATA!W125:'RV_DATA'!W160, 38483568, RV_DATA!I125:'RV_DATA'!I160), 6)</f>
        <v>0.17460000000000001</v>
      </c>
      <c r="E124" s="86">
        <f>ROUND(RV_DATA!K128, 6)</f>
        <v>1412.71</v>
      </c>
      <c r="F124" s="86">
        <f>ROUND(SUMIF(RV_DATA!W125:'RV_DATA'!W160, 38483568, RV_DATA!M125:'RV_DATA'!M160), 6)</f>
        <v>246.66</v>
      </c>
      <c r="G124" s="86">
        <f>ROUND(RV_DATA!N128, 6)</f>
        <v>1412.71</v>
      </c>
      <c r="H124" s="86">
        <f>ROUND(SUMIF(RV_DATA!W125:'RV_DATA'!W160, 38483568, RV_DATA!O125:'RV_DATA'!O160), 6)</f>
        <v>246.66</v>
      </c>
      <c r="Q124">
        <v>2</v>
      </c>
    </row>
    <row r="125" spans="1:17" ht="28.5" x14ac:dyDescent="0.2">
      <c r="A125" s="85" t="s">
        <v>399</v>
      </c>
      <c r="B125" s="68" t="s">
        <v>401</v>
      </c>
      <c r="C125" s="68" t="s">
        <v>84</v>
      </c>
      <c r="D125" s="69">
        <f>ROUND(SUMIF(RV_DATA!W125:'RV_DATA'!W160, -362114551, RV_DATA!I125:'RV_DATA'!I160), 6)</f>
        <v>5.8500000000000003E-2</v>
      </c>
      <c r="E125" s="86">
        <f>ROUND(RV_DATA!K127, 6)</f>
        <v>1213.3399999999999</v>
      </c>
      <c r="F125" s="86">
        <f>ROUND(SUMIF(RV_DATA!W125:'RV_DATA'!W160, -362114551, RV_DATA!M125:'RV_DATA'!M160), 6)</f>
        <v>70.98</v>
      </c>
      <c r="G125" s="86">
        <f>ROUND(RV_DATA!N127, 6)</f>
        <v>1213.3399999999999</v>
      </c>
      <c r="H125" s="86">
        <f>ROUND(SUMIF(RV_DATA!W125:'RV_DATA'!W160, -362114551, RV_DATA!O125:'RV_DATA'!O160), 6)</f>
        <v>70.98</v>
      </c>
      <c r="Q125">
        <v>2</v>
      </c>
    </row>
    <row r="126" spans="1:17" ht="28.5" x14ac:dyDescent="0.2">
      <c r="A126" s="85" t="s">
        <v>426</v>
      </c>
      <c r="B126" s="68" t="s">
        <v>428</v>
      </c>
      <c r="C126" s="68" t="s">
        <v>84</v>
      </c>
      <c r="D126" s="69">
        <f>ROUND(SUMIF(RV_DATA!W125:'RV_DATA'!W160, -1650330276, RV_DATA!I125:'RV_DATA'!I160), 6)</f>
        <v>2.8260000000000001</v>
      </c>
      <c r="E126" s="86">
        <f>ROUND(RV_DATA!K144, 6)</f>
        <v>454.31</v>
      </c>
      <c r="F126" s="86">
        <f>ROUND(SUMIF(RV_DATA!W125:'RV_DATA'!W160, -1650330276, RV_DATA!M125:'RV_DATA'!M160), 6)</f>
        <v>1283.8800000000001</v>
      </c>
      <c r="G126" s="86">
        <f>ROUND(RV_DATA!N144, 6)</f>
        <v>454.31</v>
      </c>
      <c r="H126" s="86">
        <f>ROUND(SUMIF(RV_DATA!W125:'RV_DATA'!W160, -1650330276, RV_DATA!O125:'RV_DATA'!O160), 6)</f>
        <v>1283.8800000000001</v>
      </c>
      <c r="Q126">
        <v>2</v>
      </c>
    </row>
    <row r="127" spans="1:17" ht="15" x14ac:dyDescent="0.25">
      <c r="A127" s="87" t="s">
        <v>626</v>
      </c>
      <c r="B127" s="87"/>
      <c r="C127" s="87"/>
      <c r="D127" s="87"/>
      <c r="E127" s="88">
        <f>SUMIF(Q116:Q126, 2, F116:F126)</f>
        <v>7474.37</v>
      </c>
      <c r="F127" s="88"/>
      <c r="G127" s="88">
        <f>SUMIF(Q116:Q126, 2, H116:H126)</f>
        <v>7474.37</v>
      </c>
      <c r="H127" s="87"/>
    </row>
    <row r="128" spans="1:17" ht="14.25" x14ac:dyDescent="0.2">
      <c r="A128" s="83" t="s">
        <v>627</v>
      </c>
      <c r="B128" s="84"/>
      <c r="C128" s="84"/>
      <c r="D128" s="84"/>
      <c r="E128" s="84"/>
      <c r="F128" s="84"/>
      <c r="G128" s="84"/>
      <c r="H128" s="84"/>
    </row>
    <row r="129" spans="1:17" ht="14.25" x14ac:dyDescent="0.2">
      <c r="A129" s="85" t="s">
        <v>402</v>
      </c>
      <c r="B129" s="68" t="s">
        <v>404</v>
      </c>
      <c r="C129" s="68" t="s">
        <v>28</v>
      </c>
      <c r="D129" s="69">
        <f>ROUND(SUMIF(RV_DATA!W125:'RV_DATA'!W160, 445372051, RV_DATA!I125:'RV_DATA'!I160), 6)</f>
        <v>9.9</v>
      </c>
      <c r="E129" s="86">
        <f>ROUND(RV_DATA!K126, 6)</f>
        <v>590.78</v>
      </c>
      <c r="F129" s="86">
        <f>ROUND(SUMIF(RV_DATA!W125:'RV_DATA'!W160, 445372051, RV_DATA!M125:'RV_DATA'!M160), 6)</f>
        <v>5848.72</v>
      </c>
      <c r="G129" s="86">
        <f>ROUND(RV_DATA!N126, 6)</f>
        <v>590.78</v>
      </c>
      <c r="H129" s="86">
        <f>ROUND(SUMIF(RV_DATA!W125:'RV_DATA'!W160, 445372051, RV_DATA!O125:'RV_DATA'!O160), 6)</f>
        <v>5848.72</v>
      </c>
      <c r="Q129">
        <v>3</v>
      </c>
    </row>
    <row r="130" spans="1:17" ht="42.75" x14ac:dyDescent="0.2">
      <c r="A130" s="85" t="s">
        <v>41</v>
      </c>
      <c r="B130" s="68" t="s">
        <v>42</v>
      </c>
      <c r="C130" s="68" t="s">
        <v>28</v>
      </c>
      <c r="D130" s="69">
        <f>ROUND(SUMIF(RV_DATA!W125:'RV_DATA'!W160, 345930550, RV_DATA!I125:'RV_DATA'!I160), 6)</f>
        <v>15.66</v>
      </c>
      <c r="E130" s="86">
        <f>ROUND(RV_DATA!K135, 6)</f>
        <v>1763.75</v>
      </c>
      <c r="F130" s="86">
        <f>ROUND(SUMIF(RV_DATA!W125:'RV_DATA'!W160, 345930550, RV_DATA!M125:'RV_DATA'!M160), 6)</f>
        <v>27620.33</v>
      </c>
      <c r="G130" s="86">
        <f>ROUND(RV_DATA!N135, 6)</f>
        <v>1763.75</v>
      </c>
      <c r="H130" s="86">
        <f>ROUND(SUMIF(RV_DATA!W125:'RV_DATA'!W160, 345930550, RV_DATA!O125:'RV_DATA'!O160), 6)</f>
        <v>27620.33</v>
      </c>
      <c r="Q130">
        <v>3</v>
      </c>
    </row>
    <row r="131" spans="1:17" ht="28.5" x14ac:dyDescent="0.2">
      <c r="A131" s="85" t="s">
        <v>411</v>
      </c>
      <c r="B131" s="68" t="s">
        <v>413</v>
      </c>
      <c r="C131" s="68" t="s">
        <v>101</v>
      </c>
      <c r="D131" s="69">
        <f>ROUND(SUMIF(RV_DATA!W125:'RV_DATA'!W160, -3533703, RV_DATA!I125:'RV_DATA'!I160), 6)</f>
        <v>5.3999999999999999E-2</v>
      </c>
      <c r="E131" s="86">
        <f>ROUND(RV_DATA!K137, 6)</f>
        <v>25888.1</v>
      </c>
      <c r="F131" s="86">
        <f>ROUND(SUMIF(RV_DATA!W125:'RV_DATA'!W160, -3533703, RV_DATA!M125:'RV_DATA'!M160), 6)</f>
        <v>1397.96</v>
      </c>
      <c r="G131" s="86">
        <f>ROUND(RV_DATA!N137, 6)</f>
        <v>25888.1</v>
      </c>
      <c r="H131" s="86">
        <f>ROUND(SUMIF(RV_DATA!W125:'RV_DATA'!W160, -3533703, RV_DATA!O125:'RV_DATA'!O160), 6)</f>
        <v>1397.96</v>
      </c>
      <c r="Q131">
        <v>3</v>
      </c>
    </row>
    <row r="132" spans="1:17" ht="14.25" x14ac:dyDescent="0.2">
      <c r="A132" s="85" t="s">
        <v>405</v>
      </c>
      <c r="B132" s="68" t="s">
        <v>407</v>
      </c>
      <c r="C132" s="68" t="s">
        <v>28</v>
      </c>
      <c r="D132" s="69">
        <f>ROUND(SUMIF(RV_DATA!W125:'RV_DATA'!W160, 1819467959, RV_DATA!I125:'RV_DATA'!I160), 6)</f>
        <v>2.25</v>
      </c>
      <c r="E132" s="86">
        <f>ROUND(RV_DATA!K125, 6)</f>
        <v>35.25</v>
      </c>
      <c r="F132" s="86">
        <f>ROUND(SUMIF(RV_DATA!W125:'RV_DATA'!W160, 1819467959, RV_DATA!M125:'RV_DATA'!M160), 6)</f>
        <v>79.31</v>
      </c>
      <c r="G132" s="86">
        <f>ROUND(RV_DATA!N125, 6)</f>
        <v>35.25</v>
      </c>
      <c r="H132" s="86">
        <f>ROUND(SUMIF(RV_DATA!W125:'RV_DATA'!W160, 1819467959, RV_DATA!O125:'RV_DATA'!O160), 6)</f>
        <v>79.31</v>
      </c>
      <c r="Q132">
        <v>3</v>
      </c>
    </row>
    <row r="133" spans="1:17" ht="28.5" x14ac:dyDescent="0.2">
      <c r="A133" s="85" t="s">
        <v>429</v>
      </c>
      <c r="B133" s="68" t="s">
        <v>431</v>
      </c>
      <c r="C133" s="68" t="s">
        <v>298</v>
      </c>
      <c r="D133" s="69">
        <f>ROUND(SUMIF(RV_DATA!W125:'RV_DATA'!W160, 2115870156, RV_DATA!I125:'RV_DATA'!I160), 6)</f>
        <v>5.04</v>
      </c>
      <c r="E133" s="86">
        <f>ROUND(RV_DATA!K143, 6)</f>
        <v>12.02</v>
      </c>
      <c r="F133" s="86">
        <f>ROUND(SUMIF(RV_DATA!W125:'RV_DATA'!W160, 2115870156, RV_DATA!M125:'RV_DATA'!M160), 6)</f>
        <v>60.58</v>
      </c>
      <c r="G133" s="86">
        <f>ROUND(RV_DATA!N143, 6)</f>
        <v>12.02</v>
      </c>
      <c r="H133" s="86">
        <f>ROUND(SUMIF(RV_DATA!W125:'RV_DATA'!W160, 2115870156, RV_DATA!O125:'RV_DATA'!O160), 6)</f>
        <v>60.58</v>
      </c>
      <c r="Q133">
        <v>3</v>
      </c>
    </row>
    <row r="134" spans="1:17" ht="14.25" x14ac:dyDescent="0.2">
      <c r="A134" s="85" t="s">
        <v>432</v>
      </c>
      <c r="B134" s="68" t="s">
        <v>434</v>
      </c>
      <c r="C134" s="68" t="s">
        <v>101</v>
      </c>
      <c r="D134" s="69">
        <f>ROUND(SUMIF(RV_DATA!W125:'RV_DATA'!W160, -1513198188, RV_DATA!I125:'RV_DATA'!I160), 6)</f>
        <v>2.8349999999999998E-3</v>
      </c>
      <c r="E134" s="86">
        <f>ROUND(RV_DATA!K142, 6)</f>
        <v>343020.03</v>
      </c>
      <c r="F134" s="86">
        <f>ROUND(SUMIF(RV_DATA!W125:'RV_DATA'!W160, -1513198188, RV_DATA!M125:'RV_DATA'!M160), 6)</f>
        <v>972.46</v>
      </c>
      <c r="G134" s="86">
        <f>ROUND(RV_DATA!N142, 6)</f>
        <v>343020.03</v>
      </c>
      <c r="H134" s="86">
        <f>ROUND(SUMIF(RV_DATA!W125:'RV_DATA'!W160, -1513198188, RV_DATA!O125:'RV_DATA'!O160), 6)</f>
        <v>972.46</v>
      </c>
      <c r="Q134">
        <v>3</v>
      </c>
    </row>
    <row r="135" spans="1:17" ht="28.5" x14ac:dyDescent="0.2">
      <c r="A135" s="85" t="s">
        <v>435</v>
      </c>
      <c r="B135" s="68" t="s">
        <v>437</v>
      </c>
      <c r="C135" s="68" t="s">
        <v>438</v>
      </c>
      <c r="D135" s="69">
        <f>ROUND(SUMIF(RV_DATA!W125:'RV_DATA'!W160, 1650918109, RV_DATA!I125:'RV_DATA'!I160), 6)</f>
        <v>793.8</v>
      </c>
      <c r="E135" s="86">
        <f>ROUND(RV_DATA!K141, 6)</f>
        <v>17.77</v>
      </c>
      <c r="F135" s="86">
        <f>ROUND(SUMIF(RV_DATA!W125:'RV_DATA'!W160, 1650918109, RV_DATA!M125:'RV_DATA'!M160), 6)</f>
        <v>14105.83</v>
      </c>
      <c r="G135" s="86">
        <f>ROUND(RV_DATA!N141, 6)</f>
        <v>17.77</v>
      </c>
      <c r="H135" s="86">
        <f>ROUND(SUMIF(RV_DATA!W125:'RV_DATA'!W160, 1650918109, RV_DATA!O125:'RV_DATA'!O160), 6)</f>
        <v>14105.83</v>
      </c>
      <c r="Q135">
        <v>3</v>
      </c>
    </row>
    <row r="136" spans="1:17" ht="57" x14ac:dyDescent="0.2">
      <c r="A136" s="85" t="s">
        <v>439</v>
      </c>
      <c r="B136" s="68" t="s">
        <v>441</v>
      </c>
      <c r="C136" s="68" t="s">
        <v>438</v>
      </c>
      <c r="D136" s="69">
        <f>ROUND(SUMIF(RV_DATA!W125:'RV_DATA'!W160, 1409483656, RV_DATA!I125:'RV_DATA'!I160), 6)</f>
        <v>255.15</v>
      </c>
      <c r="E136" s="86">
        <f>ROUND(RV_DATA!K140, 6)</f>
        <v>202.34</v>
      </c>
      <c r="F136" s="86">
        <f>ROUND(SUMIF(RV_DATA!W125:'RV_DATA'!W160, 1409483656, RV_DATA!M125:'RV_DATA'!M160), 6)</f>
        <v>51627.05</v>
      </c>
      <c r="G136" s="86">
        <f>ROUND(RV_DATA!N140, 6)</f>
        <v>202.34</v>
      </c>
      <c r="H136" s="86">
        <f>ROUND(SUMIF(RV_DATA!W125:'RV_DATA'!W160, 1409483656, RV_DATA!O125:'RV_DATA'!O160), 6)</f>
        <v>51627.05</v>
      </c>
      <c r="Q136">
        <v>3</v>
      </c>
    </row>
    <row r="137" spans="1:17" ht="28.5" x14ac:dyDescent="0.2">
      <c r="A137" s="85" t="s">
        <v>442</v>
      </c>
      <c r="B137" s="68" t="s">
        <v>444</v>
      </c>
      <c r="C137" s="68" t="s">
        <v>101</v>
      </c>
      <c r="D137" s="69">
        <f>ROUND(SUMIF(RV_DATA!W125:'RV_DATA'!W160, 1055948583, RV_DATA!I125:'RV_DATA'!I160), 6)</f>
        <v>5.67E-2</v>
      </c>
      <c r="E137" s="86">
        <f>ROUND(RV_DATA!K139, 6)</f>
        <v>748299.67</v>
      </c>
      <c r="F137" s="86">
        <f>ROUND(SUMIF(RV_DATA!W125:'RV_DATA'!W160, 1055948583, RV_DATA!M125:'RV_DATA'!M160), 6)</f>
        <v>42428.6</v>
      </c>
      <c r="G137" s="86">
        <f>ROUND(RV_DATA!N139, 6)</f>
        <v>748299.67</v>
      </c>
      <c r="H137" s="86">
        <f>ROUND(SUMIF(RV_DATA!W125:'RV_DATA'!W160, 1055948583, RV_DATA!O125:'RV_DATA'!O160), 6)</f>
        <v>42428.6</v>
      </c>
      <c r="Q137">
        <v>3</v>
      </c>
    </row>
    <row r="138" spans="1:17" ht="57" x14ac:dyDescent="0.2">
      <c r="A138" s="85" t="s">
        <v>448</v>
      </c>
      <c r="B138" s="68" t="s">
        <v>450</v>
      </c>
      <c r="C138" s="68" t="s">
        <v>28</v>
      </c>
      <c r="D138" s="69">
        <f>ROUND(SUMIF(RV_DATA!W125:'RV_DATA'!W160, -1406457179, RV_DATA!I125:'RV_DATA'!I160), 6)</f>
        <v>1.6339999999999999</v>
      </c>
      <c r="E138" s="86">
        <f>ROUND(RV_DATA!K155, 6)</f>
        <v>3714.73</v>
      </c>
      <c r="F138" s="86">
        <f>ROUND(SUMIF(RV_DATA!W125:'RV_DATA'!W160, -1406457179, RV_DATA!M125:'RV_DATA'!M160), 6)</f>
        <v>6069.87</v>
      </c>
      <c r="G138" s="86">
        <f>ROUND(RV_DATA!N155, 6)</f>
        <v>3714.73</v>
      </c>
      <c r="H138" s="86">
        <f>ROUND(SUMIF(RV_DATA!W125:'RV_DATA'!W160, -1406457179, RV_DATA!O125:'RV_DATA'!O160), 6)</f>
        <v>6069.87</v>
      </c>
      <c r="Q138">
        <v>3</v>
      </c>
    </row>
    <row r="139" spans="1:17" ht="14.25" x14ac:dyDescent="0.2">
      <c r="A139" s="85" t="s">
        <v>457</v>
      </c>
      <c r="B139" s="68" t="s">
        <v>459</v>
      </c>
      <c r="C139" s="68" t="s">
        <v>28</v>
      </c>
      <c r="D139" s="69">
        <f>ROUND(SUMIF(RV_DATA!W125:'RV_DATA'!W160, 809277097, RV_DATA!I125:'RV_DATA'!I160), 6)</f>
        <v>4.4999999999999999E-4</v>
      </c>
      <c r="E139" s="86">
        <f>ROUND(RV_DATA!K157, 6)</f>
        <v>3323.4</v>
      </c>
      <c r="F139" s="86">
        <f>ROUND(SUMIF(RV_DATA!W125:'RV_DATA'!W160, 809277097, RV_DATA!M125:'RV_DATA'!M160), 6)</f>
        <v>1.5</v>
      </c>
      <c r="G139" s="86">
        <f>ROUND(RV_DATA!N157, 6)</f>
        <v>3323.4</v>
      </c>
      <c r="H139" s="86">
        <f>ROUND(SUMIF(RV_DATA!W125:'RV_DATA'!W160, 809277097, RV_DATA!O125:'RV_DATA'!O160), 6)</f>
        <v>1.5</v>
      </c>
      <c r="Q139">
        <v>3</v>
      </c>
    </row>
    <row r="140" spans="1:17" ht="14.25" x14ac:dyDescent="0.2">
      <c r="A140" s="85" t="s">
        <v>451</v>
      </c>
      <c r="B140" s="68" t="s">
        <v>453</v>
      </c>
      <c r="C140" s="68" t="s">
        <v>28</v>
      </c>
      <c r="D140" s="69">
        <f>ROUND(SUMIF(RV_DATA!W125:'RV_DATA'!W160, 761304375, RV_DATA!I125:'RV_DATA'!I160), 6)</f>
        <v>7.6E-3</v>
      </c>
      <c r="E140" s="86">
        <f>ROUND(RV_DATA!K154, 6)</f>
        <v>3392.59</v>
      </c>
      <c r="F140" s="86">
        <f>ROUND(SUMIF(RV_DATA!W125:'RV_DATA'!W160, 761304375, RV_DATA!M125:'RV_DATA'!M160), 6)</f>
        <v>25.78</v>
      </c>
      <c r="G140" s="86">
        <f>ROUND(RV_DATA!N154, 6)</f>
        <v>3392.59</v>
      </c>
      <c r="H140" s="86">
        <f>ROUND(SUMIF(RV_DATA!W125:'RV_DATA'!W160, 761304375, RV_DATA!O125:'RV_DATA'!O160), 6)</f>
        <v>25.78</v>
      </c>
      <c r="Q140">
        <v>3</v>
      </c>
    </row>
    <row r="141" spans="1:17" ht="28.5" x14ac:dyDescent="0.2">
      <c r="A141" s="85" t="s">
        <v>414</v>
      </c>
      <c r="B141" s="68" t="s">
        <v>416</v>
      </c>
      <c r="C141" s="68" t="s">
        <v>101</v>
      </c>
      <c r="D141" s="69">
        <f>ROUND(SUMIF(RV_DATA!W125:'RV_DATA'!W160, -1328752311, RV_DATA!I125:'RV_DATA'!I160), 6)</f>
        <v>6.4260000000000002</v>
      </c>
      <c r="E141" s="86">
        <f>ROUND(RV_DATA!K136, 6)</f>
        <v>2652.04</v>
      </c>
      <c r="F141" s="86">
        <f>ROUND(SUMIF(RV_DATA!W125:'RV_DATA'!W160, -1328752311, RV_DATA!M125:'RV_DATA'!M160), 6)</f>
        <v>17042.009999999998</v>
      </c>
      <c r="G141" s="86">
        <f>ROUND(RV_DATA!N136, 6)</f>
        <v>2652.04</v>
      </c>
      <c r="H141" s="86">
        <f>ROUND(SUMIF(RV_DATA!W125:'RV_DATA'!W160, -1328752311, RV_DATA!O125:'RV_DATA'!O160), 6)</f>
        <v>17042.009999999998</v>
      </c>
      <c r="Q141">
        <v>3</v>
      </c>
    </row>
    <row r="142" spans="1:17" ht="28.5" x14ac:dyDescent="0.2">
      <c r="A142" s="85" t="s">
        <v>454</v>
      </c>
      <c r="B142" s="68" t="s">
        <v>456</v>
      </c>
      <c r="C142" s="68" t="s">
        <v>28</v>
      </c>
      <c r="D142" s="69">
        <f>ROUND(SUMIF(RV_DATA!W125:'RV_DATA'!W160, -418158513, RV_DATA!I125:'RV_DATA'!I160), 6)</f>
        <v>0.60799999999999998</v>
      </c>
      <c r="E142" s="86">
        <f>ROUND(RV_DATA!K153, 6)</f>
        <v>11566.57</v>
      </c>
      <c r="F142" s="86">
        <f>ROUND(SUMIF(RV_DATA!W125:'RV_DATA'!W160, -418158513, RV_DATA!M125:'RV_DATA'!M160), 6)</f>
        <v>7032.47</v>
      </c>
      <c r="G142" s="86">
        <f>ROUND(RV_DATA!N153, 6)</f>
        <v>11566.57</v>
      </c>
      <c r="H142" s="86">
        <f>ROUND(SUMIF(RV_DATA!W125:'RV_DATA'!W160, -418158513, RV_DATA!O125:'RV_DATA'!O160), 6)</f>
        <v>7032.47</v>
      </c>
      <c r="Q142">
        <v>3</v>
      </c>
    </row>
    <row r="143" spans="1:17" ht="85.5" x14ac:dyDescent="0.2">
      <c r="A143" s="85" t="s">
        <v>104</v>
      </c>
      <c r="B143" s="68" t="s">
        <v>105</v>
      </c>
      <c r="C143" s="68" t="s">
        <v>106</v>
      </c>
      <c r="D143" s="69">
        <f>ROUND(SUMIF(RV_DATA!W125:'RV_DATA'!W160, 1338406588, RV_DATA!I125:'RV_DATA'!I160), 6)</f>
        <v>1</v>
      </c>
      <c r="E143" s="86">
        <f>ROUND(RV_DATA!K158, 6)</f>
        <v>17250</v>
      </c>
      <c r="F143" s="86">
        <f>ROUND(SUMIF(RV_DATA!W125:'RV_DATA'!W160, 1338406588, RV_DATA!M125:'RV_DATA'!M160), 6)</f>
        <v>17250</v>
      </c>
      <c r="G143" s="86">
        <f>ROUND(RV_DATA!N158, 6)</f>
        <v>17250</v>
      </c>
      <c r="H143" s="86">
        <f>ROUND(SUMIF(RV_DATA!W125:'RV_DATA'!W160, 1338406588, RV_DATA!O125:'RV_DATA'!O160), 6)</f>
        <v>17250</v>
      </c>
      <c r="Q143">
        <v>3</v>
      </c>
    </row>
    <row r="144" spans="1:17" ht="71.25" x14ac:dyDescent="0.2">
      <c r="A144" s="85" t="s">
        <v>104</v>
      </c>
      <c r="B144" s="68" t="s">
        <v>110</v>
      </c>
      <c r="C144" s="68" t="s">
        <v>106</v>
      </c>
      <c r="D144" s="69">
        <f>ROUND(SUMIF(RV_DATA!W125:'RV_DATA'!W160, -2073129128, RV_DATA!I125:'RV_DATA'!I160), 6)</f>
        <v>1</v>
      </c>
      <c r="E144" s="86">
        <f>ROUND(RV_DATA!K159, 6)</f>
        <v>44166.67</v>
      </c>
      <c r="F144" s="86">
        <f>ROUND(SUMIF(RV_DATA!W125:'RV_DATA'!W160, -2073129128, RV_DATA!M125:'RV_DATA'!M160), 6)</f>
        <v>44166.67</v>
      </c>
      <c r="G144" s="86">
        <f>ROUND(RV_DATA!N159, 6)</f>
        <v>44166.67</v>
      </c>
      <c r="H144" s="86">
        <f>ROUND(SUMIF(RV_DATA!W125:'RV_DATA'!W160, -2073129128, RV_DATA!O125:'RV_DATA'!O160), 6)</f>
        <v>44166.67</v>
      </c>
      <c r="Q144">
        <v>3</v>
      </c>
    </row>
    <row r="145" spans="1:17" ht="99.75" x14ac:dyDescent="0.2">
      <c r="A145" s="85" t="s">
        <v>104</v>
      </c>
      <c r="B145" s="68" t="s">
        <v>206</v>
      </c>
      <c r="C145" s="68" t="s">
        <v>106</v>
      </c>
      <c r="D145" s="69">
        <f>ROUND(SUMIF(RV_DATA!W125:'RV_DATA'!W160, -82390964, RV_DATA!I125:'RV_DATA'!I160), 6)</f>
        <v>1</v>
      </c>
      <c r="E145" s="86">
        <f>ROUND(RV_DATA!K160, 6)</f>
        <v>48916.67</v>
      </c>
      <c r="F145" s="86">
        <f>ROUND(SUMIF(RV_DATA!W125:'RV_DATA'!W160, -82390964, RV_DATA!M125:'RV_DATA'!M160), 6)</f>
        <v>48916.67</v>
      </c>
      <c r="G145" s="86">
        <f>ROUND(RV_DATA!N160, 6)</f>
        <v>48916.67</v>
      </c>
      <c r="H145" s="86">
        <f>ROUND(SUMIF(RV_DATA!W125:'RV_DATA'!W160, -82390964, RV_DATA!O125:'RV_DATA'!O160), 6)</f>
        <v>48916.67</v>
      </c>
      <c r="Q145">
        <v>3</v>
      </c>
    </row>
    <row r="146" spans="1:17" ht="15" x14ac:dyDescent="0.25">
      <c r="A146" s="87" t="s">
        <v>628</v>
      </c>
      <c r="B146" s="87"/>
      <c r="C146" s="87"/>
      <c r="D146" s="87"/>
      <c r="E146" s="88">
        <f>SUMIF(Q129:Q145, 3, F129:F145)</f>
        <v>284645.81</v>
      </c>
      <c r="F146" s="88"/>
      <c r="G146" s="88">
        <f>SUMIF(Q129:Q145, 3, H129:H145)</f>
        <v>284645.81</v>
      </c>
      <c r="H146" s="87"/>
    </row>
    <row r="147" spans="1:17" ht="16.5" x14ac:dyDescent="0.2">
      <c r="A147" s="75" t="str">
        <f>CONCATENATE("Подраздел: ",IF(Source!G261&lt;&gt;"Новый подраздел", Source!G261, ""))</f>
        <v>Подраздел: Игровая площадка группы № 10</v>
      </c>
      <c r="B147" s="76"/>
      <c r="C147" s="76"/>
      <c r="D147" s="76"/>
      <c r="E147" s="76"/>
      <c r="F147" s="76"/>
      <c r="G147" s="76"/>
      <c r="H147" s="76"/>
    </row>
    <row r="148" spans="1:17" ht="14.25" x14ac:dyDescent="0.2">
      <c r="A148" s="83" t="s">
        <v>625</v>
      </c>
      <c r="B148" s="84"/>
      <c r="C148" s="84"/>
      <c r="D148" s="84"/>
      <c r="E148" s="84"/>
      <c r="F148" s="84"/>
      <c r="G148" s="84"/>
      <c r="H148" s="84"/>
    </row>
    <row r="149" spans="1:17" ht="28.5" x14ac:dyDescent="0.2">
      <c r="A149" s="85" t="s">
        <v>460</v>
      </c>
      <c r="B149" s="68" t="s">
        <v>462</v>
      </c>
      <c r="C149" s="68" t="s">
        <v>84</v>
      </c>
      <c r="D149" s="69">
        <f>ROUND(SUMIF(RV_DATA!W162:'RV_DATA'!W205, -1088974138, RV_DATA!I162:'RV_DATA'!I205), 6)</f>
        <v>1.08</v>
      </c>
      <c r="E149" s="86">
        <f>ROUND(RV_DATA!K164, 6)</f>
        <v>744.2</v>
      </c>
      <c r="F149" s="86">
        <f>ROUND(SUMIF(RV_DATA!W162:'RV_DATA'!W205, -1088974138, RV_DATA!M162:'RV_DATA'!M205), 6)</f>
        <v>803.74</v>
      </c>
      <c r="G149" s="86">
        <f>ROUND(RV_DATA!N164, 6)</f>
        <v>744.2</v>
      </c>
      <c r="H149" s="86">
        <f>ROUND(SUMIF(RV_DATA!W162:'RV_DATA'!W205, -1088974138, RV_DATA!O162:'RV_DATA'!O205), 6)</f>
        <v>803.74</v>
      </c>
      <c r="Q149">
        <v>2</v>
      </c>
    </row>
    <row r="150" spans="1:17" ht="42.75" x14ac:dyDescent="0.2">
      <c r="A150" s="85" t="s">
        <v>466</v>
      </c>
      <c r="B150" s="68" t="s">
        <v>468</v>
      </c>
      <c r="C150" s="68" t="s">
        <v>84</v>
      </c>
      <c r="D150" s="69">
        <f>ROUND(SUMIF(RV_DATA!W162:'RV_DATA'!W205, -955893656, RV_DATA!I162:'RV_DATA'!I205), 6)</f>
        <v>1.5230600000000001</v>
      </c>
      <c r="E150" s="86">
        <f>ROUND(RV_DATA!K168, 6)</f>
        <v>1230.4000000000001</v>
      </c>
      <c r="F150" s="86">
        <f>ROUND(SUMIF(RV_DATA!W162:'RV_DATA'!W205, -955893656, RV_DATA!M162:'RV_DATA'!M205), 6)</f>
        <v>1873.97</v>
      </c>
      <c r="G150" s="86">
        <f>ROUND(RV_DATA!N168, 6)</f>
        <v>1230.4000000000001</v>
      </c>
      <c r="H150" s="86">
        <f>ROUND(SUMIF(RV_DATA!W162:'RV_DATA'!W205, -955893656, RV_DATA!O162:'RV_DATA'!O205), 6)</f>
        <v>1873.97</v>
      </c>
      <c r="Q150">
        <v>2</v>
      </c>
    </row>
    <row r="151" spans="1:17" ht="28.5" x14ac:dyDescent="0.2">
      <c r="A151" s="85" t="s">
        <v>469</v>
      </c>
      <c r="B151" s="68" t="s">
        <v>471</v>
      </c>
      <c r="C151" s="68" t="s">
        <v>84</v>
      </c>
      <c r="D151" s="69">
        <f>ROUND(SUMIF(RV_DATA!W162:'RV_DATA'!W205, 633997351, RV_DATA!I162:'RV_DATA'!I205), 6)</f>
        <v>0.44274999999999998</v>
      </c>
      <c r="E151" s="86">
        <f>ROUND(RV_DATA!K167, 6)</f>
        <v>956.79</v>
      </c>
      <c r="F151" s="86">
        <f>ROUND(SUMIF(RV_DATA!W162:'RV_DATA'!W205, 633997351, RV_DATA!M162:'RV_DATA'!M205), 6)</f>
        <v>423.62</v>
      </c>
      <c r="G151" s="86">
        <f>ROUND(RV_DATA!N167, 6)</f>
        <v>956.79</v>
      </c>
      <c r="H151" s="86">
        <f>ROUND(SUMIF(RV_DATA!W162:'RV_DATA'!W205, 633997351, RV_DATA!O162:'RV_DATA'!O205), 6)</f>
        <v>423.62</v>
      </c>
      <c r="Q151">
        <v>2</v>
      </c>
    </row>
    <row r="152" spans="1:17" ht="42.75" x14ac:dyDescent="0.2">
      <c r="A152" s="85" t="s">
        <v>417</v>
      </c>
      <c r="B152" s="68" t="s">
        <v>419</v>
      </c>
      <c r="C152" s="68" t="s">
        <v>84</v>
      </c>
      <c r="D152" s="69">
        <f>ROUND(SUMIF(RV_DATA!W162:'RV_DATA'!W205, 904665643, RV_DATA!I162:'RV_DATA'!I205), 6)</f>
        <v>3.1776800000000001</v>
      </c>
      <c r="E152" s="86">
        <f>ROUND(RV_DATA!K191, 6)</f>
        <v>531.41</v>
      </c>
      <c r="F152" s="86">
        <f>ROUND(SUMIF(RV_DATA!W162:'RV_DATA'!W205, 904665643, RV_DATA!M162:'RV_DATA'!M205), 6)</f>
        <v>1688.66</v>
      </c>
      <c r="G152" s="86">
        <f>ROUND(RV_DATA!N191, 6)</f>
        <v>531.41</v>
      </c>
      <c r="H152" s="86">
        <f>ROUND(SUMIF(RV_DATA!W162:'RV_DATA'!W205, 904665643, RV_DATA!O162:'RV_DATA'!O205), 6)</f>
        <v>1688.66</v>
      </c>
      <c r="Q152">
        <v>2</v>
      </c>
    </row>
    <row r="153" spans="1:17" ht="28.5" x14ac:dyDescent="0.2">
      <c r="A153" s="85" t="s">
        <v>387</v>
      </c>
      <c r="B153" s="68" t="s">
        <v>389</v>
      </c>
      <c r="C153" s="68" t="s">
        <v>84</v>
      </c>
      <c r="D153" s="69">
        <f>ROUND(SUMIF(RV_DATA!W162:'RV_DATA'!W205, -202122669, RV_DATA!I162:'RV_DATA'!I205), 6)</f>
        <v>0.29768800000000001</v>
      </c>
      <c r="E153" s="86">
        <f>ROUND(RV_DATA!K166, 6)</f>
        <v>740.94</v>
      </c>
      <c r="F153" s="86">
        <f>ROUND(SUMIF(RV_DATA!W162:'RV_DATA'!W205, -202122669, RV_DATA!M162:'RV_DATA'!M205), 6)</f>
        <v>220.57</v>
      </c>
      <c r="G153" s="86">
        <f>ROUND(RV_DATA!N166, 6)</f>
        <v>740.94</v>
      </c>
      <c r="H153" s="86">
        <f>ROUND(SUMIF(RV_DATA!W162:'RV_DATA'!W205, -202122669, RV_DATA!O162:'RV_DATA'!O205), 6)</f>
        <v>220.57</v>
      </c>
      <c r="Q153">
        <v>2</v>
      </c>
    </row>
    <row r="154" spans="1:17" ht="28.5" x14ac:dyDescent="0.2">
      <c r="A154" s="85" t="s">
        <v>420</v>
      </c>
      <c r="B154" s="68" t="s">
        <v>422</v>
      </c>
      <c r="C154" s="68" t="s">
        <v>84</v>
      </c>
      <c r="D154" s="69">
        <f>ROUND(SUMIF(RV_DATA!W162:'RV_DATA'!W205, 83762966, RV_DATA!I162:'RV_DATA'!I205), 6)</f>
        <v>1.1941600000000001</v>
      </c>
      <c r="E154" s="86">
        <f>ROUND(RV_DATA!K190, 6)</f>
        <v>7.44</v>
      </c>
      <c r="F154" s="86">
        <f>ROUND(SUMIF(RV_DATA!W162:'RV_DATA'!W205, 83762966, RV_DATA!M162:'RV_DATA'!M205), 6)</f>
        <v>8.89</v>
      </c>
      <c r="G154" s="86">
        <f>ROUND(RV_DATA!N190, 6)</f>
        <v>7.44</v>
      </c>
      <c r="H154" s="86">
        <f>ROUND(SUMIF(RV_DATA!W162:'RV_DATA'!W205, 83762966, RV_DATA!O162:'RV_DATA'!O205), 6)</f>
        <v>8.89</v>
      </c>
      <c r="Q154">
        <v>2</v>
      </c>
    </row>
    <row r="155" spans="1:17" ht="14.25" x14ac:dyDescent="0.2">
      <c r="A155" s="85" t="s">
        <v>463</v>
      </c>
      <c r="B155" s="68" t="s">
        <v>465</v>
      </c>
      <c r="C155" s="68" t="s">
        <v>84</v>
      </c>
      <c r="D155" s="69">
        <f>ROUND(SUMIF(RV_DATA!W162:'RV_DATA'!W205, 1818908340, RV_DATA!I162:'RV_DATA'!I205), 6)</f>
        <v>2.16</v>
      </c>
      <c r="E155" s="86">
        <f>ROUND(RV_DATA!K163, 6)</f>
        <v>6.02</v>
      </c>
      <c r="F155" s="86">
        <f>ROUND(SUMIF(RV_DATA!W162:'RV_DATA'!W205, 1818908340, RV_DATA!M162:'RV_DATA'!M205), 6)</f>
        <v>13</v>
      </c>
      <c r="G155" s="86">
        <f>ROUND(RV_DATA!N163, 6)</f>
        <v>6.02</v>
      </c>
      <c r="H155" s="86">
        <f>ROUND(SUMIF(RV_DATA!W162:'RV_DATA'!W205, 1818908340, RV_DATA!O162:'RV_DATA'!O205), 6)</f>
        <v>13</v>
      </c>
      <c r="Q155">
        <v>2</v>
      </c>
    </row>
    <row r="156" spans="1:17" ht="28.5" x14ac:dyDescent="0.2">
      <c r="A156" s="85" t="s">
        <v>445</v>
      </c>
      <c r="B156" s="68" t="s">
        <v>447</v>
      </c>
      <c r="C156" s="68" t="s">
        <v>84</v>
      </c>
      <c r="D156" s="69">
        <f>ROUND(SUMIF(RV_DATA!W162:'RV_DATA'!W205, -926712809, RV_DATA!I162:'RV_DATA'!I205), 6)</f>
        <v>0.10503999999999999</v>
      </c>
      <c r="E156" s="86">
        <f>ROUND(RV_DATA!K200, 6)</f>
        <v>683.9</v>
      </c>
      <c r="F156" s="86">
        <f>ROUND(SUMIF(RV_DATA!W162:'RV_DATA'!W205, -926712809, RV_DATA!M162:'RV_DATA'!M205), 6)</f>
        <v>71.84</v>
      </c>
      <c r="G156" s="86">
        <f>ROUND(RV_DATA!N200, 6)</f>
        <v>683.9</v>
      </c>
      <c r="H156" s="86">
        <f>ROUND(SUMIF(RV_DATA!W162:'RV_DATA'!W205, -926712809, RV_DATA!O162:'RV_DATA'!O205), 6)</f>
        <v>71.84</v>
      </c>
      <c r="Q156">
        <v>2</v>
      </c>
    </row>
    <row r="157" spans="1:17" ht="28.5" x14ac:dyDescent="0.2">
      <c r="A157" s="85" t="s">
        <v>423</v>
      </c>
      <c r="B157" s="68" t="s">
        <v>425</v>
      </c>
      <c r="C157" s="68" t="s">
        <v>84</v>
      </c>
      <c r="D157" s="69">
        <f>ROUND(SUMIF(RV_DATA!W162:'RV_DATA'!W205, 1460056643, RV_DATA!I162:'RV_DATA'!I205), 6)</f>
        <v>1.0120000000000001E-2</v>
      </c>
      <c r="E157" s="86">
        <f>ROUND(RV_DATA!K189, 6)</f>
        <v>616.73</v>
      </c>
      <c r="F157" s="86">
        <f>ROUND(SUMIF(RV_DATA!W162:'RV_DATA'!W205, 1460056643, RV_DATA!M162:'RV_DATA'!M205), 6)</f>
        <v>6.24</v>
      </c>
      <c r="G157" s="86">
        <f>ROUND(RV_DATA!N189, 6)</f>
        <v>616.73</v>
      </c>
      <c r="H157" s="86">
        <f>ROUND(SUMIF(RV_DATA!W162:'RV_DATA'!W205, 1460056643, RV_DATA!O162:'RV_DATA'!O205), 6)</f>
        <v>6.24</v>
      </c>
      <c r="Q157">
        <v>2</v>
      </c>
    </row>
    <row r="158" spans="1:17" ht="28.5" x14ac:dyDescent="0.2">
      <c r="A158" s="85" t="s">
        <v>390</v>
      </c>
      <c r="B158" s="68" t="s">
        <v>392</v>
      </c>
      <c r="C158" s="68" t="s">
        <v>84</v>
      </c>
      <c r="D158" s="69">
        <f>ROUND(SUMIF(RV_DATA!W162:'RV_DATA'!W205, -180512758, RV_DATA!I162:'RV_DATA'!I205), 6)</f>
        <v>0.21049599999999999</v>
      </c>
      <c r="E158" s="86">
        <f>ROUND(RV_DATA!K174, 6)</f>
        <v>430.32</v>
      </c>
      <c r="F158" s="86">
        <f>ROUND(SUMIF(RV_DATA!W162:'RV_DATA'!W205, -180512758, RV_DATA!M162:'RV_DATA'!M205), 6)</f>
        <v>90.58</v>
      </c>
      <c r="G158" s="86">
        <f>ROUND(RV_DATA!N174, 6)</f>
        <v>430.32</v>
      </c>
      <c r="H158" s="86">
        <f>ROUND(SUMIF(RV_DATA!W162:'RV_DATA'!W205, -180512758, RV_DATA!O162:'RV_DATA'!O205), 6)</f>
        <v>90.58</v>
      </c>
      <c r="Q158">
        <v>2</v>
      </c>
    </row>
    <row r="159" spans="1:17" ht="28.5" x14ac:dyDescent="0.2">
      <c r="A159" s="85" t="s">
        <v>393</v>
      </c>
      <c r="B159" s="68" t="s">
        <v>395</v>
      </c>
      <c r="C159" s="68" t="s">
        <v>84</v>
      </c>
      <c r="D159" s="69">
        <f>ROUND(SUMIF(RV_DATA!W162:'RV_DATA'!W205, -1269477455, RV_DATA!I162:'RV_DATA'!I205), 6)</f>
        <v>0.67905199999999999</v>
      </c>
      <c r="E159" s="86">
        <f>ROUND(RV_DATA!K173, 6)</f>
        <v>2020.59</v>
      </c>
      <c r="F159" s="86">
        <f>ROUND(SUMIF(RV_DATA!W162:'RV_DATA'!W205, -1269477455, RV_DATA!M162:'RV_DATA'!M205), 6)</f>
        <v>1372.09</v>
      </c>
      <c r="G159" s="86">
        <f>ROUND(RV_DATA!N173, 6)</f>
        <v>2020.59</v>
      </c>
      <c r="H159" s="86">
        <f>ROUND(SUMIF(RV_DATA!W162:'RV_DATA'!W205, -1269477455, RV_DATA!O162:'RV_DATA'!O205), 6)</f>
        <v>1372.09</v>
      </c>
      <c r="Q159">
        <v>2</v>
      </c>
    </row>
    <row r="160" spans="1:17" ht="28.5" x14ac:dyDescent="0.2">
      <c r="A160" s="85" t="s">
        <v>408</v>
      </c>
      <c r="B160" s="68" t="s">
        <v>410</v>
      </c>
      <c r="C160" s="68" t="s">
        <v>84</v>
      </c>
      <c r="D160" s="69">
        <f>ROUND(SUMIF(RV_DATA!W162:'RV_DATA'!W205, -1074879534, RV_DATA!I162:'RV_DATA'!I205), 6)</f>
        <v>2.5401199999999999</v>
      </c>
      <c r="E160" s="86">
        <f>ROUND(RV_DATA!K177, 6)</f>
        <v>1261.8699999999999</v>
      </c>
      <c r="F160" s="86">
        <f>ROUND(SUMIF(RV_DATA!W162:'RV_DATA'!W205, -1074879534, RV_DATA!M162:'RV_DATA'!M205), 6)</f>
        <v>3205.3</v>
      </c>
      <c r="G160" s="86">
        <f>ROUND(RV_DATA!N177, 6)</f>
        <v>1261.8699999999999</v>
      </c>
      <c r="H160" s="86">
        <f>ROUND(SUMIF(RV_DATA!W162:'RV_DATA'!W205, -1074879534, RV_DATA!O162:'RV_DATA'!O205), 6)</f>
        <v>3205.3</v>
      </c>
      <c r="Q160">
        <v>2</v>
      </c>
    </row>
    <row r="161" spans="1:17" ht="28.5" x14ac:dyDescent="0.2">
      <c r="A161" s="85" t="s">
        <v>396</v>
      </c>
      <c r="B161" s="68" t="s">
        <v>398</v>
      </c>
      <c r="C161" s="68" t="s">
        <v>84</v>
      </c>
      <c r="D161" s="69">
        <f>ROUND(SUMIF(RV_DATA!W162:'RV_DATA'!W205, 38483568, RV_DATA!I162:'RV_DATA'!I205), 6)</f>
        <v>0.35860799999999998</v>
      </c>
      <c r="E161" s="86">
        <f>ROUND(RV_DATA!K162, 6)</f>
        <v>1412.71</v>
      </c>
      <c r="F161" s="86">
        <f>ROUND(SUMIF(RV_DATA!W162:'RV_DATA'!W205, 38483568, RV_DATA!M162:'RV_DATA'!M205), 6)</f>
        <v>506.6</v>
      </c>
      <c r="G161" s="86">
        <f>ROUND(RV_DATA!N162, 6)</f>
        <v>1412.71</v>
      </c>
      <c r="H161" s="86">
        <f>ROUND(SUMIF(RV_DATA!W162:'RV_DATA'!W205, 38483568, RV_DATA!O162:'RV_DATA'!O205), 6)</f>
        <v>506.6</v>
      </c>
      <c r="Q161">
        <v>2</v>
      </c>
    </row>
    <row r="162" spans="1:17" ht="28.5" x14ac:dyDescent="0.2">
      <c r="A162" s="85" t="s">
        <v>399</v>
      </c>
      <c r="B162" s="68" t="s">
        <v>401</v>
      </c>
      <c r="C162" s="68" t="s">
        <v>84</v>
      </c>
      <c r="D162" s="69">
        <f>ROUND(SUMIF(RV_DATA!W162:'RV_DATA'!W205, -362114551, RV_DATA!I162:'RV_DATA'!I205), 6)</f>
        <v>6.5780000000000005E-2</v>
      </c>
      <c r="E162" s="86">
        <f>ROUND(RV_DATA!K171, 6)</f>
        <v>1213.3399999999999</v>
      </c>
      <c r="F162" s="86">
        <f>ROUND(SUMIF(RV_DATA!W162:'RV_DATA'!W205, -362114551, RV_DATA!M162:'RV_DATA'!M205), 6)</f>
        <v>79.81</v>
      </c>
      <c r="G162" s="86">
        <f>ROUND(RV_DATA!N171, 6)</f>
        <v>1213.3399999999999</v>
      </c>
      <c r="H162" s="86">
        <f>ROUND(SUMIF(RV_DATA!W162:'RV_DATA'!W205, -362114551, RV_DATA!O162:'RV_DATA'!O205), 6)</f>
        <v>79.81</v>
      </c>
      <c r="Q162">
        <v>2</v>
      </c>
    </row>
    <row r="163" spans="1:17" ht="28.5" x14ac:dyDescent="0.2">
      <c r="A163" s="85" t="s">
        <v>426</v>
      </c>
      <c r="B163" s="68" t="s">
        <v>428</v>
      </c>
      <c r="C163" s="68" t="s">
        <v>84</v>
      </c>
      <c r="D163" s="69">
        <f>ROUND(SUMIF(RV_DATA!W162:'RV_DATA'!W205, -1650330276, RV_DATA!I162:'RV_DATA'!I205), 6)</f>
        <v>3.1776800000000001</v>
      </c>
      <c r="E163" s="86">
        <f>ROUND(RV_DATA!K188, 6)</f>
        <v>454.31</v>
      </c>
      <c r="F163" s="86">
        <f>ROUND(SUMIF(RV_DATA!W162:'RV_DATA'!W205, -1650330276, RV_DATA!M162:'RV_DATA'!M205), 6)</f>
        <v>1443.66</v>
      </c>
      <c r="G163" s="86">
        <f>ROUND(RV_DATA!N188, 6)</f>
        <v>454.31</v>
      </c>
      <c r="H163" s="86">
        <f>ROUND(SUMIF(RV_DATA!W162:'RV_DATA'!W205, -1650330276, RV_DATA!O162:'RV_DATA'!O205), 6)</f>
        <v>1443.66</v>
      </c>
      <c r="Q163">
        <v>2</v>
      </c>
    </row>
    <row r="164" spans="1:17" ht="15" x14ac:dyDescent="0.25">
      <c r="A164" s="87" t="s">
        <v>626</v>
      </c>
      <c r="B164" s="87"/>
      <c r="C164" s="87"/>
      <c r="D164" s="87"/>
      <c r="E164" s="88">
        <f>SUMIF(Q149:Q163, 2, F149:F163)</f>
        <v>11808.57</v>
      </c>
      <c r="F164" s="88"/>
      <c r="G164" s="88">
        <f>SUMIF(Q149:Q163, 2, H149:H163)</f>
        <v>11808.57</v>
      </c>
      <c r="H164" s="87"/>
    </row>
    <row r="165" spans="1:17" ht="14.25" x14ac:dyDescent="0.2">
      <c r="A165" s="83" t="s">
        <v>627</v>
      </c>
      <c r="B165" s="84"/>
      <c r="C165" s="84"/>
      <c r="D165" s="84"/>
      <c r="E165" s="84"/>
      <c r="F165" s="84"/>
      <c r="G165" s="84"/>
      <c r="H165" s="84"/>
    </row>
    <row r="166" spans="1:17" ht="14.25" x14ac:dyDescent="0.2">
      <c r="A166" s="85" t="s">
        <v>402</v>
      </c>
      <c r="B166" s="68" t="s">
        <v>404</v>
      </c>
      <c r="C166" s="68" t="s">
        <v>28</v>
      </c>
      <c r="D166" s="69">
        <f>ROUND(SUMIF(RV_DATA!W162:'RV_DATA'!W205, 445372051, RV_DATA!I162:'RV_DATA'!I205), 6)</f>
        <v>11.132</v>
      </c>
      <c r="E166" s="86">
        <f>ROUND(RV_DATA!K170, 6)</f>
        <v>590.78</v>
      </c>
      <c r="F166" s="86">
        <f>ROUND(SUMIF(RV_DATA!W162:'RV_DATA'!W205, 445372051, RV_DATA!M162:'RV_DATA'!M205), 6)</f>
        <v>6576.56</v>
      </c>
      <c r="G166" s="86">
        <f>ROUND(RV_DATA!N170, 6)</f>
        <v>590.78</v>
      </c>
      <c r="H166" s="86">
        <f>ROUND(SUMIF(RV_DATA!W162:'RV_DATA'!W205, 445372051, RV_DATA!O162:'RV_DATA'!O205), 6)</f>
        <v>6576.56</v>
      </c>
      <c r="Q166">
        <v>3</v>
      </c>
    </row>
    <row r="167" spans="1:17" ht="42.75" x14ac:dyDescent="0.2">
      <c r="A167" s="85" t="s">
        <v>41</v>
      </c>
      <c r="B167" s="68" t="s">
        <v>42</v>
      </c>
      <c r="C167" s="68" t="s">
        <v>28</v>
      </c>
      <c r="D167" s="69">
        <f>ROUND(SUMIF(RV_DATA!W162:'RV_DATA'!W205, 345930550, RV_DATA!I162:'RV_DATA'!I205), 6)</f>
        <v>17.608000000000001</v>
      </c>
      <c r="E167" s="86">
        <f>ROUND(RV_DATA!K179, 6)</f>
        <v>1763.75</v>
      </c>
      <c r="F167" s="86">
        <f>ROUND(SUMIF(RV_DATA!W162:'RV_DATA'!W205, 345930550, RV_DATA!M162:'RV_DATA'!M205), 6)</f>
        <v>31056.11</v>
      </c>
      <c r="G167" s="86">
        <f>ROUND(RV_DATA!N179, 6)</f>
        <v>1763.75</v>
      </c>
      <c r="H167" s="86">
        <f>ROUND(SUMIF(RV_DATA!W162:'RV_DATA'!W205, 345930550, RV_DATA!O162:'RV_DATA'!O205), 6)</f>
        <v>31056.11</v>
      </c>
      <c r="Q167">
        <v>3</v>
      </c>
    </row>
    <row r="168" spans="1:17" ht="28.5" x14ac:dyDescent="0.2">
      <c r="A168" s="85" t="s">
        <v>411</v>
      </c>
      <c r="B168" s="68" t="s">
        <v>413</v>
      </c>
      <c r="C168" s="68" t="s">
        <v>101</v>
      </c>
      <c r="D168" s="69">
        <f>ROUND(SUMIF(RV_DATA!W162:'RV_DATA'!W205, -3533703, RV_DATA!I162:'RV_DATA'!I205), 6)</f>
        <v>6.0720000000000003E-2</v>
      </c>
      <c r="E168" s="86">
        <f>ROUND(RV_DATA!K181, 6)</f>
        <v>25888.1</v>
      </c>
      <c r="F168" s="86">
        <f>ROUND(SUMIF(RV_DATA!W162:'RV_DATA'!W205, -3533703, RV_DATA!M162:'RV_DATA'!M205), 6)</f>
        <v>1571.93</v>
      </c>
      <c r="G168" s="86">
        <f>ROUND(RV_DATA!N181, 6)</f>
        <v>25888.1</v>
      </c>
      <c r="H168" s="86">
        <f>ROUND(SUMIF(RV_DATA!W162:'RV_DATA'!W205, -3533703, RV_DATA!O162:'RV_DATA'!O205), 6)</f>
        <v>1571.93</v>
      </c>
      <c r="Q168">
        <v>3</v>
      </c>
    </row>
    <row r="169" spans="1:17" ht="14.25" x14ac:dyDescent="0.2">
      <c r="A169" s="85" t="s">
        <v>405</v>
      </c>
      <c r="B169" s="68" t="s">
        <v>407</v>
      </c>
      <c r="C169" s="68" t="s">
        <v>28</v>
      </c>
      <c r="D169" s="69">
        <f>ROUND(SUMIF(RV_DATA!W162:'RV_DATA'!W205, 1819467959, RV_DATA!I162:'RV_DATA'!I205), 6)</f>
        <v>2.5299999999999998</v>
      </c>
      <c r="E169" s="86">
        <f>ROUND(RV_DATA!K169, 6)</f>
        <v>35.25</v>
      </c>
      <c r="F169" s="86">
        <f>ROUND(SUMIF(RV_DATA!W162:'RV_DATA'!W205, 1819467959, RV_DATA!M162:'RV_DATA'!M205), 6)</f>
        <v>89.19</v>
      </c>
      <c r="G169" s="86">
        <f>ROUND(RV_DATA!N169, 6)</f>
        <v>35.25</v>
      </c>
      <c r="H169" s="86">
        <f>ROUND(SUMIF(RV_DATA!W162:'RV_DATA'!W205, 1819467959, RV_DATA!O162:'RV_DATA'!O205), 6)</f>
        <v>89.19</v>
      </c>
      <c r="Q169">
        <v>3</v>
      </c>
    </row>
    <row r="170" spans="1:17" ht="28.5" x14ac:dyDescent="0.2">
      <c r="A170" s="85" t="s">
        <v>429</v>
      </c>
      <c r="B170" s="68" t="s">
        <v>431</v>
      </c>
      <c r="C170" s="68" t="s">
        <v>298</v>
      </c>
      <c r="D170" s="69">
        <f>ROUND(SUMIF(RV_DATA!W162:'RV_DATA'!W205, 2115870156, RV_DATA!I162:'RV_DATA'!I205), 6)</f>
        <v>5.6672000000000002</v>
      </c>
      <c r="E170" s="86">
        <f>ROUND(RV_DATA!K187, 6)</f>
        <v>12.02</v>
      </c>
      <c r="F170" s="86">
        <f>ROUND(SUMIF(RV_DATA!W162:'RV_DATA'!W205, 2115870156, RV_DATA!M162:'RV_DATA'!M205), 6)</f>
        <v>68.12</v>
      </c>
      <c r="G170" s="86">
        <f>ROUND(RV_DATA!N187, 6)</f>
        <v>12.02</v>
      </c>
      <c r="H170" s="86">
        <f>ROUND(SUMIF(RV_DATA!W162:'RV_DATA'!W205, 2115870156, RV_DATA!O162:'RV_DATA'!O205), 6)</f>
        <v>68.12</v>
      </c>
      <c r="Q170">
        <v>3</v>
      </c>
    </row>
    <row r="171" spans="1:17" ht="14.25" x14ac:dyDescent="0.2">
      <c r="A171" s="85" t="s">
        <v>432</v>
      </c>
      <c r="B171" s="68" t="s">
        <v>434</v>
      </c>
      <c r="C171" s="68" t="s">
        <v>101</v>
      </c>
      <c r="D171" s="69">
        <f>ROUND(SUMIF(RV_DATA!W162:'RV_DATA'!W205, -1513198188, RV_DATA!I162:'RV_DATA'!I205), 6)</f>
        <v>3.1879999999999999E-3</v>
      </c>
      <c r="E171" s="86">
        <f>ROUND(RV_DATA!K186, 6)</f>
        <v>343020.03</v>
      </c>
      <c r="F171" s="86">
        <f>ROUND(SUMIF(RV_DATA!W162:'RV_DATA'!W205, -1513198188, RV_DATA!M162:'RV_DATA'!M205), 6)</f>
        <v>1093.48</v>
      </c>
      <c r="G171" s="86">
        <f>ROUND(RV_DATA!N186, 6)</f>
        <v>343020.03</v>
      </c>
      <c r="H171" s="86">
        <f>ROUND(SUMIF(RV_DATA!W162:'RV_DATA'!W205, -1513198188, RV_DATA!O162:'RV_DATA'!O205), 6)</f>
        <v>1093.48</v>
      </c>
      <c r="Q171">
        <v>3</v>
      </c>
    </row>
    <row r="172" spans="1:17" ht="28.5" x14ac:dyDescent="0.2">
      <c r="A172" s="85" t="s">
        <v>435</v>
      </c>
      <c r="B172" s="68" t="s">
        <v>437</v>
      </c>
      <c r="C172" s="68" t="s">
        <v>438</v>
      </c>
      <c r="D172" s="69">
        <f>ROUND(SUMIF(RV_DATA!W162:'RV_DATA'!W205, 1650918109, RV_DATA!I162:'RV_DATA'!I205), 6)</f>
        <v>892.58399999999995</v>
      </c>
      <c r="E172" s="86">
        <f>ROUND(RV_DATA!K185, 6)</f>
        <v>17.77</v>
      </c>
      <c r="F172" s="86">
        <f>ROUND(SUMIF(RV_DATA!W162:'RV_DATA'!W205, 1650918109, RV_DATA!M162:'RV_DATA'!M205), 6)</f>
        <v>15861.22</v>
      </c>
      <c r="G172" s="86">
        <f>ROUND(RV_DATA!N185, 6)</f>
        <v>17.77</v>
      </c>
      <c r="H172" s="86">
        <f>ROUND(SUMIF(RV_DATA!W162:'RV_DATA'!W205, 1650918109, RV_DATA!O162:'RV_DATA'!O205), 6)</f>
        <v>15861.22</v>
      </c>
      <c r="Q172">
        <v>3</v>
      </c>
    </row>
    <row r="173" spans="1:17" ht="57" x14ac:dyDescent="0.2">
      <c r="A173" s="85" t="s">
        <v>439</v>
      </c>
      <c r="B173" s="68" t="s">
        <v>441</v>
      </c>
      <c r="C173" s="68" t="s">
        <v>438</v>
      </c>
      <c r="D173" s="69">
        <f>ROUND(SUMIF(RV_DATA!W162:'RV_DATA'!W205, 1409483656, RV_DATA!I162:'RV_DATA'!I205), 6)</f>
        <v>286.90199999999999</v>
      </c>
      <c r="E173" s="86">
        <f>ROUND(RV_DATA!K184, 6)</f>
        <v>202.34</v>
      </c>
      <c r="F173" s="86">
        <f>ROUND(SUMIF(RV_DATA!W162:'RV_DATA'!W205, 1409483656, RV_DATA!M162:'RV_DATA'!M205), 6)</f>
        <v>58051.75</v>
      </c>
      <c r="G173" s="86">
        <f>ROUND(RV_DATA!N184, 6)</f>
        <v>202.34</v>
      </c>
      <c r="H173" s="86">
        <f>ROUND(SUMIF(RV_DATA!W162:'RV_DATA'!W205, 1409483656, RV_DATA!O162:'RV_DATA'!O205), 6)</f>
        <v>58051.75</v>
      </c>
      <c r="Q173">
        <v>3</v>
      </c>
    </row>
    <row r="174" spans="1:17" ht="28.5" x14ac:dyDescent="0.2">
      <c r="A174" s="85" t="s">
        <v>442</v>
      </c>
      <c r="B174" s="68" t="s">
        <v>444</v>
      </c>
      <c r="C174" s="68" t="s">
        <v>101</v>
      </c>
      <c r="D174" s="69">
        <f>ROUND(SUMIF(RV_DATA!W162:'RV_DATA'!W205, 1055948583, RV_DATA!I162:'RV_DATA'!I205), 6)</f>
        <v>6.3755999999999993E-2</v>
      </c>
      <c r="E174" s="86">
        <f>ROUND(RV_DATA!K183, 6)</f>
        <v>748299.67</v>
      </c>
      <c r="F174" s="86">
        <f>ROUND(SUMIF(RV_DATA!W162:'RV_DATA'!W205, 1055948583, RV_DATA!M162:'RV_DATA'!M205), 6)</f>
        <v>47708.6</v>
      </c>
      <c r="G174" s="86">
        <f>ROUND(RV_DATA!N183, 6)</f>
        <v>748299.67</v>
      </c>
      <c r="H174" s="86">
        <f>ROUND(SUMIF(RV_DATA!W162:'RV_DATA'!W205, 1055948583, RV_DATA!O162:'RV_DATA'!O205), 6)</f>
        <v>47708.6</v>
      </c>
      <c r="Q174">
        <v>3</v>
      </c>
    </row>
    <row r="175" spans="1:17" ht="57" x14ac:dyDescent="0.2">
      <c r="A175" s="85" t="s">
        <v>448</v>
      </c>
      <c r="B175" s="68" t="s">
        <v>450</v>
      </c>
      <c r="C175" s="68" t="s">
        <v>28</v>
      </c>
      <c r="D175" s="69">
        <f>ROUND(SUMIF(RV_DATA!W162:'RV_DATA'!W205, -1406457179, RV_DATA!I162:'RV_DATA'!I205), 6)</f>
        <v>1.7372000000000001</v>
      </c>
      <c r="E175" s="86">
        <f>ROUND(RV_DATA!K199, 6)</f>
        <v>3714.73</v>
      </c>
      <c r="F175" s="86">
        <f>ROUND(SUMIF(RV_DATA!W162:'RV_DATA'!W205, -1406457179, RV_DATA!M162:'RV_DATA'!M205), 6)</f>
        <v>6453.23</v>
      </c>
      <c r="G175" s="86">
        <f>ROUND(RV_DATA!N199, 6)</f>
        <v>3714.73</v>
      </c>
      <c r="H175" s="86">
        <f>ROUND(SUMIF(RV_DATA!W162:'RV_DATA'!W205, -1406457179, RV_DATA!O162:'RV_DATA'!O205), 6)</f>
        <v>6453.23</v>
      </c>
      <c r="Q175">
        <v>3</v>
      </c>
    </row>
    <row r="176" spans="1:17" ht="14.25" x14ac:dyDescent="0.2">
      <c r="A176" s="85" t="s">
        <v>457</v>
      </c>
      <c r="B176" s="68" t="s">
        <v>459</v>
      </c>
      <c r="C176" s="68" t="s">
        <v>28</v>
      </c>
      <c r="D176" s="69">
        <f>ROUND(SUMIF(RV_DATA!W162:'RV_DATA'!W205, 809277097, RV_DATA!I162:'RV_DATA'!I205), 6)</f>
        <v>5.9999999999999995E-4</v>
      </c>
      <c r="E176" s="86">
        <f>ROUND(RV_DATA!K201, 6)</f>
        <v>3323.4</v>
      </c>
      <c r="F176" s="86">
        <f>ROUND(SUMIF(RV_DATA!W162:'RV_DATA'!W205, 809277097, RV_DATA!M162:'RV_DATA'!M205), 6)</f>
        <v>1.99</v>
      </c>
      <c r="G176" s="86">
        <f>ROUND(RV_DATA!N201, 6)</f>
        <v>3323.4</v>
      </c>
      <c r="H176" s="86">
        <f>ROUND(SUMIF(RV_DATA!W162:'RV_DATA'!W205, 809277097, RV_DATA!O162:'RV_DATA'!O205), 6)</f>
        <v>1.99</v>
      </c>
      <c r="Q176">
        <v>3</v>
      </c>
    </row>
    <row r="177" spans="1:17" ht="14.25" x14ac:dyDescent="0.2">
      <c r="A177" s="85" t="s">
        <v>451</v>
      </c>
      <c r="B177" s="68" t="s">
        <v>453</v>
      </c>
      <c r="C177" s="68" t="s">
        <v>28</v>
      </c>
      <c r="D177" s="69">
        <f>ROUND(SUMIF(RV_DATA!W162:'RV_DATA'!W205, 761304375, RV_DATA!I162:'RV_DATA'!I205), 6)</f>
        <v>8.0800000000000004E-3</v>
      </c>
      <c r="E177" s="86">
        <f>ROUND(RV_DATA!K198, 6)</f>
        <v>3392.59</v>
      </c>
      <c r="F177" s="86">
        <f>ROUND(SUMIF(RV_DATA!W162:'RV_DATA'!W205, 761304375, RV_DATA!M162:'RV_DATA'!M205), 6)</f>
        <v>27.41</v>
      </c>
      <c r="G177" s="86">
        <f>ROUND(RV_DATA!N198, 6)</f>
        <v>3392.59</v>
      </c>
      <c r="H177" s="86">
        <f>ROUND(SUMIF(RV_DATA!W162:'RV_DATA'!W205, 761304375, RV_DATA!O162:'RV_DATA'!O205), 6)</f>
        <v>27.41</v>
      </c>
      <c r="Q177">
        <v>3</v>
      </c>
    </row>
    <row r="178" spans="1:17" ht="28.5" x14ac:dyDescent="0.2">
      <c r="A178" s="85" t="s">
        <v>414</v>
      </c>
      <c r="B178" s="68" t="s">
        <v>416</v>
      </c>
      <c r="C178" s="68" t="s">
        <v>101</v>
      </c>
      <c r="D178" s="69">
        <f>ROUND(SUMIF(RV_DATA!W162:'RV_DATA'!W205, -1328752311, RV_DATA!I162:'RV_DATA'!I205), 6)</f>
        <v>7.2256799999999997</v>
      </c>
      <c r="E178" s="86">
        <f>ROUND(RV_DATA!K180, 6)</f>
        <v>2652.04</v>
      </c>
      <c r="F178" s="86">
        <f>ROUND(SUMIF(RV_DATA!W162:'RV_DATA'!W205, -1328752311, RV_DATA!M162:'RV_DATA'!M205), 6)</f>
        <v>19162.8</v>
      </c>
      <c r="G178" s="86">
        <f>ROUND(RV_DATA!N180, 6)</f>
        <v>2652.04</v>
      </c>
      <c r="H178" s="86">
        <f>ROUND(SUMIF(RV_DATA!W162:'RV_DATA'!W205, -1328752311, RV_DATA!O162:'RV_DATA'!O205), 6)</f>
        <v>19162.8</v>
      </c>
      <c r="Q178">
        <v>3</v>
      </c>
    </row>
    <row r="179" spans="1:17" ht="28.5" x14ac:dyDescent="0.2">
      <c r="A179" s="85" t="s">
        <v>454</v>
      </c>
      <c r="B179" s="68" t="s">
        <v>456</v>
      </c>
      <c r="C179" s="68" t="s">
        <v>28</v>
      </c>
      <c r="D179" s="69">
        <f>ROUND(SUMIF(RV_DATA!W162:'RV_DATA'!W205, -418158513, RV_DATA!I162:'RV_DATA'!I205), 6)</f>
        <v>0.64639999999999997</v>
      </c>
      <c r="E179" s="86">
        <f>ROUND(RV_DATA!K197, 6)</f>
        <v>11566.57</v>
      </c>
      <c r="F179" s="86">
        <f>ROUND(SUMIF(RV_DATA!W162:'RV_DATA'!W205, -418158513, RV_DATA!M162:'RV_DATA'!M205), 6)</f>
        <v>7476.63</v>
      </c>
      <c r="G179" s="86">
        <f>ROUND(RV_DATA!N197, 6)</f>
        <v>11566.57</v>
      </c>
      <c r="H179" s="86">
        <f>ROUND(SUMIF(RV_DATA!W162:'RV_DATA'!W205, -418158513, RV_DATA!O162:'RV_DATA'!O205), 6)</f>
        <v>7476.63</v>
      </c>
      <c r="Q179">
        <v>3</v>
      </c>
    </row>
    <row r="180" spans="1:17" ht="85.5" x14ac:dyDescent="0.2">
      <c r="A180" s="85" t="s">
        <v>104</v>
      </c>
      <c r="B180" s="68" t="s">
        <v>105</v>
      </c>
      <c r="C180" s="68" t="s">
        <v>106</v>
      </c>
      <c r="D180" s="69">
        <f>ROUND(SUMIF(RV_DATA!W162:'RV_DATA'!W205, 1338406588, RV_DATA!I162:'RV_DATA'!I205), 6)</f>
        <v>1</v>
      </c>
      <c r="E180" s="86">
        <f>ROUND(RV_DATA!K202, 6)</f>
        <v>17250</v>
      </c>
      <c r="F180" s="86">
        <f>ROUND(SUMIF(RV_DATA!W162:'RV_DATA'!W205, 1338406588, RV_DATA!M162:'RV_DATA'!M205), 6)</f>
        <v>17250</v>
      </c>
      <c r="G180" s="86">
        <f>ROUND(RV_DATA!N202, 6)</f>
        <v>17250</v>
      </c>
      <c r="H180" s="86">
        <f>ROUND(SUMIF(RV_DATA!W162:'RV_DATA'!W205, 1338406588, RV_DATA!O162:'RV_DATA'!O205), 6)</f>
        <v>17250</v>
      </c>
      <c r="Q180">
        <v>3</v>
      </c>
    </row>
    <row r="181" spans="1:17" ht="71.25" x14ac:dyDescent="0.2">
      <c r="A181" s="85" t="s">
        <v>104</v>
      </c>
      <c r="B181" s="68" t="s">
        <v>110</v>
      </c>
      <c r="C181" s="68" t="s">
        <v>106</v>
      </c>
      <c r="D181" s="69">
        <f>ROUND(SUMIF(RV_DATA!W162:'RV_DATA'!W205, -2073129128, RV_DATA!I162:'RV_DATA'!I205), 6)</f>
        <v>1</v>
      </c>
      <c r="E181" s="86">
        <f>ROUND(RV_DATA!K203, 6)</f>
        <v>44166.67</v>
      </c>
      <c r="F181" s="86">
        <f>ROUND(SUMIF(RV_DATA!W162:'RV_DATA'!W205, -2073129128, RV_DATA!M162:'RV_DATA'!M205), 6)</f>
        <v>44166.67</v>
      </c>
      <c r="G181" s="86">
        <f>ROUND(RV_DATA!N203, 6)</f>
        <v>44166.67</v>
      </c>
      <c r="H181" s="86">
        <f>ROUND(SUMIF(RV_DATA!W162:'RV_DATA'!W205, -2073129128, RV_DATA!O162:'RV_DATA'!O205), 6)</f>
        <v>44166.67</v>
      </c>
      <c r="Q181">
        <v>3</v>
      </c>
    </row>
    <row r="182" spans="1:17" ht="99.75" x14ac:dyDescent="0.2">
      <c r="A182" s="85" t="s">
        <v>104</v>
      </c>
      <c r="B182" s="68" t="s">
        <v>206</v>
      </c>
      <c r="C182" s="68" t="s">
        <v>106</v>
      </c>
      <c r="D182" s="69">
        <f>ROUND(SUMIF(RV_DATA!W162:'RV_DATA'!W205, -82390964, RV_DATA!I162:'RV_DATA'!I205), 6)</f>
        <v>1</v>
      </c>
      <c r="E182" s="86">
        <f>ROUND(RV_DATA!K204, 6)</f>
        <v>48916.67</v>
      </c>
      <c r="F182" s="86">
        <f>ROUND(SUMIF(RV_DATA!W162:'RV_DATA'!W205, -82390964, RV_DATA!M162:'RV_DATA'!M205), 6)</f>
        <v>48916.67</v>
      </c>
      <c r="G182" s="86">
        <f>ROUND(RV_DATA!N204, 6)</f>
        <v>48916.67</v>
      </c>
      <c r="H182" s="86">
        <f>ROUND(SUMIF(RV_DATA!W162:'RV_DATA'!W205, -82390964, RV_DATA!O162:'RV_DATA'!O205), 6)</f>
        <v>48916.67</v>
      </c>
      <c r="Q182">
        <v>3</v>
      </c>
    </row>
    <row r="183" spans="1:17" ht="71.25" x14ac:dyDescent="0.2">
      <c r="A183" s="85" t="s">
        <v>104</v>
      </c>
      <c r="B183" s="68" t="s">
        <v>209</v>
      </c>
      <c r="C183" s="68" t="s">
        <v>106</v>
      </c>
      <c r="D183" s="69">
        <f>ROUND(SUMIF(RV_DATA!W162:'RV_DATA'!W205, 727427344, RV_DATA!I162:'RV_DATA'!I205), 6)</f>
        <v>1</v>
      </c>
      <c r="E183" s="86">
        <f>ROUND(RV_DATA!K205, 6)</f>
        <v>10833.33</v>
      </c>
      <c r="F183" s="86">
        <f>ROUND(SUMIF(RV_DATA!W162:'RV_DATA'!W205, 727427344, RV_DATA!M162:'RV_DATA'!M205), 6)</f>
        <v>10833.33</v>
      </c>
      <c r="G183" s="86">
        <f>ROUND(RV_DATA!N205, 6)</f>
        <v>10833.33</v>
      </c>
      <c r="H183" s="86">
        <f>ROUND(SUMIF(RV_DATA!W162:'RV_DATA'!W205, 727427344, RV_DATA!O162:'RV_DATA'!O205), 6)</f>
        <v>10833.33</v>
      </c>
      <c r="Q183">
        <v>3</v>
      </c>
    </row>
    <row r="184" spans="1:17" ht="15" x14ac:dyDescent="0.25">
      <c r="A184" s="87" t="s">
        <v>628</v>
      </c>
      <c r="B184" s="87"/>
      <c r="C184" s="87"/>
      <c r="D184" s="87"/>
      <c r="E184" s="88">
        <f>SUMIF(Q166:Q183, 3, F166:F183)</f>
        <v>316365.69</v>
      </c>
      <c r="F184" s="88"/>
      <c r="G184" s="88">
        <f>SUMIF(Q166:Q183, 3, H166:H183)</f>
        <v>316365.69</v>
      </c>
      <c r="H184" s="87"/>
    </row>
    <row r="185" spans="1:17" ht="16.5" x14ac:dyDescent="0.2">
      <c r="A185" s="75" t="str">
        <f>CONCATENATE("Подраздел: ",IF(Source!G321&lt;&gt;"Новый подраздел", Source!G321, ""))</f>
        <v>Подраздел: Ремонт асфальта</v>
      </c>
      <c r="B185" s="76"/>
      <c r="C185" s="76"/>
      <c r="D185" s="76"/>
      <c r="E185" s="76"/>
      <c r="F185" s="76"/>
      <c r="G185" s="76"/>
      <c r="H185" s="76"/>
    </row>
    <row r="186" spans="1:17" ht="14.25" x14ac:dyDescent="0.2">
      <c r="A186" s="83" t="s">
        <v>625</v>
      </c>
      <c r="B186" s="84"/>
      <c r="C186" s="84"/>
      <c r="D186" s="84"/>
      <c r="E186" s="84"/>
      <c r="F186" s="84"/>
      <c r="G186" s="84"/>
      <c r="H186" s="84"/>
    </row>
    <row r="187" spans="1:17" ht="28.5" x14ac:dyDescent="0.2">
      <c r="A187" s="85" t="s">
        <v>487</v>
      </c>
      <c r="B187" s="68" t="s">
        <v>489</v>
      </c>
      <c r="C187" s="68" t="s">
        <v>84</v>
      </c>
      <c r="D187" s="69">
        <f>ROUND(SUMIF(RV_DATA!W207:'RV_DATA'!W223, 1420592497, RV_DATA!I207:'RV_DATA'!I223), 6)</f>
        <v>0.95040000000000002</v>
      </c>
      <c r="E187" s="86">
        <f>ROUND(RV_DATA!K223, 6)</f>
        <v>470.71</v>
      </c>
      <c r="F187" s="86">
        <f>ROUND(SUMIF(RV_DATA!W207:'RV_DATA'!W223, 1420592497, RV_DATA!M207:'RV_DATA'!M223), 6)</f>
        <v>447.34</v>
      </c>
      <c r="G187" s="86">
        <f>ROUND(RV_DATA!N223, 6)</f>
        <v>470.71</v>
      </c>
      <c r="H187" s="86">
        <f>ROUND(SUMIF(RV_DATA!W207:'RV_DATA'!W223, 1420592497, RV_DATA!O207:'RV_DATA'!O223), 6)</f>
        <v>447.34</v>
      </c>
      <c r="Q187">
        <v>2</v>
      </c>
    </row>
    <row r="188" spans="1:17" ht="28.5" x14ac:dyDescent="0.2">
      <c r="A188" s="85" t="s">
        <v>472</v>
      </c>
      <c r="B188" s="68" t="s">
        <v>474</v>
      </c>
      <c r="C188" s="68" t="s">
        <v>84</v>
      </c>
      <c r="D188" s="69">
        <f>ROUND(SUMIF(RV_DATA!W207:'RV_DATA'!W223, -347542563, RV_DATA!I207:'RV_DATA'!I223), 6)</f>
        <v>6.1943999999999999</v>
      </c>
      <c r="E188" s="86">
        <f>ROUND(RV_DATA!K211, 6)</f>
        <v>893.38</v>
      </c>
      <c r="F188" s="86">
        <f>ROUND(SUMIF(RV_DATA!W207:'RV_DATA'!W223, -347542563, RV_DATA!M207:'RV_DATA'!M223), 6)</f>
        <v>5533.84</v>
      </c>
      <c r="G188" s="86">
        <f>ROUND(RV_DATA!N211, 6)</f>
        <v>893.38</v>
      </c>
      <c r="H188" s="86">
        <f>ROUND(SUMIF(RV_DATA!W207:'RV_DATA'!W223, -347542563, RV_DATA!O207:'RV_DATA'!O223), 6)</f>
        <v>5533.84</v>
      </c>
      <c r="Q188">
        <v>2</v>
      </c>
    </row>
    <row r="189" spans="1:17" ht="42.75" x14ac:dyDescent="0.2">
      <c r="A189" s="85" t="s">
        <v>490</v>
      </c>
      <c r="B189" s="68" t="s">
        <v>492</v>
      </c>
      <c r="C189" s="68" t="s">
        <v>84</v>
      </c>
      <c r="D189" s="69">
        <f>ROUND(SUMIF(RV_DATA!W207:'RV_DATA'!W223, 1334446944, RV_DATA!I207:'RV_DATA'!I223), 6)</f>
        <v>0.36</v>
      </c>
      <c r="E189" s="86">
        <f>ROUND(RV_DATA!K222, 6)</f>
        <v>1090.94</v>
      </c>
      <c r="F189" s="86">
        <f>ROUND(SUMIF(RV_DATA!W207:'RV_DATA'!W223, 1334446944, RV_DATA!M207:'RV_DATA'!M223), 6)</f>
        <v>392.76</v>
      </c>
      <c r="G189" s="86">
        <f>ROUND(RV_DATA!N222, 6)</f>
        <v>1090.94</v>
      </c>
      <c r="H189" s="86">
        <f>ROUND(SUMIF(RV_DATA!W207:'RV_DATA'!W223, 1334446944, RV_DATA!O207:'RV_DATA'!O223), 6)</f>
        <v>392.76</v>
      </c>
      <c r="Q189">
        <v>2</v>
      </c>
    </row>
    <row r="190" spans="1:17" ht="14.25" x14ac:dyDescent="0.2">
      <c r="A190" s="85" t="s">
        <v>463</v>
      </c>
      <c r="B190" s="68" t="s">
        <v>465</v>
      </c>
      <c r="C190" s="68" t="s">
        <v>84</v>
      </c>
      <c r="D190" s="69">
        <f>ROUND(SUMIF(RV_DATA!W207:'RV_DATA'!W223, 1818908340, RV_DATA!I207:'RV_DATA'!I223), 6)</f>
        <v>0.95040000000000002</v>
      </c>
      <c r="E190" s="86">
        <f>ROUND(RV_DATA!K221, 6)</f>
        <v>6.02</v>
      </c>
      <c r="F190" s="86">
        <f>ROUND(SUMIF(RV_DATA!W207:'RV_DATA'!W223, 1818908340, RV_DATA!M207:'RV_DATA'!M223), 6)</f>
        <v>5.69</v>
      </c>
      <c r="G190" s="86">
        <f>ROUND(RV_DATA!N221, 6)</f>
        <v>6.02</v>
      </c>
      <c r="H190" s="86">
        <f>ROUND(SUMIF(RV_DATA!W207:'RV_DATA'!W223, 1818908340, RV_DATA!O207:'RV_DATA'!O223), 6)</f>
        <v>5.69</v>
      </c>
      <c r="Q190">
        <v>2</v>
      </c>
    </row>
    <row r="191" spans="1:17" ht="42.75" x14ac:dyDescent="0.2">
      <c r="A191" s="85" t="s">
        <v>493</v>
      </c>
      <c r="B191" s="68" t="s">
        <v>495</v>
      </c>
      <c r="C191" s="68" t="s">
        <v>84</v>
      </c>
      <c r="D191" s="69">
        <f>ROUND(SUMIF(RV_DATA!W207:'RV_DATA'!W223, -428940681, RV_DATA!I207:'RV_DATA'!I223), 6)</f>
        <v>0.64080000000000004</v>
      </c>
      <c r="E191" s="86">
        <f>ROUND(RV_DATA!K220, 6)</f>
        <v>829.85</v>
      </c>
      <c r="F191" s="86">
        <f>ROUND(SUMIF(RV_DATA!W207:'RV_DATA'!W223, -428940681, RV_DATA!M207:'RV_DATA'!M223), 6)</f>
        <v>531.79</v>
      </c>
      <c r="G191" s="86">
        <f>ROUND(RV_DATA!N220, 6)</f>
        <v>829.85</v>
      </c>
      <c r="H191" s="86">
        <f>ROUND(SUMIF(RV_DATA!W207:'RV_DATA'!W223, -428940681, RV_DATA!O207:'RV_DATA'!O223), 6)</f>
        <v>531.79</v>
      </c>
      <c r="Q191">
        <v>2</v>
      </c>
    </row>
    <row r="192" spans="1:17" ht="42.75" x14ac:dyDescent="0.2">
      <c r="A192" s="85" t="s">
        <v>475</v>
      </c>
      <c r="B192" s="68" t="s">
        <v>477</v>
      </c>
      <c r="C192" s="68" t="s">
        <v>84</v>
      </c>
      <c r="D192" s="69">
        <f>ROUND(SUMIF(RV_DATA!W207:'RV_DATA'!W223, -1063239858, RV_DATA!I207:'RV_DATA'!I223), 6)</f>
        <v>6.4943999999999997</v>
      </c>
      <c r="E192" s="86">
        <f>ROUND(RV_DATA!K210, 6)</f>
        <v>967.89</v>
      </c>
      <c r="F192" s="86">
        <f>ROUND(SUMIF(RV_DATA!W207:'RV_DATA'!W223, -1063239858, RV_DATA!M207:'RV_DATA'!M223), 6)</f>
        <v>6285.83</v>
      </c>
      <c r="G192" s="86">
        <f>ROUND(RV_DATA!N210, 6)</f>
        <v>967.89</v>
      </c>
      <c r="H192" s="86">
        <f>ROUND(SUMIF(RV_DATA!W207:'RV_DATA'!W223, -1063239858, RV_DATA!O207:'RV_DATA'!O223), 6)</f>
        <v>6285.83</v>
      </c>
      <c r="Q192">
        <v>2</v>
      </c>
    </row>
    <row r="193" spans="1:17" ht="28.5" x14ac:dyDescent="0.2">
      <c r="A193" s="85" t="s">
        <v>478</v>
      </c>
      <c r="B193" s="68" t="s">
        <v>480</v>
      </c>
      <c r="C193" s="68" t="s">
        <v>84</v>
      </c>
      <c r="D193" s="69">
        <f>ROUND(SUMIF(RV_DATA!W207:'RV_DATA'!W223, 479875030, RV_DATA!I207:'RV_DATA'!I223), 6)</f>
        <v>8.8872</v>
      </c>
      <c r="E193" s="86">
        <f>ROUND(RV_DATA!K209, 6)</f>
        <v>1028.6300000000001</v>
      </c>
      <c r="F193" s="86">
        <f>ROUND(SUMIF(RV_DATA!W207:'RV_DATA'!W223, 479875030, RV_DATA!M207:'RV_DATA'!M223), 6)</f>
        <v>9141.64</v>
      </c>
      <c r="G193" s="86">
        <f>ROUND(RV_DATA!N209, 6)</f>
        <v>1028.6300000000001</v>
      </c>
      <c r="H193" s="86">
        <f>ROUND(SUMIF(RV_DATA!W207:'RV_DATA'!W223, 479875030, RV_DATA!O207:'RV_DATA'!O223), 6)</f>
        <v>9141.64</v>
      </c>
      <c r="Q193">
        <v>2</v>
      </c>
    </row>
    <row r="194" spans="1:17" ht="15" x14ac:dyDescent="0.25">
      <c r="A194" s="87" t="s">
        <v>626</v>
      </c>
      <c r="B194" s="87"/>
      <c r="C194" s="87"/>
      <c r="D194" s="87"/>
      <c r="E194" s="88">
        <f>SUMIF(Q187:Q193, 2, F187:F193)</f>
        <v>22338.89</v>
      </c>
      <c r="F194" s="88"/>
      <c r="G194" s="88">
        <f>SUMIF(Q187:Q193, 2, H187:H193)</f>
        <v>22338.89</v>
      </c>
      <c r="H194" s="87"/>
    </row>
    <row r="195" spans="1:17" ht="14.25" x14ac:dyDescent="0.2">
      <c r="A195" s="83" t="s">
        <v>627</v>
      </c>
      <c r="B195" s="84"/>
      <c r="C195" s="84"/>
      <c r="D195" s="84"/>
      <c r="E195" s="84"/>
      <c r="F195" s="84"/>
      <c r="G195" s="84"/>
      <c r="H195" s="84"/>
    </row>
    <row r="196" spans="1:17" ht="42.75" x14ac:dyDescent="0.2">
      <c r="A196" s="85" t="s">
        <v>481</v>
      </c>
      <c r="B196" s="68" t="s">
        <v>483</v>
      </c>
      <c r="C196" s="68" t="s">
        <v>28</v>
      </c>
      <c r="D196" s="69">
        <f>ROUND(SUMIF(RV_DATA!W207:'RV_DATA'!W223, 2067559899, RV_DATA!I207:'RV_DATA'!I223), 6)</f>
        <v>0.20927999999999999</v>
      </c>
      <c r="E196" s="86">
        <f>ROUND(RV_DATA!K208, 6)</f>
        <v>2227</v>
      </c>
      <c r="F196" s="86">
        <f>ROUND(SUMIF(RV_DATA!W207:'RV_DATA'!W223, 2067559899, RV_DATA!M207:'RV_DATA'!M223), 6)</f>
        <v>466.17</v>
      </c>
      <c r="G196" s="86">
        <f>ROUND(RV_DATA!N208, 6)</f>
        <v>2227</v>
      </c>
      <c r="H196" s="86">
        <f>ROUND(SUMIF(RV_DATA!W207:'RV_DATA'!W223, 2067559899, RV_DATA!O207:'RV_DATA'!O223), 6)</f>
        <v>466.17</v>
      </c>
      <c r="Q196">
        <v>3</v>
      </c>
    </row>
    <row r="197" spans="1:17" ht="71.25" x14ac:dyDescent="0.2">
      <c r="A197" s="85" t="s">
        <v>496</v>
      </c>
      <c r="B197" s="68" t="s">
        <v>498</v>
      </c>
      <c r="C197" s="68" t="s">
        <v>28</v>
      </c>
      <c r="D197" s="69">
        <f>ROUND(SUMIF(RV_DATA!W207:'RV_DATA'!W223, -1242065342, RV_DATA!I207:'RV_DATA'!I223), 6)</f>
        <v>0.42480000000000001</v>
      </c>
      <c r="E197" s="86">
        <f>ROUND(RV_DATA!K219, 6)</f>
        <v>3694.66</v>
      </c>
      <c r="F197" s="86">
        <f>ROUND(SUMIF(RV_DATA!W207:'RV_DATA'!W223, -1242065342, RV_DATA!M207:'RV_DATA'!M223), 6)</f>
        <v>1569.46</v>
      </c>
      <c r="G197" s="86">
        <f>ROUND(RV_DATA!N219, 6)</f>
        <v>3694.66</v>
      </c>
      <c r="H197" s="86">
        <f>ROUND(SUMIF(RV_DATA!W207:'RV_DATA'!W223, -1242065342, RV_DATA!O207:'RV_DATA'!O223), 6)</f>
        <v>1569.46</v>
      </c>
      <c r="Q197">
        <v>3</v>
      </c>
    </row>
    <row r="198" spans="1:17" ht="14.25" x14ac:dyDescent="0.2">
      <c r="A198" s="85" t="s">
        <v>451</v>
      </c>
      <c r="B198" s="68" t="s">
        <v>453</v>
      </c>
      <c r="C198" s="68" t="s">
        <v>28</v>
      </c>
      <c r="D198" s="69">
        <f>ROUND(SUMIF(RV_DATA!W207:'RV_DATA'!W223, 761304375, RV_DATA!I207:'RV_DATA'!I223), 6)</f>
        <v>4.3200000000000001E-3</v>
      </c>
      <c r="E198" s="86">
        <f>ROUND(RV_DATA!K218, 6)</f>
        <v>3392.59</v>
      </c>
      <c r="F198" s="86">
        <f>ROUND(SUMIF(RV_DATA!W207:'RV_DATA'!W223, 761304375, RV_DATA!M207:'RV_DATA'!M223), 6)</f>
        <v>14.69</v>
      </c>
      <c r="G198" s="86">
        <f>ROUND(RV_DATA!N218, 6)</f>
        <v>3392.59</v>
      </c>
      <c r="H198" s="86">
        <f>ROUND(SUMIF(RV_DATA!W207:'RV_DATA'!W223, 761304375, RV_DATA!O207:'RV_DATA'!O223), 6)</f>
        <v>14.69</v>
      </c>
      <c r="Q198">
        <v>3</v>
      </c>
    </row>
    <row r="199" spans="1:17" ht="28.5" x14ac:dyDescent="0.2">
      <c r="A199" s="85" t="s">
        <v>484</v>
      </c>
      <c r="B199" s="68" t="s">
        <v>486</v>
      </c>
      <c r="C199" s="68" t="s">
        <v>101</v>
      </c>
      <c r="D199" s="69">
        <f>ROUND(SUMIF(RV_DATA!W207:'RV_DATA'!W223, 1490530020, RV_DATA!I207:'RV_DATA'!I223), 6)</f>
        <v>6.54</v>
      </c>
      <c r="E199" s="86">
        <f>ROUND(RV_DATA!K207, 6)</f>
        <v>2562.79</v>
      </c>
      <c r="F199" s="86">
        <f>ROUND(SUMIF(RV_DATA!W207:'RV_DATA'!W223, 1490530020, RV_DATA!M207:'RV_DATA'!M223), 6)</f>
        <v>16760.71</v>
      </c>
      <c r="G199" s="86">
        <f>ROUND(RV_DATA!N207, 6)</f>
        <v>2562.79</v>
      </c>
      <c r="H199" s="86">
        <f>ROUND(SUMIF(RV_DATA!W207:'RV_DATA'!W223, 1490530020, RV_DATA!O207:'RV_DATA'!O223), 6)</f>
        <v>16760.71</v>
      </c>
      <c r="Q199">
        <v>3</v>
      </c>
    </row>
    <row r="200" spans="1:17" ht="28.5" x14ac:dyDescent="0.2">
      <c r="A200" s="85" t="s">
        <v>499</v>
      </c>
      <c r="B200" s="68" t="s">
        <v>501</v>
      </c>
      <c r="C200" s="68" t="s">
        <v>28</v>
      </c>
      <c r="D200" s="69">
        <f>ROUND(SUMIF(RV_DATA!W207:'RV_DATA'!W223, -255063541, RV_DATA!I207:'RV_DATA'!I223), 6)</f>
        <v>0.31391999999999998</v>
      </c>
      <c r="E200" s="86">
        <f>ROUND(RV_DATA!K217, 6)</f>
        <v>7833.01</v>
      </c>
      <c r="F200" s="86">
        <f>ROUND(SUMIF(RV_DATA!W207:'RV_DATA'!W223, -255063541, RV_DATA!M207:'RV_DATA'!M223), 6)</f>
        <v>2458.94</v>
      </c>
      <c r="G200" s="86">
        <f>ROUND(RV_DATA!N217, 6)</f>
        <v>7833.01</v>
      </c>
      <c r="H200" s="86">
        <f>ROUND(SUMIF(RV_DATA!W207:'RV_DATA'!W223, -255063541, RV_DATA!O207:'RV_DATA'!O223), 6)</f>
        <v>2458.94</v>
      </c>
      <c r="Q200">
        <v>3</v>
      </c>
    </row>
    <row r="201" spans="1:17" ht="15" x14ac:dyDescent="0.25">
      <c r="A201" s="87" t="s">
        <v>628</v>
      </c>
      <c r="B201" s="87"/>
      <c r="C201" s="87"/>
      <c r="D201" s="87"/>
      <c r="E201" s="88">
        <f>SUMIF(Q196:Q200, 3, F196:F200)</f>
        <v>21269.969999999998</v>
      </c>
      <c r="F201" s="88"/>
      <c r="G201" s="88">
        <f>SUMIF(Q196:Q200, 3, H196:H200)</f>
        <v>21269.969999999998</v>
      </c>
      <c r="H201" s="87"/>
    </row>
    <row r="202" spans="1:17" ht="16.5" x14ac:dyDescent="0.2">
      <c r="A202" s="75" t="str">
        <f>CONCATENATE("Подраздел: ",IF(Source!G359&lt;&gt;"Новый подраздел", Source!G359, ""))</f>
        <v>Подраздел: Установка МАФов площадка группы № 5</v>
      </c>
      <c r="B202" s="76"/>
      <c r="C202" s="76"/>
      <c r="D202" s="76"/>
      <c r="E202" s="76"/>
      <c r="F202" s="76"/>
      <c r="G202" s="76"/>
      <c r="H202" s="76"/>
    </row>
    <row r="203" spans="1:17" ht="14.25" x14ac:dyDescent="0.2">
      <c r="A203" s="83" t="s">
        <v>627</v>
      </c>
      <c r="B203" s="84"/>
      <c r="C203" s="84"/>
      <c r="D203" s="84"/>
      <c r="E203" s="84"/>
      <c r="F203" s="84"/>
      <c r="G203" s="84"/>
      <c r="H203" s="84"/>
    </row>
    <row r="204" spans="1:17" ht="14.25" x14ac:dyDescent="0.2">
      <c r="A204" s="85" t="s">
        <v>457</v>
      </c>
      <c r="B204" s="68" t="s">
        <v>459</v>
      </c>
      <c r="C204" s="68" t="s">
        <v>28</v>
      </c>
      <c r="D204" s="69">
        <f>ROUND(SUMIF(RV_DATA!W225:'RV_DATA'!W229, 809277097, RV_DATA!I225:'RV_DATA'!I229), 6)</f>
        <v>5.9999999999999995E-4</v>
      </c>
      <c r="E204" s="86">
        <f>ROUND(RV_DATA!K225, 6)</f>
        <v>3323.4</v>
      </c>
      <c r="F204" s="86">
        <f>ROUND(SUMIF(RV_DATA!W225:'RV_DATA'!W229, 809277097, RV_DATA!M225:'RV_DATA'!M229), 6)</f>
        <v>1.99</v>
      </c>
      <c r="G204" s="86">
        <f>ROUND(RV_DATA!N225, 6)</f>
        <v>3323.4</v>
      </c>
      <c r="H204" s="86">
        <f>ROUND(SUMIF(RV_DATA!W225:'RV_DATA'!W229, 809277097, RV_DATA!O225:'RV_DATA'!O229), 6)</f>
        <v>1.99</v>
      </c>
      <c r="Q204">
        <v>3</v>
      </c>
    </row>
    <row r="205" spans="1:17" ht="85.5" x14ac:dyDescent="0.2">
      <c r="A205" s="85" t="s">
        <v>104</v>
      </c>
      <c r="B205" s="68" t="s">
        <v>318</v>
      </c>
      <c r="C205" s="68" t="s">
        <v>106</v>
      </c>
      <c r="D205" s="69">
        <f>ROUND(SUMIF(RV_DATA!W225:'RV_DATA'!W229, 474556619, RV_DATA!I225:'RV_DATA'!I229), 6)</f>
        <v>1</v>
      </c>
      <c r="E205" s="86">
        <f>ROUND(RV_DATA!K226, 6)</f>
        <v>56666.67</v>
      </c>
      <c r="F205" s="86">
        <f>ROUND(SUMIF(RV_DATA!W225:'RV_DATA'!W229, 474556619, RV_DATA!M225:'RV_DATA'!M229), 6)</f>
        <v>56666.67</v>
      </c>
      <c r="G205" s="86">
        <f>ROUND(RV_DATA!N226, 6)</f>
        <v>56666.67</v>
      </c>
      <c r="H205" s="86">
        <f>ROUND(SUMIF(RV_DATA!W225:'RV_DATA'!W229, 474556619, RV_DATA!O225:'RV_DATA'!O229), 6)</f>
        <v>56666.67</v>
      </c>
      <c r="Q205">
        <v>3</v>
      </c>
    </row>
    <row r="206" spans="1:17" ht="85.5" x14ac:dyDescent="0.2">
      <c r="A206" s="85" t="s">
        <v>104</v>
      </c>
      <c r="B206" s="68" t="s">
        <v>203</v>
      </c>
      <c r="C206" s="68" t="s">
        <v>106</v>
      </c>
      <c r="D206" s="69">
        <f>ROUND(SUMIF(RV_DATA!W225:'RV_DATA'!W229, -520045571, RV_DATA!I225:'RV_DATA'!I229), 6)</f>
        <v>1</v>
      </c>
      <c r="E206" s="86">
        <f>ROUND(RV_DATA!K227, 6)</f>
        <v>40166.67</v>
      </c>
      <c r="F206" s="86">
        <f>ROUND(SUMIF(RV_DATA!W225:'RV_DATA'!W229, -520045571, RV_DATA!M225:'RV_DATA'!M229), 6)</f>
        <v>40166.67</v>
      </c>
      <c r="G206" s="86">
        <f>ROUND(RV_DATA!N227, 6)</f>
        <v>40166.67</v>
      </c>
      <c r="H206" s="86">
        <f>ROUND(SUMIF(RV_DATA!W225:'RV_DATA'!W229, -520045571, RV_DATA!O225:'RV_DATA'!O229), 6)</f>
        <v>40166.67</v>
      </c>
      <c r="Q206">
        <v>3</v>
      </c>
    </row>
    <row r="207" spans="1:17" ht="85.5" x14ac:dyDescent="0.2">
      <c r="A207" s="85" t="s">
        <v>104</v>
      </c>
      <c r="B207" s="68" t="s">
        <v>113</v>
      </c>
      <c r="C207" s="68" t="s">
        <v>106</v>
      </c>
      <c r="D207" s="69">
        <f>ROUND(SUMIF(RV_DATA!W225:'RV_DATA'!W229, -1856616728, RV_DATA!I225:'RV_DATA'!I229), 6)</f>
        <v>1</v>
      </c>
      <c r="E207" s="86">
        <f>ROUND(RV_DATA!K228, 6)</f>
        <v>62333.33</v>
      </c>
      <c r="F207" s="86">
        <f>ROUND(SUMIF(RV_DATA!W225:'RV_DATA'!W229, -1856616728, RV_DATA!M225:'RV_DATA'!M229), 6)</f>
        <v>62333.33</v>
      </c>
      <c r="G207" s="86">
        <f>ROUND(RV_DATA!N228, 6)</f>
        <v>62333.33</v>
      </c>
      <c r="H207" s="86">
        <f>ROUND(SUMIF(RV_DATA!W225:'RV_DATA'!W229, -1856616728, RV_DATA!O225:'RV_DATA'!O229), 6)</f>
        <v>62333.33</v>
      </c>
      <c r="Q207">
        <v>3</v>
      </c>
    </row>
    <row r="208" spans="1:17" ht="71.25" x14ac:dyDescent="0.2">
      <c r="A208" s="85" t="s">
        <v>104</v>
      </c>
      <c r="B208" s="68" t="s">
        <v>209</v>
      </c>
      <c r="C208" s="68" t="s">
        <v>106</v>
      </c>
      <c r="D208" s="69">
        <f>ROUND(SUMIF(RV_DATA!W225:'RV_DATA'!W229, 727427344, RV_DATA!I225:'RV_DATA'!I229), 6)</f>
        <v>1</v>
      </c>
      <c r="E208" s="86">
        <f>ROUND(RV_DATA!K229, 6)</f>
        <v>10833.33</v>
      </c>
      <c r="F208" s="86">
        <f>ROUND(SUMIF(RV_DATA!W225:'RV_DATA'!W229, 727427344, RV_DATA!M225:'RV_DATA'!M229), 6)</f>
        <v>10833.33</v>
      </c>
      <c r="G208" s="86">
        <f>ROUND(RV_DATA!N229, 6)</f>
        <v>10833.33</v>
      </c>
      <c r="H208" s="86">
        <f>ROUND(SUMIF(RV_DATA!W225:'RV_DATA'!W229, 727427344, RV_DATA!O225:'RV_DATA'!O229), 6)</f>
        <v>10833.33</v>
      </c>
      <c r="Q208">
        <v>3</v>
      </c>
    </row>
    <row r="209" spans="1:17" ht="15" x14ac:dyDescent="0.25">
      <c r="A209" s="87" t="s">
        <v>628</v>
      </c>
      <c r="B209" s="87"/>
      <c r="C209" s="87"/>
      <c r="D209" s="87"/>
      <c r="E209" s="88">
        <f>SUMIF(Q204:Q208, 3, F204:F208)</f>
        <v>170001.98999999996</v>
      </c>
      <c r="F209" s="88"/>
      <c r="G209" s="88">
        <f>SUMIF(Q204:Q208, 3, H204:H208)</f>
        <v>170001.98999999996</v>
      </c>
      <c r="H209" s="87"/>
    </row>
    <row r="210" spans="1:17" ht="16.5" x14ac:dyDescent="0.2">
      <c r="A210" s="75" t="str">
        <f>CONCATENATE("Подраздел: ",IF(Source!G405&lt;&gt;"Новый подраздел", Source!G405, ""))</f>
        <v>Подраздел: Установка МАФов площадка группы № 7</v>
      </c>
      <c r="B210" s="76"/>
      <c r="C210" s="76"/>
      <c r="D210" s="76"/>
      <c r="E210" s="76"/>
      <c r="F210" s="76"/>
      <c r="G210" s="76"/>
      <c r="H210" s="76"/>
    </row>
    <row r="211" spans="1:17" ht="14.25" x14ac:dyDescent="0.2">
      <c r="A211" s="83" t="s">
        <v>627</v>
      </c>
      <c r="B211" s="84"/>
      <c r="C211" s="84"/>
      <c r="D211" s="84"/>
      <c r="E211" s="84"/>
      <c r="F211" s="84"/>
      <c r="G211" s="84"/>
      <c r="H211" s="84"/>
    </row>
    <row r="212" spans="1:17" ht="14.25" x14ac:dyDescent="0.2">
      <c r="A212" s="85" t="s">
        <v>457</v>
      </c>
      <c r="B212" s="68" t="s">
        <v>459</v>
      </c>
      <c r="C212" s="68" t="s">
        <v>28</v>
      </c>
      <c r="D212" s="69">
        <f>ROUND(SUMIF(RV_DATA!W231:'RV_DATA'!W234, 809277097, RV_DATA!I231:'RV_DATA'!I234), 6)</f>
        <v>4.4999999999999999E-4</v>
      </c>
      <c r="E212" s="86">
        <f>ROUND(RV_DATA!K231, 6)</f>
        <v>3323.4</v>
      </c>
      <c r="F212" s="86">
        <f>ROUND(SUMIF(RV_DATA!W231:'RV_DATA'!W234, 809277097, RV_DATA!M231:'RV_DATA'!M234), 6)</f>
        <v>1.5</v>
      </c>
      <c r="G212" s="86">
        <f>ROUND(RV_DATA!N231, 6)</f>
        <v>3323.4</v>
      </c>
      <c r="H212" s="86">
        <f>ROUND(SUMIF(RV_DATA!W231:'RV_DATA'!W234, 809277097, RV_DATA!O231:'RV_DATA'!O234), 6)</f>
        <v>1.5</v>
      </c>
      <c r="Q212">
        <v>3</v>
      </c>
    </row>
    <row r="213" spans="1:17" ht="85.5" x14ac:dyDescent="0.2">
      <c r="A213" s="85" t="s">
        <v>104</v>
      </c>
      <c r="B213" s="68" t="s">
        <v>318</v>
      </c>
      <c r="C213" s="68" t="s">
        <v>106</v>
      </c>
      <c r="D213" s="69">
        <f>ROUND(SUMIF(RV_DATA!W231:'RV_DATA'!W234, 474556619, RV_DATA!I231:'RV_DATA'!I234), 6)</f>
        <v>1</v>
      </c>
      <c r="E213" s="86">
        <f>ROUND(RV_DATA!K232, 6)</f>
        <v>56666.67</v>
      </c>
      <c r="F213" s="86">
        <f>ROUND(SUMIF(RV_DATA!W231:'RV_DATA'!W234, 474556619, RV_DATA!M231:'RV_DATA'!M234), 6)</f>
        <v>56666.67</v>
      </c>
      <c r="G213" s="86">
        <f>ROUND(RV_DATA!N232, 6)</f>
        <v>56666.67</v>
      </c>
      <c r="H213" s="86">
        <f>ROUND(SUMIF(RV_DATA!W231:'RV_DATA'!W234, 474556619, RV_DATA!O231:'RV_DATA'!O234), 6)</f>
        <v>56666.67</v>
      </c>
      <c r="Q213">
        <v>3</v>
      </c>
    </row>
    <row r="214" spans="1:17" ht="85.5" x14ac:dyDescent="0.2">
      <c r="A214" s="85" t="s">
        <v>104</v>
      </c>
      <c r="B214" s="68" t="s">
        <v>113</v>
      </c>
      <c r="C214" s="68" t="s">
        <v>106</v>
      </c>
      <c r="D214" s="69">
        <f>ROUND(SUMIF(RV_DATA!W231:'RV_DATA'!W234, -1856616728, RV_DATA!I231:'RV_DATA'!I234), 6)</f>
        <v>1</v>
      </c>
      <c r="E214" s="86">
        <f>ROUND(RV_DATA!K233, 6)</f>
        <v>62333.33</v>
      </c>
      <c r="F214" s="86">
        <f>ROUND(SUMIF(RV_DATA!W231:'RV_DATA'!W234, -1856616728, RV_DATA!M231:'RV_DATA'!M234), 6)</f>
        <v>62333.33</v>
      </c>
      <c r="G214" s="86">
        <f>ROUND(RV_DATA!N233, 6)</f>
        <v>62333.33</v>
      </c>
      <c r="H214" s="86">
        <f>ROUND(SUMIF(RV_DATA!W231:'RV_DATA'!W234, -1856616728, RV_DATA!O231:'RV_DATA'!O234), 6)</f>
        <v>62333.33</v>
      </c>
      <c r="Q214">
        <v>3</v>
      </c>
    </row>
    <row r="215" spans="1:17" ht="42.75" x14ac:dyDescent="0.2">
      <c r="A215" s="85" t="s">
        <v>104</v>
      </c>
      <c r="B215" s="68" t="s">
        <v>116</v>
      </c>
      <c r="C215" s="68" t="s">
        <v>106</v>
      </c>
      <c r="D215" s="69">
        <f>ROUND(SUMIF(RV_DATA!W231:'RV_DATA'!W234, 619025188, RV_DATA!I231:'RV_DATA'!I234), 6)</f>
        <v>1</v>
      </c>
      <c r="E215" s="86">
        <f>ROUND(RV_DATA!K234, 6)</f>
        <v>12391.67</v>
      </c>
      <c r="F215" s="86">
        <f>ROUND(SUMIF(RV_DATA!W231:'RV_DATA'!W234, 619025188, RV_DATA!M231:'RV_DATA'!M234), 6)</f>
        <v>12391.67</v>
      </c>
      <c r="G215" s="86">
        <f>ROUND(RV_DATA!N234, 6)</f>
        <v>12391.67</v>
      </c>
      <c r="H215" s="86">
        <f>ROUND(SUMIF(RV_DATA!W231:'RV_DATA'!W234, 619025188, RV_DATA!O231:'RV_DATA'!O234), 6)</f>
        <v>12391.67</v>
      </c>
      <c r="Q215">
        <v>3</v>
      </c>
    </row>
    <row r="216" spans="1:17" ht="15" x14ac:dyDescent="0.25">
      <c r="A216" s="87" t="s">
        <v>628</v>
      </c>
      <c r="B216" s="87"/>
      <c r="C216" s="87"/>
      <c r="D216" s="87"/>
      <c r="E216" s="88">
        <f>SUMIF(Q212:Q215, 3, F212:F215)</f>
        <v>131393.17000000001</v>
      </c>
      <c r="F216" s="88"/>
      <c r="G216" s="88">
        <f>SUMIF(Q212:Q215, 3, H212:H215)</f>
        <v>131393.17000000001</v>
      </c>
      <c r="H216" s="87"/>
    </row>
    <row r="217" spans="1:17" ht="16.5" x14ac:dyDescent="0.2">
      <c r="A217" s="75" t="str">
        <f>CONCATENATE("Подраздел: ",IF(Source!G450&lt;&gt;"Новый подраздел", Source!G450, ""))</f>
        <v>Подраздел: Установка МАФов площадка № 9</v>
      </c>
      <c r="B217" s="76"/>
      <c r="C217" s="76"/>
      <c r="D217" s="76"/>
      <c r="E217" s="76"/>
      <c r="F217" s="76"/>
      <c r="G217" s="76"/>
      <c r="H217" s="76"/>
    </row>
    <row r="218" spans="1:17" ht="14.25" x14ac:dyDescent="0.2">
      <c r="A218" s="83" t="s">
        <v>627</v>
      </c>
      <c r="B218" s="84"/>
      <c r="C218" s="84"/>
      <c r="D218" s="84"/>
      <c r="E218" s="84"/>
      <c r="F218" s="84"/>
      <c r="G218" s="84"/>
      <c r="H218" s="84"/>
    </row>
    <row r="219" spans="1:17" ht="14.25" x14ac:dyDescent="0.2">
      <c r="A219" s="85" t="s">
        <v>457</v>
      </c>
      <c r="B219" s="68" t="s">
        <v>459</v>
      </c>
      <c r="C219" s="68" t="s">
        <v>28</v>
      </c>
      <c r="D219" s="69">
        <f>ROUND(SUMIF(RV_DATA!W236:'RV_DATA'!W240, 809277097, RV_DATA!I236:'RV_DATA'!I240), 6)</f>
        <v>5.9999999999999995E-4</v>
      </c>
      <c r="E219" s="86">
        <f>ROUND(RV_DATA!K236, 6)</f>
        <v>3323.4</v>
      </c>
      <c r="F219" s="86">
        <f>ROUND(SUMIF(RV_DATA!W236:'RV_DATA'!W240, 809277097, RV_DATA!M236:'RV_DATA'!M240), 6)</f>
        <v>1.99</v>
      </c>
      <c r="G219" s="86">
        <f>ROUND(RV_DATA!N236, 6)</f>
        <v>3323.4</v>
      </c>
      <c r="H219" s="86">
        <f>ROUND(SUMIF(RV_DATA!W236:'RV_DATA'!W240, 809277097, RV_DATA!O236:'RV_DATA'!O240), 6)</f>
        <v>1.99</v>
      </c>
      <c r="Q219">
        <v>3</v>
      </c>
    </row>
    <row r="220" spans="1:17" ht="71.25" x14ac:dyDescent="0.2">
      <c r="A220" s="85" t="s">
        <v>104</v>
      </c>
      <c r="B220" s="68" t="s">
        <v>110</v>
      </c>
      <c r="C220" s="68" t="s">
        <v>106</v>
      </c>
      <c r="D220" s="69">
        <f>ROUND(SUMIF(RV_DATA!W236:'RV_DATA'!W240, -2073129128, RV_DATA!I236:'RV_DATA'!I240), 6)</f>
        <v>1</v>
      </c>
      <c r="E220" s="86">
        <f>ROUND(RV_DATA!K237, 6)</f>
        <v>44166.67</v>
      </c>
      <c r="F220" s="86">
        <f>ROUND(SUMIF(RV_DATA!W236:'RV_DATA'!W240, -2073129128, RV_DATA!M236:'RV_DATA'!M240), 6)</f>
        <v>44166.67</v>
      </c>
      <c r="G220" s="86">
        <f>ROUND(RV_DATA!N237, 6)</f>
        <v>44166.67</v>
      </c>
      <c r="H220" s="86">
        <f>ROUND(SUMIF(RV_DATA!W236:'RV_DATA'!W240, -2073129128, RV_DATA!O236:'RV_DATA'!O240), 6)</f>
        <v>44166.67</v>
      </c>
      <c r="Q220">
        <v>3</v>
      </c>
    </row>
    <row r="221" spans="1:17" ht="85.5" x14ac:dyDescent="0.2">
      <c r="A221" s="85" t="s">
        <v>104</v>
      </c>
      <c r="B221" s="68" t="s">
        <v>203</v>
      </c>
      <c r="C221" s="68" t="s">
        <v>106</v>
      </c>
      <c r="D221" s="69">
        <f>ROUND(SUMIF(RV_DATA!W236:'RV_DATA'!W240, -520045571, RV_DATA!I236:'RV_DATA'!I240), 6)</f>
        <v>1</v>
      </c>
      <c r="E221" s="86">
        <f>ROUND(RV_DATA!K238, 6)</f>
        <v>40166.67</v>
      </c>
      <c r="F221" s="86">
        <f>ROUND(SUMIF(RV_DATA!W236:'RV_DATA'!W240, -520045571, RV_DATA!M236:'RV_DATA'!M240), 6)</f>
        <v>40166.67</v>
      </c>
      <c r="G221" s="86">
        <f>ROUND(RV_DATA!N238, 6)</f>
        <v>40166.67</v>
      </c>
      <c r="H221" s="86">
        <f>ROUND(SUMIF(RV_DATA!W236:'RV_DATA'!W240, -520045571, RV_DATA!O236:'RV_DATA'!O240), 6)</f>
        <v>40166.67</v>
      </c>
      <c r="Q221">
        <v>3</v>
      </c>
    </row>
    <row r="222" spans="1:17" ht="85.5" x14ac:dyDescent="0.2">
      <c r="A222" s="85" t="s">
        <v>104</v>
      </c>
      <c r="B222" s="68" t="s">
        <v>345</v>
      </c>
      <c r="C222" s="68" t="s">
        <v>106</v>
      </c>
      <c r="D222" s="69">
        <f>ROUND(SUMIF(RV_DATA!W236:'RV_DATA'!W240, 338052618, RV_DATA!I236:'RV_DATA'!I240), 6)</f>
        <v>1</v>
      </c>
      <c r="E222" s="86">
        <f>ROUND(RV_DATA!K239, 6)</f>
        <v>13166.67</v>
      </c>
      <c r="F222" s="86">
        <f>ROUND(SUMIF(RV_DATA!W236:'RV_DATA'!W240, 338052618, RV_DATA!M236:'RV_DATA'!M240), 6)</f>
        <v>13166.67</v>
      </c>
      <c r="G222" s="86">
        <f>ROUND(RV_DATA!N239, 6)</f>
        <v>13166.67</v>
      </c>
      <c r="H222" s="86">
        <f>ROUND(SUMIF(RV_DATA!W236:'RV_DATA'!W240, 338052618, RV_DATA!O236:'RV_DATA'!O240), 6)</f>
        <v>13166.67</v>
      </c>
      <c r="Q222">
        <v>3</v>
      </c>
    </row>
    <row r="223" spans="1:17" ht="85.5" x14ac:dyDescent="0.2">
      <c r="A223" s="85" t="s">
        <v>104</v>
      </c>
      <c r="B223" s="68" t="s">
        <v>200</v>
      </c>
      <c r="C223" s="68" t="s">
        <v>106</v>
      </c>
      <c r="D223" s="69">
        <f>ROUND(SUMIF(RV_DATA!W236:'RV_DATA'!W240, -1016610539, RV_DATA!I236:'RV_DATA'!I240), 6)</f>
        <v>1</v>
      </c>
      <c r="E223" s="86">
        <f>ROUND(RV_DATA!K240, 6)</f>
        <v>43083.33</v>
      </c>
      <c r="F223" s="86">
        <f>ROUND(SUMIF(RV_DATA!W236:'RV_DATA'!W240, -1016610539, RV_DATA!M236:'RV_DATA'!M240), 6)</f>
        <v>43083.33</v>
      </c>
      <c r="G223" s="86">
        <f>ROUND(RV_DATA!N240, 6)</f>
        <v>43083.33</v>
      </c>
      <c r="H223" s="86">
        <f>ROUND(SUMIF(RV_DATA!W236:'RV_DATA'!W240, -1016610539, RV_DATA!O236:'RV_DATA'!O240), 6)</f>
        <v>43083.33</v>
      </c>
      <c r="Q223">
        <v>3</v>
      </c>
    </row>
    <row r="224" spans="1:17" ht="15" x14ac:dyDescent="0.25">
      <c r="A224" s="87" t="s">
        <v>628</v>
      </c>
      <c r="B224" s="87"/>
      <c r="C224" s="87"/>
      <c r="D224" s="87"/>
      <c r="E224" s="88">
        <f>SUMIF(Q219:Q223, 3, F219:F223)</f>
        <v>140585.32999999999</v>
      </c>
      <c r="F224" s="88"/>
      <c r="G224" s="88">
        <f>SUMIF(Q219:Q223, 3, H219:H223)</f>
        <v>140585.32999999999</v>
      </c>
      <c r="H224" s="87"/>
    </row>
    <row r="225" spans="1:17" ht="16.5" x14ac:dyDescent="0.2">
      <c r="A225" s="75" t="str">
        <f>CONCATENATE("Подраздел: ",IF(Source!G496&lt;&gt;"Новый подраздел", Source!G496, ""))</f>
        <v>Подраздел: Мусор</v>
      </c>
      <c r="B225" s="76"/>
      <c r="C225" s="76"/>
      <c r="D225" s="76"/>
      <c r="E225" s="76"/>
      <c r="F225" s="76"/>
      <c r="G225" s="76"/>
      <c r="H225" s="76"/>
    </row>
    <row r="226" spans="1:17" ht="14.25" x14ac:dyDescent="0.2">
      <c r="A226" s="83" t="s">
        <v>625</v>
      </c>
      <c r="B226" s="84"/>
      <c r="C226" s="84"/>
      <c r="D226" s="84"/>
      <c r="E226" s="84"/>
      <c r="F226" s="84"/>
      <c r="G226" s="84"/>
      <c r="H226" s="84"/>
    </row>
    <row r="227" spans="1:17" ht="28.5" x14ac:dyDescent="0.2">
      <c r="A227" s="85" t="s">
        <v>504</v>
      </c>
      <c r="B227" s="68" t="s">
        <v>506</v>
      </c>
      <c r="C227" s="68" t="s">
        <v>84</v>
      </c>
      <c r="D227" s="69">
        <f>ROUND(SUMIF(RV_DATA!W242:'RV_DATA'!W249, -1135960623, RV_DATA!I242:'RV_DATA'!I249), 6)</f>
        <v>7.5740400000000001</v>
      </c>
      <c r="E227" s="86">
        <f>ROUND(RV_DATA!K242, 6)</f>
        <v>2268.84</v>
      </c>
      <c r="F227" s="86">
        <f>ROUND(SUMIF(RV_DATA!W242:'RV_DATA'!W249, -1135960623, RV_DATA!M242:'RV_DATA'!M249), 6)</f>
        <v>17184.23</v>
      </c>
      <c r="G227" s="86">
        <f>ROUND(RV_DATA!N242, 6)</f>
        <v>2268.84</v>
      </c>
      <c r="H227" s="86">
        <f>ROUND(SUMIF(RV_DATA!W242:'RV_DATA'!W249, -1135960623, RV_DATA!O242:'RV_DATA'!O249), 6)</f>
        <v>17184.23</v>
      </c>
      <c r="Q227">
        <v>2</v>
      </c>
    </row>
    <row r="228" spans="1:17" ht="42.75" x14ac:dyDescent="0.2">
      <c r="A228" s="85" t="s">
        <v>510</v>
      </c>
      <c r="B228" s="68" t="s">
        <v>512</v>
      </c>
      <c r="C228" s="68" t="s">
        <v>84</v>
      </c>
      <c r="D228" s="69">
        <f>ROUND(SUMIF(RV_DATA!W242:'RV_DATA'!W249, -1121043354, RV_DATA!I242:'RV_DATA'!I249), 6)</f>
        <v>9.5102999999999993E-2</v>
      </c>
      <c r="E228" s="86">
        <f>ROUND(RV_DATA!K245, 6)</f>
        <v>1494.43</v>
      </c>
      <c r="F228" s="86">
        <f>ROUND(SUMIF(RV_DATA!W242:'RV_DATA'!W249, -1121043354, RV_DATA!M242:'RV_DATA'!M249), 6)</f>
        <v>142.12</v>
      </c>
      <c r="G228" s="86">
        <f>ROUND(RV_DATA!N245, 6)</f>
        <v>1494.43</v>
      </c>
      <c r="H228" s="86">
        <f>ROUND(SUMIF(RV_DATA!W242:'RV_DATA'!W249, -1121043354, RV_DATA!O242:'RV_DATA'!O249), 6)</f>
        <v>142.12</v>
      </c>
      <c r="Q228">
        <v>2</v>
      </c>
    </row>
    <row r="229" spans="1:17" ht="28.5" x14ac:dyDescent="0.2">
      <c r="A229" s="85" t="s">
        <v>513</v>
      </c>
      <c r="B229" s="68" t="s">
        <v>515</v>
      </c>
      <c r="C229" s="68" t="s">
        <v>84</v>
      </c>
      <c r="D229" s="69">
        <f>ROUND(SUMIF(RV_DATA!W242:'RV_DATA'!W249, -672788225, RV_DATA!I242:'RV_DATA'!I249), 6)</f>
        <v>0.88549999999999995</v>
      </c>
      <c r="E229" s="86">
        <f>ROUND(RV_DATA!K247, 6)</f>
        <v>1009.4</v>
      </c>
      <c r="F229" s="86">
        <f>ROUND(SUMIF(RV_DATA!W242:'RV_DATA'!W249, -672788225, RV_DATA!M242:'RV_DATA'!M249), 6)</f>
        <v>893.49</v>
      </c>
      <c r="G229" s="86">
        <f>ROUND(RV_DATA!N247, 6)</f>
        <v>1009.4</v>
      </c>
      <c r="H229" s="86">
        <f>ROUND(SUMIF(RV_DATA!W242:'RV_DATA'!W249, -672788225, RV_DATA!O242:'RV_DATA'!O249), 6)</f>
        <v>893.49</v>
      </c>
      <c r="Q229">
        <v>2</v>
      </c>
    </row>
    <row r="230" spans="1:17" ht="28.5" x14ac:dyDescent="0.2">
      <c r="A230" s="85" t="s">
        <v>507</v>
      </c>
      <c r="B230" s="68" t="s">
        <v>509</v>
      </c>
      <c r="C230" s="68" t="s">
        <v>84</v>
      </c>
      <c r="D230" s="69">
        <f>ROUND(SUMIF(RV_DATA!W242:'RV_DATA'!W249, -271116281, RV_DATA!I242:'RV_DATA'!I249), 6)</f>
        <v>72.384801999999993</v>
      </c>
      <c r="E230" s="86">
        <f>ROUND(RV_DATA!K243, 6)</f>
        <v>1014.12</v>
      </c>
      <c r="F230" s="86">
        <f>ROUND(SUMIF(RV_DATA!W242:'RV_DATA'!W249, -271116281, RV_DATA!M242:'RV_DATA'!M249), 6)</f>
        <v>73398.850000000006</v>
      </c>
      <c r="G230" s="86">
        <f>ROUND(RV_DATA!N243, 6)</f>
        <v>1014.12</v>
      </c>
      <c r="H230" s="86">
        <f>ROUND(SUMIF(RV_DATA!W242:'RV_DATA'!W249, -271116281, RV_DATA!O242:'RV_DATA'!O249), 6)</f>
        <v>73398.850000000006</v>
      </c>
      <c r="Q230">
        <v>2</v>
      </c>
    </row>
    <row r="231" spans="1:17" ht="15" x14ac:dyDescent="0.25">
      <c r="A231" s="87" t="s">
        <v>626</v>
      </c>
      <c r="B231" s="87"/>
      <c r="C231" s="87"/>
      <c r="D231" s="87"/>
      <c r="E231" s="88">
        <f>SUMIF(Q227:Q230, 2, F227:F230)</f>
        <v>91618.69</v>
      </c>
      <c r="F231" s="88"/>
      <c r="G231" s="88">
        <f>SUMIF(Q227:Q230, 2, H227:H230)</f>
        <v>91618.69</v>
      </c>
      <c r="H231" s="87"/>
    </row>
  </sheetData>
  <sortState ref="A227:R230">
    <sortCondition ref="A227"/>
  </sortState>
  <mergeCells count="84">
    <mergeCell ref="A231:D231"/>
    <mergeCell ref="E231:F231"/>
    <mergeCell ref="G231:H231"/>
    <mergeCell ref="A218:H218"/>
    <mergeCell ref="A224:D224"/>
    <mergeCell ref="E224:F224"/>
    <mergeCell ref="G224:H224"/>
    <mergeCell ref="A225:H225"/>
    <mergeCell ref="A226:H226"/>
    <mergeCell ref="A210:H210"/>
    <mergeCell ref="A211:H211"/>
    <mergeCell ref="A216:D216"/>
    <mergeCell ref="E216:F216"/>
    <mergeCell ref="G216:H216"/>
    <mergeCell ref="A217:H217"/>
    <mergeCell ref="A201:D201"/>
    <mergeCell ref="E201:F201"/>
    <mergeCell ref="G201:H201"/>
    <mergeCell ref="A202:H202"/>
    <mergeCell ref="A203:H203"/>
    <mergeCell ref="A209:D209"/>
    <mergeCell ref="E209:F209"/>
    <mergeCell ref="G209:H209"/>
    <mergeCell ref="A185:H185"/>
    <mergeCell ref="A186:H186"/>
    <mergeCell ref="A194:D194"/>
    <mergeCell ref="E194:F194"/>
    <mergeCell ref="G194:H194"/>
    <mergeCell ref="A195:H195"/>
    <mergeCell ref="A164:D164"/>
    <mergeCell ref="E164:F164"/>
    <mergeCell ref="G164:H164"/>
    <mergeCell ref="A165:H165"/>
    <mergeCell ref="A184:D184"/>
    <mergeCell ref="E184:F184"/>
    <mergeCell ref="G184:H184"/>
    <mergeCell ref="A128:H128"/>
    <mergeCell ref="A146:D146"/>
    <mergeCell ref="E146:F146"/>
    <mergeCell ref="G146:H146"/>
    <mergeCell ref="A147:H147"/>
    <mergeCell ref="A148:H148"/>
    <mergeCell ref="A113:D113"/>
    <mergeCell ref="E113:F113"/>
    <mergeCell ref="G113:H113"/>
    <mergeCell ref="A114:H114"/>
    <mergeCell ref="A115:H115"/>
    <mergeCell ref="A127:D127"/>
    <mergeCell ref="E127:F127"/>
    <mergeCell ref="G127:H127"/>
    <mergeCell ref="A81:H81"/>
    <mergeCell ref="A82:H82"/>
    <mergeCell ref="A94:D94"/>
    <mergeCell ref="E94:F94"/>
    <mergeCell ref="G94:H94"/>
    <mergeCell ref="A95:H95"/>
    <mergeCell ref="A59:D59"/>
    <mergeCell ref="E59:F59"/>
    <mergeCell ref="G59:H59"/>
    <mergeCell ref="A60:H60"/>
    <mergeCell ref="A80:D80"/>
    <mergeCell ref="E80:F80"/>
    <mergeCell ref="G80:H80"/>
    <mergeCell ref="A26:H26"/>
    <mergeCell ref="A45:D45"/>
    <mergeCell ref="E45:F45"/>
    <mergeCell ref="G45:H45"/>
    <mergeCell ref="A46:H46"/>
    <mergeCell ref="A47:H47"/>
    <mergeCell ref="A8:H8"/>
    <mergeCell ref="A9:H9"/>
    <mergeCell ref="A10:H10"/>
    <mergeCell ref="A11:H11"/>
    <mergeCell ref="A25:D25"/>
    <mergeCell ref="E25:F25"/>
    <mergeCell ref="G25:H25"/>
    <mergeCell ref="A2:H2"/>
    <mergeCell ref="A3:H3"/>
    <mergeCell ref="A4:A6"/>
    <mergeCell ref="B4:B6"/>
    <mergeCell ref="C4:C6"/>
    <mergeCell ref="D4:D6"/>
    <mergeCell ref="E4:F5"/>
    <mergeCell ref="G4:H5"/>
  </mergeCells>
  <pageMargins left="0.6" right="0.4" top="0.65" bottom="0.4" header="0.4" footer="0.4"/>
  <pageSetup paperSize="9" scale="72" fitToHeight="0" orientation="portrait" r:id="rId1"/>
  <headerFooter>
    <oddHeader>&amp;C&amp;P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K641"/>
  <sheetViews>
    <sheetView workbookViewId="0">
      <selection activeCell="A637" sqref="A637:O637"/>
    </sheetView>
  </sheetViews>
  <sheetFormatPr defaultColWidth="9.140625" defaultRowHeight="12.75" x14ac:dyDescent="0.2"/>
  <cols>
    <col min="1" max="256" width="9.140625" customWidth="1"/>
  </cols>
  <sheetData>
    <row r="1" spans="1:133" x14ac:dyDescent="0.2">
      <c r="A1">
        <v>0</v>
      </c>
      <c r="B1" t="s">
        <v>0</v>
      </c>
      <c r="D1" t="s">
        <v>1</v>
      </c>
      <c r="F1">
        <v>0</v>
      </c>
      <c r="G1">
        <v>0</v>
      </c>
      <c r="H1">
        <v>0</v>
      </c>
      <c r="I1" t="s">
        <v>2</v>
      </c>
      <c r="J1" t="s">
        <v>3</v>
      </c>
      <c r="K1">
        <v>1</v>
      </c>
      <c r="L1">
        <v>66453</v>
      </c>
      <c r="M1">
        <v>10</v>
      </c>
      <c r="N1">
        <v>11</v>
      </c>
      <c r="O1">
        <v>1</v>
      </c>
      <c r="P1">
        <v>0</v>
      </c>
      <c r="Q1">
        <v>1</v>
      </c>
    </row>
    <row r="12" spans="1:133" x14ac:dyDescent="0.2">
      <c r="A12" s="1">
        <v>1</v>
      </c>
      <c r="B12" s="1">
        <v>637</v>
      </c>
      <c r="C12" s="1">
        <v>0</v>
      </c>
      <c r="D12" s="1">
        <f>ROW(A601)</f>
        <v>601</v>
      </c>
      <c r="E12" s="1">
        <v>0</v>
      </c>
      <c r="F12" s="1" t="s">
        <v>4</v>
      </c>
      <c r="G12" s="1" t="s">
        <v>5</v>
      </c>
      <c r="H12" s="1" t="s">
        <v>3</v>
      </c>
      <c r="I12" s="1">
        <v>0</v>
      </c>
      <c r="J12" s="1" t="s">
        <v>3</v>
      </c>
      <c r="K12" s="1">
        <v>0</v>
      </c>
      <c r="L12" s="1"/>
      <c r="M12" s="1"/>
      <c r="N12" s="1"/>
      <c r="O12" s="1">
        <v>0</v>
      </c>
      <c r="P12" s="1">
        <v>0</v>
      </c>
      <c r="Q12" s="1">
        <v>0</v>
      </c>
      <c r="R12" s="1">
        <v>108</v>
      </c>
      <c r="S12" s="1"/>
      <c r="T12" s="1"/>
      <c r="U12" s="1" t="s">
        <v>3</v>
      </c>
      <c r="V12" s="1">
        <v>0</v>
      </c>
      <c r="W12" s="1" t="s">
        <v>3</v>
      </c>
      <c r="X12" s="1" t="s">
        <v>3</v>
      </c>
      <c r="Y12" s="1" t="s">
        <v>3</v>
      </c>
      <c r="Z12" s="1" t="s">
        <v>3</v>
      </c>
      <c r="AA12" s="1" t="s">
        <v>3</v>
      </c>
      <c r="AB12" s="1" t="s">
        <v>3</v>
      </c>
      <c r="AC12" s="1" t="s">
        <v>3</v>
      </c>
      <c r="AD12" s="1" t="s">
        <v>3</v>
      </c>
      <c r="AE12" s="1" t="s">
        <v>3</v>
      </c>
      <c r="AF12" s="1" t="s">
        <v>3</v>
      </c>
      <c r="AG12" s="1" t="s">
        <v>3</v>
      </c>
      <c r="AH12" s="1" t="s">
        <v>3</v>
      </c>
      <c r="AI12" s="1" t="s">
        <v>3</v>
      </c>
      <c r="AJ12" s="1" t="s">
        <v>3</v>
      </c>
      <c r="AK12" s="1"/>
      <c r="AL12" s="1" t="s">
        <v>3</v>
      </c>
      <c r="AM12" s="1" t="s">
        <v>3</v>
      </c>
      <c r="AN12" s="1" t="s">
        <v>3</v>
      </c>
      <c r="AO12" s="1"/>
      <c r="AP12" s="1" t="s">
        <v>3</v>
      </c>
      <c r="AQ12" s="1" t="s">
        <v>3</v>
      </c>
      <c r="AR12" s="1" t="s">
        <v>3</v>
      </c>
      <c r="AS12" s="1"/>
      <c r="AT12" s="1"/>
      <c r="AU12" s="1"/>
      <c r="AV12" s="1"/>
      <c r="AW12" s="1"/>
      <c r="AX12" s="1" t="s">
        <v>3</v>
      </c>
      <c r="AY12" s="1" t="s">
        <v>3</v>
      </c>
      <c r="AZ12" s="1" t="s">
        <v>3</v>
      </c>
      <c r="BA12" s="1"/>
      <c r="BB12" s="1"/>
      <c r="BC12" s="1"/>
      <c r="BD12" s="1"/>
      <c r="BE12" s="1"/>
      <c r="BF12" s="1"/>
      <c r="BG12" s="1"/>
      <c r="BH12" s="1" t="s">
        <v>6</v>
      </c>
      <c r="BI12" s="1" t="s">
        <v>7</v>
      </c>
      <c r="BJ12" s="1">
        <v>1</v>
      </c>
      <c r="BK12" s="1">
        <v>1</v>
      </c>
      <c r="BL12" s="1">
        <v>0</v>
      </c>
      <c r="BM12" s="1">
        <v>0</v>
      </c>
      <c r="BN12" s="1">
        <v>1</v>
      </c>
      <c r="BO12" s="1">
        <v>0</v>
      </c>
      <c r="BP12" s="1">
        <v>6</v>
      </c>
      <c r="BQ12" s="1">
        <v>2</v>
      </c>
      <c r="BR12" s="1">
        <v>1</v>
      </c>
      <c r="BS12" s="1">
        <v>1</v>
      </c>
      <c r="BT12" s="1">
        <v>0</v>
      </c>
      <c r="BU12" s="1">
        <v>0</v>
      </c>
      <c r="BV12" s="1">
        <v>0</v>
      </c>
      <c r="BW12" s="1">
        <v>0</v>
      </c>
      <c r="BX12" s="1">
        <v>0</v>
      </c>
      <c r="BY12" s="1" t="s">
        <v>8</v>
      </c>
      <c r="BZ12" s="1" t="s">
        <v>9</v>
      </c>
      <c r="CA12" s="1" t="s">
        <v>10</v>
      </c>
      <c r="CB12" s="1" t="s">
        <v>10</v>
      </c>
      <c r="CC12" s="1" t="s">
        <v>10</v>
      </c>
      <c r="CD12" s="1" t="s">
        <v>10</v>
      </c>
      <c r="CE12" s="1" t="s">
        <v>11</v>
      </c>
      <c r="CF12" s="1">
        <v>0</v>
      </c>
      <c r="CG12" s="1">
        <v>0</v>
      </c>
      <c r="CH12" s="1">
        <v>8</v>
      </c>
      <c r="CI12" s="1" t="s">
        <v>3</v>
      </c>
      <c r="CJ12" s="1" t="s">
        <v>3</v>
      </c>
      <c r="CK12" s="1">
        <v>1</v>
      </c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>
        <v>0</v>
      </c>
    </row>
    <row r="15" spans="1:133" x14ac:dyDescent="0.2">
      <c r="A15" s="1">
        <v>15</v>
      </c>
      <c r="B15" s="1">
        <v>1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</row>
    <row r="18" spans="1:245" x14ac:dyDescent="0.2">
      <c r="A18" s="2">
        <v>52</v>
      </c>
      <c r="B18" s="2">
        <f t="shared" ref="B18:G18" si="0">B601</f>
        <v>637</v>
      </c>
      <c r="C18" s="2">
        <f t="shared" si="0"/>
        <v>1</v>
      </c>
      <c r="D18" s="2">
        <f t="shared" si="0"/>
        <v>12</v>
      </c>
      <c r="E18" s="2">
        <f t="shared" si="0"/>
        <v>0</v>
      </c>
      <c r="F18" s="2" t="str">
        <f t="shared" si="0"/>
        <v>Новый объект</v>
      </c>
      <c r="G18" s="2" t="str">
        <f t="shared" si="0"/>
        <v>Выполнение работ по благоустройству территории для нужд БОУ Школа № 1018 ул. Чоботовская д 7</v>
      </c>
      <c r="H18" s="2"/>
      <c r="I18" s="2"/>
      <c r="J18" s="2"/>
      <c r="K18" s="2"/>
      <c r="L18" s="2"/>
      <c r="M18" s="2"/>
      <c r="N18" s="2"/>
      <c r="O18" s="2">
        <f t="shared" ref="O18:AT18" si="1">O601</f>
        <v>2487923.0099999998</v>
      </c>
      <c r="P18" s="2">
        <f t="shared" si="1"/>
        <v>2049809.3</v>
      </c>
      <c r="Q18" s="2">
        <f t="shared" si="1"/>
        <v>197380.22</v>
      </c>
      <c r="R18" s="2">
        <f t="shared" si="1"/>
        <v>103360.22</v>
      </c>
      <c r="S18" s="2">
        <f t="shared" si="1"/>
        <v>240733.49</v>
      </c>
      <c r="T18" s="2">
        <f t="shared" si="1"/>
        <v>0</v>
      </c>
      <c r="U18" s="2">
        <f t="shared" si="1"/>
        <v>1105.6031759999998</v>
      </c>
      <c r="V18" s="2">
        <f t="shared" si="1"/>
        <v>0</v>
      </c>
      <c r="W18" s="2">
        <f t="shared" si="1"/>
        <v>0</v>
      </c>
      <c r="X18" s="2">
        <f t="shared" si="1"/>
        <v>168513.47</v>
      </c>
      <c r="Y18" s="2">
        <f t="shared" si="1"/>
        <v>24073.38</v>
      </c>
      <c r="Z18" s="2">
        <f t="shared" si="1"/>
        <v>0</v>
      </c>
      <c r="AA18" s="2">
        <f t="shared" si="1"/>
        <v>0</v>
      </c>
      <c r="AB18" s="2">
        <f t="shared" si="1"/>
        <v>0</v>
      </c>
      <c r="AC18" s="2">
        <f t="shared" si="1"/>
        <v>0</v>
      </c>
      <c r="AD18" s="2">
        <f t="shared" si="1"/>
        <v>0</v>
      </c>
      <c r="AE18" s="2">
        <f t="shared" si="1"/>
        <v>0</v>
      </c>
      <c r="AF18" s="2">
        <f t="shared" si="1"/>
        <v>0</v>
      </c>
      <c r="AG18" s="2">
        <f t="shared" si="1"/>
        <v>0</v>
      </c>
      <c r="AH18" s="2">
        <f t="shared" si="1"/>
        <v>0</v>
      </c>
      <c r="AI18" s="2">
        <f t="shared" si="1"/>
        <v>0</v>
      </c>
      <c r="AJ18" s="2">
        <f t="shared" si="1"/>
        <v>0</v>
      </c>
      <c r="AK18" s="2">
        <f t="shared" si="1"/>
        <v>0</v>
      </c>
      <c r="AL18" s="2">
        <f t="shared" si="1"/>
        <v>0</v>
      </c>
      <c r="AM18" s="2">
        <f t="shared" si="1"/>
        <v>0</v>
      </c>
      <c r="AN18" s="2">
        <f t="shared" si="1"/>
        <v>0</v>
      </c>
      <c r="AO18" s="2">
        <f t="shared" si="1"/>
        <v>0</v>
      </c>
      <c r="AP18" s="2">
        <f t="shared" si="1"/>
        <v>0</v>
      </c>
      <c r="AQ18" s="2">
        <f t="shared" si="1"/>
        <v>0</v>
      </c>
      <c r="AR18" s="2">
        <f t="shared" si="1"/>
        <v>2726620.19</v>
      </c>
      <c r="AS18" s="2">
        <f t="shared" si="1"/>
        <v>0</v>
      </c>
      <c r="AT18" s="2">
        <f t="shared" si="1"/>
        <v>0</v>
      </c>
      <c r="AU18" s="2">
        <f t="shared" ref="AU18:BZ18" si="2">AU601</f>
        <v>2726620.19</v>
      </c>
      <c r="AV18" s="2">
        <f t="shared" si="2"/>
        <v>2049809.3</v>
      </c>
      <c r="AW18" s="2">
        <f t="shared" si="2"/>
        <v>2049809.3</v>
      </c>
      <c r="AX18" s="2">
        <f t="shared" si="2"/>
        <v>0</v>
      </c>
      <c r="AY18" s="2">
        <f t="shared" si="2"/>
        <v>2049809.3</v>
      </c>
      <c r="AZ18" s="2">
        <f t="shared" si="2"/>
        <v>0</v>
      </c>
      <c r="BA18" s="2">
        <f t="shared" si="2"/>
        <v>0</v>
      </c>
      <c r="BB18" s="2">
        <f t="shared" si="2"/>
        <v>0</v>
      </c>
      <c r="BC18" s="2">
        <f t="shared" si="2"/>
        <v>0</v>
      </c>
      <c r="BD18" s="2">
        <f t="shared" si="2"/>
        <v>0</v>
      </c>
      <c r="BE18" s="2">
        <f t="shared" si="2"/>
        <v>0</v>
      </c>
      <c r="BF18" s="2">
        <f t="shared" si="2"/>
        <v>0</v>
      </c>
      <c r="BG18" s="2">
        <f t="shared" si="2"/>
        <v>0</v>
      </c>
      <c r="BH18" s="2">
        <f t="shared" si="2"/>
        <v>0</v>
      </c>
      <c r="BI18" s="2">
        <f t="shared" si="2"/>
        <v>0</v>
      </c>
      <c r="BJ18" s="2">
        <f t="shared" si="2"/>
        <v>0</v>
      </c>
      <c r="BK18" s="2">
        <f t="shared" si="2"/>
        <v>0</v>
      </c>
      <c r="BL18" s="2">
        <f t="shared" si="2"/>
        <v>0</v>
      </c>
      <c r="BM18" s="2">
        <f t="shared" si="2"/>
        <v>0</v>
      </c>
      <c r="BN18" s="2">
        <f t="shared" si="2"/>
        <v>0</v>
      </c>
      <c r="BO18" s="2">
        <f t="shared" si="2"/>
        <v>0</v>
      </c>
      <c r="BP18" s="2">
        <f t="shared" si="2"/>
        <v>0</v>
      </c>
      <c r="BQ18" s="2">
        <f t="shared" si="2"/>
        <v>0</v>
      </c>
      <c r="BR18" s="2">
        <f t="shared" si="2"/>
        <v>0</v>
      </c>
      <c r="BS18" s="2">
        <f t="shared" si="2"/>
        <v>0</v>
      </c>
      <c r="BT18" s="2">
        <f t="shared" si="2"/>
        <v>0</v>
      </c>
      <c r="BU18" s="2">
        <f t="shared" si="2"/>
        <v>0</v>
      </c>
      <c r="BV18" s="2">
        <f t="shared" si="2"/>
        <v>0</v>
      </c>
      <c r="BW18" s="2">
        <f t="shared" si="2"/>
        <v>0</v>
      </c>
      <c r="BX18" s="2">
        <f t="shared" si="2"/>
        <v>0</v>
      </c>
      <c r="BY18" s="2">
        <f t="shared" si="2"/>
        <v>0</v>
      </c>
      <c r="BZ18" s="2">
        <f t="shared" si="2"/>
        <v>0</v>
      </c>
      <c r="CA18" s="2">
        <f t="shared" ref="CA18:DF18" si="3">CA601</f>
        <v>0</v>
      </c>
      <c r="CB18" s="2">
        <f t="shared" si="3"/>
        <v>0</v>
      </c>
      <c r="CC18" s="2">
        <f t="shared" si="3"/>
        <v>0</v>
      </c>
      <c r="CD18" s="2">
        <f t="shared" si="3"/>
        <v>0</v>
      </c>
      <c r="CE18" s="2">
        <f t="shared" si="3"/>
        <v>0</v>
      </c>
      <c r="CF18" s="2">
        <f t="shared" si="3"/>
        <v>0</v>
      </c>
      <c r="CG18" s="2">
        <f t="shared" si="3"/>
        <v>0</v>
      </c>
      <c r="CH18" s="2">
        <f t="shared" si="3"/>
        <v>0</v>
      </c>
      <c r="CI18" s="2">
        <f t="shared" si="3"/>
        <v>0</v>
      </c>
      <c r="CJ18" s="2">
        <f t="shared" si="3"/>
        <v>0</v>
      </c>
      <c r="CK18" s="2">
        <f t="shared" si="3"/>
        <v>0</v>
      </c>
      <c r="CL18" s="2">
        <f t="shared" si="3"/>
        <v>0</v>
      </c>
      <c r="CM18" s="2">
        <f t="shared" si="3"/>
        <v>0</v>
      </c>
      <c r="CN18" s="2">
        <f t="shared" si="3"/>
        <v>0</v>
      </c>
      <c r="CO18" s="2">
        <f t="shared" si="3"/>
        <v>0</v>
      </c>
      <c r="CP18" s="2">
        <f t="shared" si="3"/>
        <v>0</v>
      </c>
      <c r="CQ18" s="2">
        <f t="shared" si="3"/>
        <v>0</v>
      </c>
      <c r="CR18" s="2">
        <f t="shared" si="3"/>
        <v>0</v>
      </c>
      <c r="CS18" s="2">
        <f t="shared" si="3"/>
        <v>0</v>
      </c>
      <c r="CT18" s="2">
        <f t="shared" si="3"/>
        <v>0</v>
      </c>
      <c r="CU18" s="2">
        <f t="shared" si="3"/>
        <v>0</v>
      </c>
      <c r="CV18" s="2">
        <f t="shared" si="3"/>
        <v>0</v>
      </c>
      <c r="CW18" s="2">
        <f t="shared" si="3"/>
        <v>0</v>
      </c>
      <c r="CX18" s="2">
        <f t="shared" si="3"/>
        <v>0</v>
      </c>
      <c r="CY18" s="2">
        <f t="shared" si="3"/>
        <v>0</v>
      </c>
      <c r="CZ18" s="2">
        <f t="shared" si="3"/>
        <v>0</v>
      </c>
      <c r="DA18" s="2">
        <f t="shared" si="3"/>
        <v>0</v>
      </c>
      <c r="DB18" s="2">
        <f t="shared" si="3"/>
        <v>0</v>
      </c>
      <c r="DC18" s="2">
        <f t="shared" si="3"/>
        <v>0</v>
      </c>
      <c r="DD18" s="2">
        <f t="shared" si="3"/>
        <v>0</v>
      </c>
      <c r="DE18" s="2">
        <f t="shared" si="3"/>
        <v>0</v>
      </c>
      <c r="DF18" s="2">
        <f t="shared" si="3"/>
        <v>0</v>
      </c>
      <c r="DG18" s="3">
        <f t="shared" ref="DG18:EL18" si="4">DG601</f>
        <v>0</v>
      </c>
      <c r="DH18" s="3">
        <f t="shared" si="4"/>
        <v>0</v>
      </c>
      <c r="DI18" s="3">
        <f t="shared" si="4"/>
        <v>0</v>
      </c>
      <c r="DJ18" s="3">
        <f t="shared" si="4"/>
        <v>0</v>
      </c>
      <c r="DK18" s="3">
        <f t="shared" si="4"/>
        <v>0</v>
      </c>
      <c r="DL18" s="3">
        <f t="shared" si="4"/>
        <v>0</v>
      </c>
      <c r="DM18" s="3">
        <f t="shared" si="4"/>
        <v>0</v>
      </c>
      <c r="DN18" s="3">
        <f t="shared" si="4"/>
        <v>0</v>
      </c>
      <c r="DO18" s="3">
        <f t="shared" si="4"/>
        <v>0</v>
      </c>
      <c r="DP18" s="3">
        <f t="shared" si="4"/>
        <v>0</v>
      </c>
      <c r="DQ18" s="3">
        <f t="shared" si="4"/>
        <v>0</v>
      </c>
      <c r="DR18" s="3">
        <f t="shared" si="4"/>
        <v>0</v>
      </c>
      <c r="DS18" s="3">
        <f t="shared" si="4"/>
        <v>0</v>
      </c>
      <c r="DT18" s="3">
        <f t="shared" si="4"/>
        <v>0</v>
      </c>
      <c r="DU18" s="3">
        <f t="shared" si="4"/>
        <v>0</v>
      </c>
      <c r="DV18" s="3">
        <f t="shared" si="4"/>
        <v>0</v>
      </c>
      <c r="DW18" s="3">
        <f t="shared" si="4"/>
        <v>0</v>
      </c>
      <c r="DX18" s="3">
        <f t="shared" si="4"/>
        <v>0</v>
      </c>
      <c r="DY18" s="3">
        <f t="shared" si="4"/>
        <v>0</v>
      </c>
      <c r="DZ18" s="3">
        <f t="shared" si="4"/>
        <v>0</v>
      </c>
      <c r="EA18" s="3">
        <f t="shared" si="4"/>
        <v>0</v>
      </c>
      <c r="EB18" s="3">
        <f t="shared" si="4"/>
        <v>0</v>
      </c>
      <c r="EC18" s="3">
        <f t="shared" si="4"/>
        <v>0</v>
      </c>
      <c r="ED18" s="3">
        <f t="shared" si="4"/>
        <v>0</v>
      </c>
      <c r="EE18" s="3">
        <f t="shared" si="4"/>
        <v>0</v>
      </c>
      <c r="EF18" s="3">
        <f t="shared" si="4"/>
        <v>0</v>
      </c>
      <c r="EG18" s="3">
        <f t="shared" si="4"/>
        <v>0</v>
      </c>
      <c r="EH18" s="3">
        <f t="shared" si="4"/>
        <v>0</v>
      </c>
      <c r="EI18" s="3">
        <f t="shared" si="4"/>
        <v>0</v>
      </c>
      <c r="EJ18" s="3">
        <f t="shared" si="4"/>
        <v>0</v>
      </c>
      <c r="EK18" s="3">
        <f t="shared" si="4"/>
        <v>0</v>
      </c>
      <c r="EL18" s="3">
        <f t="shared" si="4"/>
        <v>0</v>
      </c>
      <c r="EM18" s="3">
        <f t="shared" ref="EM18:FR18" si="5">EM601</f>
        <v>0</v>
      </c>
      <c r="EN18" s="3">
        <f t="shared" si="5"/>
        <v>0</v>
      </c>
      <c r="EO18" s="3">
        <f t="shared" si="5"/>
        <v>0</v>
      </c>
      <c r="EP18" s="3">
        <f t="shared" si="5"/>
        <v>0</v>
      </c>
      <c r="EQ18" s="3">
        <f t="shared" si="5"/>
        <v>0</v>
      </c>
      <c r="ER18" s="3">
        <f t="shared" si="5"/>
        <v>0</v>
      </c>
      <c r="ES18" s="3">
        <f t="shared" si="5"/>
        <v>0</v>
      </c>
      <c r="ET18" s="3">
        <f t="shared" si="5"/>
        <v>0</v>
      </c>
      <c r="EU18" s="3">
        <f t="shared" si="5"/>
        <v>0</v>
      </c>
      <c r="EV18" s="3">
        <f t="shared" si="5"/>
        <v>0</v>
      </c>
      <c r="EW18" s="3">
        <f t="shared" si="5"/>
        <v>0</v>
      </c>
      <c r="EX18" s="3">
        <f t="shared" si="5"/>
        <v>0</v>
      </c>
      <c r="EY18" s="3">
        <f t="shared" si="5"/>
        <v>0</v>
      </c>
      <c r="EZ18" s="3">
        <f t="shared" si="5"/>
        <v>0</v>
      </c>
      <c r="FA18" s="3">
        <f t="shared" si="5"/>
        <v>0</v>
      </c>
      <c r="FB18" s="3">
        <f t="shared" si="5"/>
        <v>0</v>
      </c>
      <c r="FC18" s="3">
        <f t="shared" si="5"/>
        <v>0</v>
      </c>
      <c r="FD18" s="3">
        <f t="shared" si="5"/>
        <v>0</v>
      </c>
      <c r="FE18" s="3">
        <f t="shared" si="5"/>
        <v>0</v>
      </c>
      <c r="FF18" s="3">
        <f t="shared" si="5"/>
        <v>0</v>
      </c>
      <c r="FG18" s="3">
        <f t="shared" si="5"/>
        <v>0</v>
      </c>
      <c r="FH18" s="3">
        <f t="shared" si="5"/>
        <v>0</v>
      </c>
      <c r="FI18" s="3">
        <f t="shared" si="5"/>
        <v>0</v>
      </c>
      <c r="FJ18" s="3">
        <f t="shared" si="5"/>
        <v>0</v>
      </c>
      <c r="FK18" s="3">
        <f t="shared" si="5"/>
        <v>0</v>
      </c>
      <c r="FL18" s="3">
        <f t="shared" si="5"/>
        <v>0</v>
      </c>
      <c r="FM18" s="3">
        <f t="shared" si="5"/>
        <v>0</v>
      </c>
      <c r="FN18" s="3">
        <f t="shared" si="5"/>
        <v>0</v>
      </c>
      <c r="FO18" s="3">
        <f t="shared" si="5"/>
        <v>0</v>
      </c>
      <c r="FP18" s="3">
        <f t="shared" si="5"/>
        <v>0</v>
      </c>
      <c r="FQ18" s="3">
        <f t="shared" si="5"/>
        <v>0</v>
      </c>
      <c r="FR18" s="3">
        <f t="shared" si="5"/>
        <v>0</v>
      </c>
      <c r="FS18" s="3">
        <f t="shared" ref="FS18:GX18" si="6">FS601</f>
        <v>0</v>
      </c>
      <c r="FT18" s="3">
        <f t="shared" si="6"/>
        <v>0</v>
      </c>
      <c r="FU18" s="3">
        <f t="shared" si="6"/>
        <v>0</v>
      </c>
      <c r="FV18" s="3">
        <f t="shared" si="6"/>
        <v>0</v>
      </c>
      <c r="FW18" s="3">
        <f t="shared" si="6"/>
        <v>0</v>
      </c>
      <c r="FX18" s="3">
        <f t="shared" si="6"/>
        <v>0</v>
      </c>
      <c r="FY18" s="3">
        <f t="shared" si="6"/>
        <v>0</v>
      </c>
      <c r="FZ18" s="3">
        <f t="shared" si="6"/>
        <v>0</v>
      </c>
      <c r="GA18" s="3">
        <f t="shared" si="6"/>
        <v>0</v>
      </c>
      <c r="GB18" s="3">
        <f t="shared" si="6"/>
        <v>0</v>
      </c>
      <c r="GC18" s="3">
        <f t="shared" si="6"/>
        <v>0</v>
      </c>
      <c r="GD18" s="3">
        <f t="shared" si="6"/>
        <v>0</v>
      </c>
      <c r="GE18" s="3">
        <f t="shared" si="6"/>
        <v>0</v>
      </c>
      <c r="GF18" s="3">
        <f t="shared" si="6"/>
        <v>0</v>
      </c>
      <c r="GG18" s="3">
        <f t="shared" si="6"/>
        <v>0</v>
      </c>
      <c r="GH18" s="3">
        <f t="shared" si="6"/>
        <v>0</v>
      </c>
      <c r="GI18" s="3">
        <f t="shared" si="6"/>
        <v>0</v>
      </c>
      <c r="GJ18" s="3">
        <f t="shared" si="6"/>
        <v>0</v>
      </c>
      <c r="GK18" s="3">
        <f t="shared" si="6"/>
        <v>0</v>
      </c>
      <c r="GL18" s="3">
        <f t="shared" si="6"/>
        <v>0</v>
      </c>
      <c r="GM18" s="3">
        <f t="shared" si="6"/>
        <v>0</v>
      </c>
      <c r="GN18" s="3">
        <f t="shared" si="6"/>
        <v>0</v>
      </c>
      <c r="GO18" s="3">
        <f t="shared" si="6"/>
        <v>0</v>
      </c>
      <c r="GP18" s="3">
        <f t="shared" si="6"/>
        <v>0</v>
      </c>
      <c r="GQ18" s="3">
        <f t="shared" si="6"/>
        <v>0</v>
      </c>
      <c r="GR18" s="3">
        <f t="shared" si="6"/>
        <v>0</v>
      </c>
      <c r="GS18" s="3">
        <f t="shared" si="6"/>
        <v>0</v>
      </c>
      <c r="GT18" s="3">
        <f t="shared" si="6"/>
        <v>0</v>
      </c>
      <c r="GU18" s="3">
        <f t="shared" si="6"/>
        <v>0</v>
      </c>
      <c r="GV18" s="3">
        <f t="shared" si="6"/>
        <v>0</v>
      </c>
      <c r="GW18" s="3">
        <f t="shared" si="6"/>
        <v>0</v>
      </c>
      <c r="GX18" s="3">
        <f t="shared" si="6"/>
        <v>0</v>
      </c>
    </row>
    <row r="20" spans="1:245" x14ac:dyDescent="0.2">
      <c r="A20" s="1">
        <v>3</v>
      </c>
      <c r="B20" s="1">
        <v>1</v>
      </c>
      <c r="C20" s="1"/>
      <c r="D20" s="1">
        <f>ROW(A568)</f>
        <v>568</v>
      </c>
      <c r="E20" s="1"/>
      <c r="F20" s="1" t="s">
        <v>12</v>
      </c>
      <c r="G20" s="1" t="s">
        <v>12</v>
      </c>
      <c r="H20" s="1" t="s">
        <v>3</v>
      </c>
      <c r="I20" s="1">
        <v>0</v>
      </c>
      <c r="J20" s="1" t="s">
        <v>3</v>
      </c>
      <c r="K20" s="1">
        <v>0</v>
      </c>
      <c r="L20" s="1" t="s">
        <v>3</v>
      </c>
      <c r="M20" s="1"/>
      <c r="N20" s="1"/>
      <c r="O20" s="1"/>
      <c r="P20" s="1"/>
      <c r="Q20" s="1"/>
      <c r="R20" s="1"/>
      <c r="S20" s="1"/>
      <c r="T20" s="1"/>
      <c r="U20" s="1" t="s">
        <v>3</v>
      </c>
      <c r="V20" s="1">
        <v>0</v>
      </c>
      <c r="W20" s="1"/>
      <c r="X20" s="1"/>
      <c r="Y20" s="1"/>
      <c r="Z20" s="1"/>
      <c r="AA20" s="1"/>
      <c r="AB20" s="1" t="s">
        <v>3</v>
      </c>
      <c r="AC20" s="1" t="s">
        <v>3</v>
      </c>
      <c r="AD20" s="1" t="s">
        <v>3</v>
      </c>
      <c r="AE20" s="1" t="s">
        <v>3</v>
      </c>
      <c r="AF20" s="1" t="s">
        <v>3</v>
      </c>
      <c r="AG20" s="1" t="s">
        <v>3</v>
      </c>
      <c r="AH20" s="1"/>
      <c r="AI20" s="1"/>
      <c r="AJ20" s="1"/>
      <c r="AK20" s="1"/>
      <c r="AL20" s="1"/>
      <c r="AM20" s="1"/>
      <c r="AN20" s="1"/>
      <c r="AO20" s="1"/>
      <c r="AP20" s="1" t="s">
        <v>3</v>
      </c>
      <c r="AQ20" s="1" t="s">
        <v>3</v>
      </c>
      <c r="AR20" s="1" t="s">
        <v>3</v>
      </c>
      <c r="AS20" s="1"/>
      <c r="AT20" s="1"/>
      <c r="AU20" s="1"/>
      <c r="AV20" s="1"/>
      <c r="AW20" s="1"/>
      <c r="AX20" s="1"/>
      <c r="AY20" s="1"/>
      <c r="AZ20" s="1" t="s">
        <v>3</v>
      </c>
      <c r="BA20" s="1"/>
      <c r="BB20" s="1" t="s">
        <v>3</v>
      </c>
      <c r="BC20" s="1" t="s">
        <v>3</v>
      </c>
      <c r="BD20" s="1" t="s">
        <v>3</v>
      </c>
      <c r="BE20" s="1" t="s">
        <v>3</v>
      </c>
      <c r="BF20" s="1" t="s">
        <v>3</v>
      </c>
      <c r="BG20" s="1" t="s">
        <v>3</v>
      </c>
      <c r="BH20" s="1" t="s">
        <v>3</v>
      </c>
      <c r="BI20" s="1" t="s">
        <v>3</v>
      </c>
      <c r="BJ20" s="1" t="s">
        <v>3</v>
      </c>
      <c r="BK20" s="1" t="s">
        <v>3</v>
      </c>
      <c r="BL20" s="1" t="s">
        <v>3</v>
      </c>
      <c r="BM20" s="1" t="s">
        <v>3</v>
      </c>
      <c r="BN20" s="1" t="s">
        <v>3</v>
      </c>
      <c r="BO20" s="1" t="s">
        <v>3</v>
      </c>
      <c r="BP20" s="1" t="s">
        <v>3</v>
      </c>
      <c r="BQ20" s="1"/>
      <c r="BR20" s="1"/>
      <c r="BS20" s="1"/>
      <c r="BT20" s="1"/>
      <c r="BU20" s="1"/>
      <c r="BV20" s="1"/>
      <c r="BW20" s="1"/>
      <c r="BX20" s="1">
        <v>0</v>
      </c>
      <c r="BY20" s="1"/>
      <c r="BZ20" s="1"/>
      <c r="CA20" s="1"/>
      <c r="CB20" s="1"/>
      <c r="CC20" s="1"/>
      <c r="CD20" s="1"/>
      <c r="CE20" s="1"/>
      <c r="CF20" s="1">
        <v>0</v>
      </c>
      <c r="CG20" s="1">
        <v>0</v>
      </c>
      <c r="CH20" s="1"/>
      <c r="CI20" s="1" t="s">
        <v>3</v>
      </c>
      <c r="CJ20" s="1" t="s">
        <v>3</v>
      </c>
      <c r="CK20" t="s">
        <v>3</v>
      </c>
      <c r="CL20" t="s">
        <v>3</v>
      </c>
      <c r="CM20" t="s">
        <v>3</v>
      </c>
      <c r="CN20" t="s">
        <v>3</v>
      </c>
      <c r="CO20" t="s">
        <v>3</v>
      </c>
      <c r="CP20" t="s">
        <v>3</v>
      </c>
    </row>
    <row r="22" spans="1:245" x14ac:dyDescent="0.2">
      <c r="A22" s="2">
        <v>52</v>
      </c>
      <c r="B22" s="2">
        <f t="shared" ref="B22:G22" si="7">B568</f>
        <v>1</v>
      </c>
      <c r="C22" s="2">
        <f t="shared" si="7"/>
        <v>3</v>
      </c>
      <c r="D22" s="2">
        <f t="shared" si="7"/>
        <v>20</v>
      </c>
      <c r="E22" s="2">
        <f t="shared" si="7"/>
        <v>0</v>
      </c>
      <c r="F22" s="2" t="str">
        <f t="shared" si="7"/>
        <v>Новая локальная смета</v>
      </c>
      <c r="G22" s="2" t="str">
        <f t="shared" si="7"/>
        <v>Новая локальная смета</v>
      </c>
      <c r="H22" s="2"/>
      <c r="I22" s="2"/>
      <c r="J22" s="2"/>
      <c r="K22" s="2"/>
      <c r="L22" s="2"/>
      <c r="M22" s="2"/>
      <c r="N22" s="2"/>
      <c r="O22" s="2">
        <f t="shared" ref="O22:AT22" si="8">O568</f>
        <v>2487923.0099999998</v>
      </c>
      <c r="P22" s="2">
        <f t="shared" si="8"/>
        <v>2049809.3</v>
      </c>
      <c r="Q22" s="2">
        <f t="shared" si="8"/>
        <v>197380.22</v>
      </c>
      <c r="R22" s="2">
        <f t="shared" si="8"/>
        <v>103360.22</v>
      </c>
      <c r="S22" s="2">
        <f t="shared" si="8"/>
        <v>240733.49</v>
      </c>
      <c r="T22" s="2">
        <f t="shared" si="8"/>
        <v>0</v>
      </c>
      <c r="U22" s="2">
        <f t="shared" si="8"/>
        <v>1105.6031759999998</v>
      </c>
      <c r="V22" s="2">
        <f t="shared" si="8"/>
        <v>0</v>
      </c>
      <c r="W22" s="2">
        <f t="shared" si="8"/>
        <v>0</v>
      </c>
      <c r="X22" s="2">
        <f t="shared" si="8"/>
        <v>168513.47</v>
      </c>
      <c r="Y22" s="2">
        <f t="shared" si="8"/>
        <v>24073.38</v>
      </c>
      <c r="Z22" s="2">
        <f t="shared" si="8"/>
        <v>0</v>
      </c>
      <c r="AA22" s="2">
        <f t="shared" si="8"/>
        <v>0</v>
      </c>
      <c r="AB22" s="2">
        <f t="shared" si="8"/>
        <v>0</v>
      </c>
      <c r="AC22" s="2">
        <f t="shared" si="8"/>
        <v>0</v>
      </c>
      <c r="AD22" s="2">
        <f t="shared" si="8"/>
        <v>0</v>
      </c>
      <c r="AE22" s="2">
        <f t="shared" si="8"/>
        <v>0</v>
      </c>
      <c r="AF22" s="2">
        <f t="shared" si="8"/>
        <v>0</v>
      </c>
      <c r="AG22" s="2">
        <f t="shared" si="8"/>
        <v>0</v>
      </c>
      <c r="AH22" s="2">
        <f t="shared" si="8"/>
        <v>0</v>
      </c>
      <c r="AI22" s="2">
        <f t="shared" si="8"/>
        <v>0</v>
      </c>
      <c r="AJ22" s="2">
        <f t="shared" si="8"/>
        <v>0</v>
      </c>
      <c r="AK22" s="2">
        <f t="shared" si="8"/>
        <v>0</v>
      </c>
      <c r="AL22" s="2">
        <f t="shared" si="8"/>
        <v>0</v>
      </c>
      <c r="AM22" s="2">
        <f t="shared" si="8"/>
        <v>0</v>
      </c>
      <c r="AN22" s="2">
        <f t="shared" si="8"/>
        <v>0</v>
      </c>
      <c r="AO22" s="2">
        <f t="shared" si="8"/>
        <v>0</v>
      </c>
      <c r="AP22" s="2">
        <f t="shared" si="8"/>
        <v>0</v>
      </c>
      <c r="AQ22" s="2">
        <f t="shared" si="8"/>
        <v>0</v>
      </c>
      <c r="AR22" s="2">
        <f t="shared" si="8"/>
        <v>2726620.19</v>
      </c>
      <c r="AS22" s="2">
        <f t="shared" si="8"/>
        <v>0</v>
      </c>
      <c r="AT22" s="2">
        <f t="shared" si="8"/>
        <v>0</v>
      </c>
      <c r="AU22" s="2">
        <f t="shared" ref="AU22:BZ22" si="9">AU568</f>
        <v>2726620.19</v>
      </c>
      <c r="AV22" s="2">
        <f t="shared" si="9"/>
        <v>2049809.3</v>
      </c>
      <c r="AW22" s="2">
        <f t="shared" si="9"/>
        <v>2049809.3</v>
      </c>
      <c r="AX22" s="2">
        <f t="shared" si="9"/>
        <v>0</v>
      </c>
      <c r="AY22" s="2">
        <f t="shared" si="9"/>
        <v>2049809.3</v>
      </c>
      <c r="AZ22" s="2">
        <f t="shared" si="9"/>
        <v>0</v>
      </c>
      <c r="BA22" s="2">
        <f t="shared" si="9"/>
        <v>0</v>
      </c>
      <c r="BB22" s="2">
        <f t="shared" si="9"/>
        <v>0</v>
      </c>
      <c r="BC22" s="2">
        <f t="shared" si="9"/>
        <v>0</v>
      </c>
      <c r="BD22" s="2">
        <f t="shared" si="9"/>
        <v>0</v>
      </c>
      <c r="BE22" s="2">
        <f t="shared" si="9"/>
        <v>0</v>
      </c>
      <c r="BF22" s="2">
        <f t="shared" si="9"/>
        <v>0</v>
      </c>
      <c r="BG22" s="2">
        <f t="shared" si="9"/>
        <v>0</v>
      </c>
      <c r="BH22" s="2">
        <f t="shared" si="9"/>
        <v>0</v>
      </c>
      <c r="BI22" s="2">
        <f t="shared" si="9"/>
        <v>0</v>
      </c>
      <c r="BJ22" s="2">
        <f t="shared" si="9"/>
        <v>0</v>
      </c>
      <c r="BK22" s="2">
        <f t="shared" si="9"/>
        <v>0</v>
      </c>
      <c r="BL22" s="2">
        <f t="shared" si="9"/>
        <v>0</v>
      </c>
      <c r="BM22" s="2">
        <f t="shared" si="9"/>
        <v>0</v>
      </c>
      <c r="BN22" s="2">
        <f t="shared" si="9"/>
        <v>0</v>
      </c>
      <c r="BO22" s="2">
        <f t="shared" si="9"/>
        <v>0</v>
      </c>
      <c r="BP22" s="2">
        <f t="shared" si="9"/>
        <v>0</v>
      </c>
      <c r="BQ22" s="2">
        <f t="shared" si="9"/>
        <v>0</v>
      </c>
      <c r="BR22" s="2">
        <f t="shared" si="9"/>
        <v>0</v>
      </c>
      <c r="BS22" s="2">
        <f t="shared" si="9"/>
        <v>0</v>
      </c>
      <c r="BT22" s="2">
        <f t="shared" si="9"/>
        <v>0</v>
      </c>
      <c r="BU22" s="2">
        <f t="shared" si="9"/>
        <v>0</v>
      </c>
      <c r="BV22" s="2">
        <f t="shared" si="9"/>
        <v>0</v>
      </c>
      <c r="BW22" s="2">
        <f t="shared" si="9"/>
        <v>0</v>
      </c>
      <c r="BX22" s="2">
        <f t="shared" si="9"/>
        <v>0</v>
      </c>
      <c r="BY22" s="2">
        <f t="shared" si="9"/>
        <v>0</v>
      </c>
      <c r="BZ22" s="2">
        <f t="shared" si="9"/>
        <v>0</v>
      </c>
      <c r="CA22" s="2">
        <f t="shared" ref="CA22:DF22" si="10">CA568</f>
        <v>0</v>
      </c>
      <c r="CB22" s="2">
        <f t="shared" si="10"/>
        <v>0</v>
      </c>
      <c r="CC22" s="2">
        <f t="shared" si="10"/>
        <v>0</v>
      </c>
      <c r="CD22" s="2">
        <f t="shared" si="10"/>
        <v>0</v>
      </c>
      <c r="CE22" s="2">
        <f t="shared" si="10"/>
        <v>0</v>
      </c>
      <c r="CF22" s="2">
        <f t="shared" si="10"/>
        <v>0</v>
      </c>
      <c r="CG22" s="2">
        <f t="shared" si="10"/>
        <v>0</v>
      </c>
      <c r="CH22" s="2">
        <f t="shared" si="10"/>
        <v>0</v>
      </c>
      <c r="CI22" s="2">
        <f t="shared" si="10"/>
        <v>0</v>
      </c>
      <c r="CJ22" s="2">
        <f t="shared" si="10"/>
        <v>0</v>
      </c>
      <c r="CK22" s="2">
        <f t="shared" si="10"/>
        <v>0</v>
      </c>
      <c r="CL22" s="2">
        <f t="shared" si="10"/>
        <v>0</v>
      </c>
      <c r="CM22" s="2">
        <f t="shared" si="10"/>
        <v>0</v>
      </c>
      <c r="CN22" s="2">
        <f t="shared" si="10"/>
        <v>0</v>
      </c>
      <c r="CO22" s="2">
        <f t="shared" si="10"/>
        <v>0</v>
      </c>
      <c r="CP22" s="2">
        <f t="shared" si="10"/>
        <v>0</v>
      </c>
      <c r="CQ22" s="2">
        <f t="shared" si="10"/>
        <v>0</v>
      </c>
      <c r="CR22" s="2">
        <f t="shared" si="10"/>
        <v>0</v>
      </c>
      <c r="CS22" s="2">
        <f t="shared" si="10"/>
        <v>0</v>
      </c>
      <c r="CT22" s="2">
        <f t="shared" si="10"/>
        <v>0</v>
      </c>
      <c r="CU22" s="2">
        <f t="shared" si="10"/>
        <v>0</v>
      </c>
      <c r="CV22" s="2">
        <f t="shared" si="10"/>
        <v>0</v>
      </c>
      <c r="CW22" s="2">
        <f t="shared" si="10"/>
        <v>0</v>
      </c>
      <c r="CX22" s="2">
        <f t="shared" si="10"/>
        <v>0</v>
      </c>
      <c r="CY22" s="2">
        <f t="shared" si="10"/>
        <v>0</v>
      </c>
      <c r="CZ22" s="2">
        <f t="shared" si="10"/>
        <v>0</v>
      </c>
      <c r="DA22" s="2">
        <f t="shared" si="10"/>
        <v>0</v>
      </c>
      <c r="DB22" s="2">
        <f t="shared" si="10"/>
        <v>0</v>
      </c>
      <c r="DC22" s="2">
        <f t="shared" si="10"/>
        <v>0</v>
      </c>
      <c r="DD22" s="2">
        <f t="shared" si="10"/>
        <v>0</v>
      </c>
      <c r="DE22" s="2">
        <f t="shared" si="10"/>
        <v>0</v>
      </c>
      <c r="DF22" s="2">
        <f t="shared" si="10"/>
        <v>0</v>
      </c>
      <c r="DG22" s="3">
        <f t="shared" ref="DG22:EL22" si="11">DG568</f>
        <v>0</v>
      </c>
      <c r="DH22" s="3">
        <f t="shared" si="11"/>
        <v>0</v>
      </c>
      <c r="DI22" s="3">
        <f t="shared" si="11"/>
        <v>0</v>
      </c>
      <c r="DJ22" s="3">
        <f t="shared" si="11"/>
        <v>0</v>
      </c>
      <c r="DK22" s="3">
        <f t="shared" si="11"/>
        <v>0</v>
      </c>
      <c r="DL22" s="3">
        <f t="shared" si="11"/>
        <v>0</v>
      </c>
      <c r="DM22" s="3">
        <f t="shared" si="11"/>
        <v>0</v>
      </c>
      <c r="DN22" s="3">
        <f t="shared" si="11"/>
        <v>0</v>
      </c>
      <c r="DO22" s="3">
        <f t="shared" si="11"/>
        <v>0</v>
      </c>
      <c r="DP22" s="3">
        <f t="shared" si="11"/>
        <v>0</v>
      </c>
      <c r="DQ22" s="3">
        <f t="shared" si="11"/>
        <v>0</v>
      </c>
      <c r="DR22" s="3">
        <f t="shared" si="11"/>
        <v>0</v>
      </c>
      <c r="DS22" s="3">
        <f t="shared" si="11"/>
        <v>0</v>
      </c>
      <c r="DT22" s="3">
        <f t="shared" si="11"/>
        <v>0</v>
      </c>
      <c r="DU22" s="3">
        <f t="shared" si="11"/>
        <v>0</v>
      </c>
      <c r="DV22" s="3">
        <f t="shared" si="11"/>
        <v>0</v>
      </c>
      <c r="DW22" s="3">
        <f t="shared" si="11"/>
        <v>0</v>
      </c>
      <c r="DX22" s="3">
        <f t="shared" si="11"/>
        <v>0</v>
      </c>
      <c r="DY22" s="3">
        <f t="shared" si="11"/>
        <v>0</v>
      </c>
      <c r="DZ22" s="3">
        <f t="shared" si="11"/>
        <v>0</v>
      </c>
      <c r="EA22" s="3">
        <f t="shared" si="11"/>
        <v>0</v>
      </c>
      <c r="EB22" s="3">
        <f t="shared" si="11"/>
        <v>0</v>
      </c>
      <c r="EC22" s="3">
        <f t="shared" si="11"/>
        <v>0</v>
      </c>
      <c r="ED22" s="3">
        <f t="shared" si="11"/>
        <v>0</v>
      </c>
      <c r="EE22" s="3">
        <f t="shared" si="11"/>
        <v>0</v>
      </c>
      <c r="EF22" s="3">
        <f t="shared" si="11"/>
        <v>0</v>
      </c>
      <c r="EG22" s="3">
        <f t="shared" si="11"/>
        <v>0</v>
      </c>
      <c r="EH22" s="3">
        <f t="shared" si="11"/>
        <v>0</v>
      </c>
      <c r="EI22" s="3">
        <f t="shared" si="11"/>
        <v>0</v>
      </c>
      <c r="EJ22" s="3">
        <f t="shared" si="11"/>
        <v>0</v>
      </c>
      <c r="EK22" s="3">
        <f t="shared" si="11"/>
        <v>0</v>
      </c>
      <c r="EL22" s="3">
        <f t="shared" si="11"/>
        <v>0</v>
      </c>
      <c r="EM22" s="3">
        <f t="shared" ref="EM22:FR22" si="12">EM568</f>
        <v>0</v>
      </c>
      <c r="EN22" s="3">
        <f t="shared" si="12"/>
        <v>0</v>
      </c>
      <c r="EO22" s="3">
        <f t="shared" si="12"/>
        <v>0</v>
      </c>
      <c r="EP22" s="3">
        <f t="shared" si="12"/>
        <v>0</v>
      </c>
      <c r="EQ22" s="3">
        <f t="shared" si="12"/>
        <v>0</v>
      </c>
      <c r="ER22" s="3">
        <f t="shared" si="12"/>
        <v>0</v>
      </c>
      <c r="ES22" s="3">
        <f t="shared" si="12"/>
        <v>0</v>
      </c>
      <c r="ET22" s="3">
        <f t="shared" si="12"/>
        <v>0</v>
      </c>
      <c r="EU22" s="3">
        <f t="shared" si="12"/>
        <v>0</v>
      </c>
      <c r="EV22" s="3">
        <f t="shared" si="12"/>
        <v>0</v>
      </c>
      <c r="EW22" s="3">
        <f t="shared" si="12"/>
        <v>0</v>
      </c>
      <c r="EX22" s="3">
        <f t="shared" si="12"/>
        <v>0</v>
      </c>
      <c r="EY22" s="3">
        <f t="shared" si="12"/>
        <v>0</v>
      </c>
      <c r="EZ22" s="3">
        <f t="shared" si="12"/>
        <v>0</v>
      </c>
      <c r="FA22" s="3">
        <f t="shared" si="12"/>
        <v>0</v>
      </c>
      <c r="FB22" s="3">
        <f t="shared" si="12"/>
        <v>0</v>
      </c>
      <c r="FC22" s="3">
        <f t="shared" si="12"/>
        <v>0</v>
      </c>
      <c r="FD22" s="3">
        <f t="shared" si="12"/>
        <v>0</v>
      </c>
      <c r="FE22" s="3">
        <f t="shared" si="12"/>
        <v>0</v>
      </c>
      <c r="FF22" s="3">
        <f t="shared" si="12"/>
        <v>0</v>
      </c>
      <c r="FG22" s="3">
        <f t="shared" si="12"/>
        <v>0</v>
      </c>
      <c r="FH22" s="3">
        <f t="shared" si="12"/>
        <v>0</v>
      </c>
      <c r="FI22" s="3">
        <f t="shared" si="12"/>
        <v>0</v>
      </c>
      <c r="FJ22" s="3">
        <f t="shared" si="12"/>
        <v>0</v>
      </c>
      <c r="FK22" s="3">
        <f t="shared" si="12"/>
        <v>0</v>
      </c>
      <c r="FL22" s="3">
        <f t="shared" si="12"/>
        <v>0</v>
      </c>
      <c r="FM22" s="3">
        <f t="shared" si="12"/>
        <v>0</v>
      </c>
      <c r="FN22" s="3">
        <f t="shared" si="12"/>
        <v>0</v>
      </c>
      <c r="FO22" s="3">
        <f t="shared" si="12"/>
        <v>0</v>
      </c>
      <c r="FP22" s="3">
        <f t="shared" si="12"/>
        <v>0</v>
      </c>
      <c r="FQ22" s="3">
        <f t="shared" si="12"/>
        <v>0</v>
      </c>
      <c r="FR22" s="3">
        <f t="shared" si="12"/>
        <v>0</v>
      </c>
      <c r="FS22" s="3">
        <f t="shared" ref="FS22:GX22" si="13">FS568</f>
        <v>0</v>
      </c>
      <c r="FT22" s="3">
        <f t="shared" si="13"/>
        <v>0</v>
      </c>
      <c r="FU22" s="3">
        <f t="shared" si="13"/>
        <v>0</v>
      </c>
      <c r="FV22" s="3">
        <f t="shared" si="13"/>
        <v>0</v>
      </c>
      <c r="FW22" s="3">
        <f t="shared" si="13"/>
        <v>0</v>
      </c>
      <c r="FX22" s="3">
        <f t="shared" si="13"/>
        <v>0</v>
      </c>
      <c r="FY22" s="3">
        <f t="shared" si="13"/>
        <v>0</v>
      </c>
      <c r="FZ22" s="3">
        <f t="shared" si="13"/>
        <v>0</v>
      </c>
      <c r="GA22" s="3">
        <f t="shared" si="13"/>
        <v>0</v>
      </c>
      <c r="GB22" s="3">
        <f t="shared" si="13"/>
        <v>0</v>
      </c>
      <c r="GC22" s="3">
        <f t="shared" si="13"/>
        <v>0</v>
      </c>
      <c r="GD22" s="3">
        <f t="shared" si="13"/>
        <v>0</v>
      </c>
      <c r="GE22" s="3">
        <f t="shared" si="13"/>
        <v>0</v>
      </c>
      <c r="GF22" s="3">
        <f t="shared" si="13"/>
        <v>0</v>
      </c>
      <c r="GG22" s="3">
        <f t="shared" si="13"/>
        <v>0</v>
      </c>
      <c r="GH22" s="3">
        <f t="shared" si="13"/>
        <v>0</v>
      </c>
      <c r="GI22" s="3">
        <f t="shared" si="13"/>
        <v>0</v>
      </c>
      <c r="GJ22" s="3">
        <f t="shared" si="13"/>
        <v>0</v>
      </c>
      <c r="GK22" s="3">
        <f t="shared" si="13"/>
        <v>0</v>
      </c>
      <c r="GL22" s="3">
        <f t="shared" si="13"/>
        <v>0</v>
      </c>
      <c r="GM22" s="3">
        <f t="shared" si="13"/>
        <v>0</v>
      </c>
      <c r="GN22" s="3">
        <f t="shared" si="13"/>
        <v>0</v>
      </c>
      <c r="GO22" s="3">
        <f t="shared" si="13"/>
        <v>0</v>
      </c>
      <c r="GP22" s="3">
        <f t="shared" si="13"/>
        <v>0</v>
      </c>
      <c r="GQ22" s="3">
        <f t="shared" si="13"/>
        <v>0</v>
      </c>
      <c r="GR22" s="3">
        <f t="shared" si="13"/>
        <v>0</v>
      </c>
      <c r="GS22" s="3">
        <f t="shared" si="13"/>
        <v>0</v>
      </c>
      <c r="GT22" s="3">
        <f t="shared" si="13"/>
        <v>0</v>
      </c>
      <c r="GU22" s="3">
        <f t="shared" si="13"/>
        <v>0</v>
      </c>
      <c r="GV22" s="3">
        <f t="shared" si="13"/>
        <v>0</v>
      </c>
      <c r="GW22" s="3">
        <f t="shared" si="13"/>
        <v>0</v>
      </c>
      <c r="GX22" s="3">
        <f t="shared" si="13"/>
        <v>0</v>
      </c>
    </row>
    <row r="24" spans="1:245" x14ac:dyDescent="0.2">
      <c r="A24" s="1">
        <v>4</v>
      </c>
      <c r="B24" s="1">
        <v>1</v>
      </c>
      <c r="C24" s="1"/>
      <c r="D24" s="1">
        <f>ROW(A535)</f>
        <v>535</v>
      </c>
      <c r="E24" s="1"/>
      <c r="F24" s="1" t="s">
        <v>13</v>
      </c>
      <c r="G24" s="1" t="s">
        <v>14</v>
      </c>
      <c r="H24" s="1" t="s">
        <v>3</v>
      </c>
      <c r="I24" s="1">
        <v>0</v>
      </c>
      <c r="J24" s="1"/>
      <c r="K24" s="1">
        <v>0</v>
      </c>
      <c r="L24" s="1"/>
      <c r="M24" s="1"/>
      <c r="N24" s="1"/>
      <c r="O24" s="1"/>
      <c r="P24" s="1"/>
      <c r="Q24" s="1"/>
      <c r="R24" s="1"/>
      <c r="S24" s="1"/>
      <c r="T24" s="1"/>
      <c r="U24" s="1" t="s">
        <v>3</v>
      </c>
      <c r="V24" s="1">
        <v>0</v>
      </c>
      <c r="W24" s="1"/>
      <c r="X24" s="1"/>
      <c r="Y24" s="1"/>
      <c r="Z24" s="1"/>
      <c r="AA24" s="1"/>
      <c r="AB24" s="1" t="s">
        <v>3</v>
      </c>
      <c r="AC24" s="1" t="s">
        <v>3</v>
      </c>
      <c r="AD24" s="1" t="s">
        <v>3</v>
      </c>
      <c r="AE24" s="1" t="s">
        <v>3</v>
      </c>
      <c r="AF24" s="1" t="s">
        <v>3</v>
      </c>
      <c r="AG24" s="1" t="s">
        <v>3</v>
      </c>
      <c r="AH24" s="1"/>
      <c r="AI24" s="1"/>
      <c r="AJ24" s="1"/>
      <c r="AK24" s="1"/>
      <c r="AL24" s="1"/>
      <c r="AM24" s="1"/>
      <c r="AN24" s="1"/>
      <c r="AO24" s="1"/>
      <c r="AP24" s="1" t="s">
        <v>3</v>
      </c>
      <c r="AQ24" s="1" t="s">
        <v>3</v>
      </c>
      <c r="AR24" s="1" t="s">
        <v>3</v>
      </c>
      <c r="AS24" s="1"/>
      <c r="AT24" s="1"/>
      <c r="AU24" s="1"/>
      <c r="AV24" s="1"/>
      <c r="AW24" s="1"/>
      <c r="AX24" s="1"/>
      <c r="AY24" s="1"/>
      <c r="AZ24" s="1" t="s">
        <v>3</v>
      </c>
      <c r="BA24" s="1"/>
      <c r="BB24" s="1" t="s">
        <v>3</v>
      </c>
      <c r="BC24" s="1" t="s">
        <v>3</v>
      </c>
      <c r="BD24" s="1" t="s">
        <v>3</v>
      </c>
      <c r="BE24" s="1" t="s">
        <v>3</v>
      </c>
      <c r="BF24" s="1" t="s">
        <v>3</v>
      </c>
      <c r="BG24" s="1" t="s">
        <v>3</v>
      </c>
      <c r="BH24" s="1" t="s">
        <v>3</v>
      </c>
      <c r="BI24" s="1" t="s">
        <v>3</v>
      </c>
      <c r="BJ24" s="1" t="s">
        <v>3</v>
      </c>
      <c r="BK24" s="1" t="s">
        <v>3</v>
      </c>
      <c r="BL24" s="1" t="s">
        <v>3</v>
      </c>
      <c r="BM24" s="1" t="s">
        <v>3</v>
      </c>
      <c r="BN24" s="1" t="s">
        <v>3</v>
      </c>
      <c r="BO24" s="1" t="s">
        <v>3</v>
      </c>
      <c r="BP24" s="1" t="s">
        <v>3</v>
      </c>
      <c r="BQ24" s="1"/>
      <c r="BR24" s="1"/>
      <c r="BS24" s="1"/>
      <c r="BT24" s="1"/>
      <c r="BU24" s="1"/>
      <c r="BV24" s="1"/>
      <c r="BW24" s="1"/>
      <c r="BX24" s="1">
        <v>0</v>
      </c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>
        <v>0</v>
      </c>
    </row>
    <row r="26" spans="1:245" x14ac:dyDescent="0.2">
      <c r="A26" s="2">
        <v>52</v>
      </c>
      <c r="B26" s="2">
        <f t="shared" ref="B26:G26" si="14">B535</f>
        <v>1</v>
      </c>
      <c r="C26" s="2">
        <f t="shared" si="14"/>
        <v>4</v>
      </c>
      <c r="D26" s="2">
        <f t="shared" si="14"/>
        <v>24</v>
      </c>
      <c r="E26" s="2">
        <f t="shared" si="14"/>
        <v>0</v>
      </c>
      <c r="F26" s="2" t="str">
        <f t="shared" si="14"/>
        <v>Новый раздел</v>
      </c>
      <c r="G26" s="2" t="str">
        <f t="shared" si="14"/>
        <v>Детский сад ул. Чоботовская д 7</v>
      </c>
      <c r="H26" s="2"/>
      <c r="I26" s="2"/>
      <c r="J26" s="2"/>
      <c r="K26" s="2"/>
      <c r="L26" s="2"/>
      <c r="M26" s="2"/>
      <c r="N26" s="2"/>
      <c r="O26" s="2">
        <f t="shared" ref="O26:AT26" si="15">O535</f>
        <v>2487923.0099999998</v>
      </c>
      <c r="P26" s="2">
        <f t="shared" si="15"/>
        <v>2049809.3</v>
      </c>
      <c r="Q26" s="2">
        <f t="shared" si="15"/>
        <v>197380.22</v>
      </c>
      <c r="R26" s="2">
        <f t="shared" si="15"/>
        <v>103360.22</v>
      </c>
      <c r="S26" s="2">
        <f t="shared" si="15"/>
        <v>240733.49</v>
      </c>
      <c r="T26" s="2">
        <f t="shared" si="15"/>
        <v>0</v>
      </c>
      <c r="U26" s="2">
        <f t="shared" si="15"/>
        <v>1105.6031759999998</v>
      </c>
      <c r="V26" s="2">
        <f t="shared" si="15"/>
        <v>0</v>
      </c>
      <c r="W26" s="2">
        <f t="shared" si="15"/>
        <v>0</v>
      </c>
      <c r="X26" s="2">
        <f t="shared" si="15"/>
        <v>168513.47</v>
      </c>
      <c r="Y26" s="2">
        <f t="shared" si="15"/>
        <v>24073.38</v>
      </c>
      <c r="Z26" s="2">
        <f t="shared" si="15"/>
        <v>0</v>
      </c>
      <c r="AA26" s="2">
        <f t="shared" si="15"/>
        <v>0</v>
      </c>
      <c r="AB26" s="2">
        <f t="shared" si="15"/>
        <v>0</v>
      </c>
      <c r="AC26" s="2">
        <f t="shared" si="15"/>
        <v>0</v>
      </c>
      <c r="AD26" s="2">
        <f t="shared" si="15"/>
        <v>0</v>
      </c>
      <c r="AE26" s="2">
        <f t="shared" si="15"/>
        <v>0</v>
      </c>
      <c r="AF26" s="2">
        <f t="shared" si="15"/>
        <v>0</v>
      </c>
      <c r="AG26" s="2">
        <f t="shared" si="15"/>
        <v>0</v>
      </c>
      <c r="AH26" s="2">
        <f t="shared" si="15"/>
        <v>0</v>
      </c>
      <c r="AI26" s="2">
        <f t="shared" si="15"/>
        <v>0</v>
      </c>
      <c r="AJ26" s="2">
        <f t="shared" si="15"/>
        <v>0</v>
      </c>
      <c r="AK26" s="2">
        <f t="shared" si="15"/>
        <v>0</v>
      </c>
      <c r="AL26" s="2">
        <f t="shared" si="15"/>
        <v>0</v>
      </c>
      <c r="AM26" s="2">
        <f t="shared" si="15"/>
        <v>0</v>
      </c>
      <c r="AN26" s="2">
        <f t="shared" si="15"/>
        <v>0</v>
      </c>
      <c r="AO26" s="2">
        <f t="shared" si="15"/>
        <v>0</v>
      </c>
      <c r="AP26" s="2">
        <f t="shared" si="15"/>
        <v>0</v>
      </c>
      <c r="AQ26" s="2">
        <f t="shared" si="15"/>
        <v>0</v>
      </c>
      <c r="AR26" s="2">
        <f t="shared" si="15"/>
        <v>2726620.19</v>
      </c>
      <c r="AS26" s="2">
        <f t="shared" si="15"/>
        <v>0</v>
      </c>
      <c r="AT26" s="2">
        <f t="shared" si="15"/>
        <v>0</v>
      </c>
      <c r="AU26" s="2">
        <f t="shared" ref="AU26:BZ26" si="16">AU535</f>
        <v>2726620.19</v>
      </c>
      <c r="AV26" s="2">
        <f t="shared" si="16"/>
        <v>2049809.3</v>
      </c>
      <c r="AW26" s="2">
        <f t="shared" si="16"/>
        <v>2049809.3</v>
      </c>
      <c r="AX26" s="2">
        <f t="shared" si="16"/>
        <v>0</v>
      </c>
      <c r="AY26" s="2">
        <f t="shared" si="16"/>
        <v>2049809.3</v>
      </c>
      <c r="AZ26" s="2">
        <f t="shared" si="16"/>
        <v>0</v>
      </c>
      <c r="BA26" s="2">
        <f t="shared" si="16"/>
        <v>0</v>
      </c>
      <c r="BB26" s="2">
        <f t="shared" si="16"/>
        <v>0</v>
      </c>
      <c r="BC26" s="2">
        <f t="shared" si="16"/>
        <v>0</v>
      </c>
      <c r="BD26" s="2">
        <f t="shared" si="16"/>
        <v>0</v>
      </c>
      <c r="BE26" s="2">
        <f t="shared" si="16"/>
        <v>0</v>
      </c>
      <c r="BF26" s="2">
        <f t="shared" si="16"/>
        <v>0</v>
      </c>
      <c r="BG26" s="2">
        <f t="shared" si="16"/>
        <v>0</v>
      </c>
      <c r="BH26" s="2">
        <f t="shared" si="16"/>
        <v>0</v>
      </c>
      <c r="BI26" s="2">
        <f t="shared" si="16"/>
        <v>0</v>
      </c>
      <c r="BJ26" s="2">
        <f t="shared" si="16"/>
        <v>0</v>
      </c>
      <c r="BK26" s="2">
        <f t="shared" si="16"/>
        <v>0</v>
      </c>
      <c r="BL26" s="2">
        <f t="shared" si="16"/>
        <v>0</v>
      </c>
      <c r="BM26" s="2">
        <f t="shared" si="16"/>
        <v>0</v>
      </c>
      <c r="BN26" s="2">
        <f t="shared" si="16"/>
        <v>0</v>
      </c>
      <c r="BO26" s="2">
        <f t="shared" si="16"/>
        <v>0</v>
      </c>
      <c r="BP26" s="2">
        <f t="shared" si="16"/>
        <v>0</v>
      </c>
      <c r="BQ26" s="2">
        <f t="shared" si="16"/>
        <v>0</v>
      </c>
      <c r="BR26" s="2">
        <f t="shared" si="16"/>
        <v>0</v>
      </c>
      <c r="BS26" s="2">
        <f t="shared" si="16"/>
        <v>0</v>
      </c>
      <c r="BT26" s="2">
        <f t="shared" si="16"/>
        <v>0</v>
      </c>
      <c r="BU26" s="2">
        <f t="shared" si="16"/>
        <v>0</v>
      </c>
      <c r="BV26" s="2">
        <f t="shared" si="16"/>
        <v>0</v>
      </c>
      <c r="BW26" s="2">
        <f t="shared" si="16"/>
        <v>0</v>
      </c>
      <c r="BX26" s="2">
        <f t="shared" si="16"/>
        <v>0</v>
      </c>
      <c r="BY26" s="2">
        <f t="shared" si="16"/>
        <v>0</v>
      </c>
      <c r="BZ26" s="2">
        <f t="shared" si="16"/>
        <v>0</v>
      </c>
      <c r="CA26" s="2">
        <f t="shared" ref="CA26:DF26" si="17">CA535</f>
        <v>0</v>
      </c>
      <c r="CB26" s="2">
        <f t="shared" si="17"/>
        <v>0</v>
      </c>
      <c r="CC26" s="2">
        <f t="shared" si="17"/>
        <v>0</v>
      </c>
      <c r="CD26" s="2">
        <f t="shared" si="17"/>
        <v>0</v>
      </c>
      <c r="CE26" s="2">
        <f t="shared" si="17"/>
        <v>0</v>
      </c>
      <c r="CF26" s="2">
        <f t="shared" si="17"/>
        <v>0</v>
      </c>
      <c r="CG26" s="2">
        <f t="shared" si="17"/>
        <v>0</v>
      </c>
      <c r="CH26" s="2">
        <f t="shared" si="17"/>
        <v>0</v>
      </c>
      <c r="CI26" s="2">
        <f t="shared" si="17"/>
        <v>0</v>
      </c>
      <c r="CJ26" s="2">
        <f t="shared" si="17"/>
        <v>0</v>
      </c>
      <c r="CK26" s="2">
        <f t="shared" si="17"/>
        <v>0</v>
      </c>
      <c r="CL26" s="2">
        <f t="shared" si="17"/>
        <v>0</v>
      </c>
      <c r="CM26" s="2">
        <f t="shared" si="17"/>
        <v>0</v>
      </c>
      <c r="CN26" s="2">
        <f t="shared" si="17"/>
        <v>0</v>
      </c>
      <c r="CO26" s="2">
        <f t="shared" si="17"/>
        <v>0</v>
      </c>
      <c r="CP26" s="2">
        <f t="shared" si="17"/>
        <v>0</v>
      </c>
      <c r="CQ26" s="2">
        <f t="shared" si="17"/>
        <v>0</v>
      </c>
      <c r="CR26" s="2">
        <f t="shared" si="17"/>
        <v>0</v>
      </c>
      <c r="CS26" s="2">
        <f t="shared" si="17"/>
        <v>0</v>
      </c>
      <c r="CT26" s="2">
        <f t="shared" si="17"/>
        <v>0</v>
      </c>
      <c r="CU26" s="2">
        <f t="shared" si="17"/>
        <v>0</v>
      </c>
      <c r="CV26" s="2">
        <f t="shared" si="17"/>
        <v>0</v>
      </c>
      <c r="CW26" s="2">
        <f t="shared" si="17"/>
        <v>0</v>
      </c>
      <c r="CX26" s="2">
        <f t="shared" si="17"/>
        <v>0</v>
      </c>
      <c r="CY26" s="2">
        <f t="shared" si="17"/>
        <v>0</v>
      </c>
      <c r="CZ26" s="2">
        <f t="shared" si="17"/>
        <v>0</v>
      </c>
      <c r="DA26" s="2">
        <f t="shared" si="17"/>
        <v>0</v>
      </c>
      <c r="DB26" s="2">
        <f t="shared" si="17"/>
        <v>0</v>
      </c>
      <c r="DC26" s="2">
        <f t="shared" si="17"/>
        <v>0</v>
      </c>
      <c r="DD26" s="2">
        <f t="shared" si="17"/>
        <v>0</v>
      </c>
      <c r="DE26" s="2">
        <f t="shared" si="17"/>
        <v>0</v>
      </c>
      <c r="DF26" s="2">
        <f t="shared" si="17"/>
        <v>0</v>
      </c>
      <c r="DG26" s="3">
        <f t="shared" ref="DG26:EL26" si="18">DG535</f>
        <v>0</v>
      </c>
      <c r="DH26" s="3">
        <f t="shared" si="18"/>
        <v>0</v>
      </c>
      <c r="DI26" s="3">
        <f t="shared" si="18"/>
        <v>0</v>
      </c>
      <c r="DJ26" s="3">
        <f t="shared" si="18"/>
        <v>0</v>
      </c>
      <c r="DK26" s="3">
        <f t="shared" si="18"/>
        <v>0</v>
      </c>
      <c r="DL26" s="3">
        <f t="shared" si="18"/>
        <v>0</v>
      </c>
      <c r="DM26" s="3">
        <f t="shared" si="18"/>
        <v>0</v>
      </c>
      <c r="DN26" s="3">
        <f t="shared" si="18"/>
        <v>0</v>
      </c>
      <c r="DO26" s="3">
        <f t="shared" si="18"/>
        <v>0</v>
      </c>
      <c r="DP26" s="3">
        <f t="shared" si="18"/>
        <v>0</v>
      </c>
      <c r="DQ26" s="3">
        <f t="shared" si="18"/>
        <v>0</v>
      </c>
      <c r="DR26" s="3">
        <f t="shared" si="18"/>
        <v>0</v>
      </c>
      <c r="DS26" s="3">
        <f t="shared" si="18"/>
        <v>0</v>
      </c>
      <c r="DT26" s="3">
        <f t="shared" si="18"/>
        <v>0</v>
      </c>
      <c r="DU26" s="3">
        <f t="shared" si="18"/>
        <v>0</v>
      </c>
      <c r="DV26" s="3">
        <f t="shared" si="18"/>
        <v>0</v>
      </c>
      <c r="DW26" s="3">
        <f t="shared" si="18"/>
        <v>0</v>
      </c>
      <c r="DX26" s="3">
        <f t="shared" si="18"/>
        <v>0</v>
      </c>
      <c r="DY26" s="3">
        <f t="shared" si="18"/>
        <v>0</v>
      </c>
      <c r="DZ26" s="3">
        <f t="shared" si="18"/>
        <v>0</v>
      </c>
      <c r="EA26" s="3">
        <f t="shared" si="18"/>
        <v>0</v>
      </c>
      <c r="EB26" s="3">
        <f t="shared" si="18"/>
        <v>0</v>
      </c>
      <c r="EC26" s="3">
        <f t="shared" si="18"/>
        <v>0</v>
      </c>
      <c r="ED26" s="3">
        <f t="shared" si="18"/>
        <v>0</v>
      </c>
      <c r="EE26" s="3">
        <f t="shared" si="18"/>
        <v>0</v>
      </c>
      <c r="EF26" s="3">
        <f t="shared" si="18"/>
        <v>0</v>
      </c>
      <c r="EG26" s="3">
        <f t="shared" si="18"/>
        <v>0</v>
      </c>
      <c r="EH26" s="3">
        <f t="shared" si="18"/>
        <v>0</v>
      </c>
      <c r="EI26" s="3">
        <f t="shared" si="18"/>
        <v>0</v>
      </c>
      <c r="EJ26" s="3">
        <f t="shared" si="18"/>
        <v>0</v>
      </c>
      <c r="EK26" s="3">
        <f t="shared" si="18"/>
        <v>0</v>
      </c>
      <c r="EL26" s="3">
        <f t="shared" si="18"/>
        <v>0</v>
      </c>
      <c r="EM26" s="3">
        <f t="shared" ref="EM26:FR26" si="19">EM535</f>
        <v>0</v>
      </c>
      <c r="EN26" s="3">
        <f t="shared" si="19"/>
        <v>0</v>
      </c>
      <c r="EO26" s="3">
        <f t="shared" si="19"/>
        <v>0</v>
      </c>
      <c r="EP26" s="3">
        <f t="shared" si="19"/>
        <v>0</v>
      </c>
      <c r="EQ26" s="3">
        <f t="shared" si="19"/>
        <v>0</v>
      </c>
      <c r="ER26" s="3">
        <f t="shared" si="19"/>
        <v>0</v>
      </c>
      <c r="ES26" s="3">
        <f t="shared" si="19"/>
        <v>0</v>
      </c>
      <c r="ET26" s="3">
        <f t="shared" si="19"/>
        <v>0</v>
      </c>
      <c r="EU26" s="3">
        <f t="shared" si="19"/>
        <v>0</v>
      </c>
      <c r="EV26" s="3">
        <f t="shared" si="19"/>
        <v>0</v>
      </c>
      <c r="EW26" s="3">
        <f t="shared" si="19"/>
        <v>0</v>
      </c>
      <c r="EX26" s="3">
        <f t="shared" si="19"/>
        <v>0</v>
      </c>
      <c r="EY26" s="3">
        <f t="shared" si="19"/>
        <v>0</v>
      </c>
      <c r="EZ26" s="3">
        <f t="shared" si="19"/>
        <v>0</v>
      </c>
      <c r="FA26" s="3">
        <f t="shared" si="19"/>
        <v>0</v>
      </c>
      <c r="FB26" s="3">
        <f t="shared" si="19"/>
        <v>0</v>
      </c>
      <c r="FC26" s="3">
        <f t="shared" si="19"/>
        <v>0</v>
      </c>
      <c r="FD26" s="3">
        <f t="shared" si="19"/>
        <v>0</v>
      </c>
      <c r="FE26" s="3">
        <f t="shared" si="19"/>
        <v>0</v>
      </c>
      <c r="FF26" s="3">
        <f t="shared" si="19"/>
        <v>0</v>
      </c>
      <c r="FG26" s="3">
        <f t="shared" si="19"/>
        <v>0</v>
      </c>
      <c r="FH26" s="3">
        <f t="shared" si="19"/>
        <v>0</v>
      </c>
      <c r="FI26" s="3">
        <f t="shared" si="19"/>
        <v>0</v>
      </c>
      <c r="FJ26" s="3">
        <f t="shared" si="19"/>
        <v>0</v>
      </c>
      <c r="FK26" s="3">
        <f t="shared" si="19"/>
        <v>0</v>
      </c>
      <c r="FL26" s="3">
        <f t="shared" si="19"/>
        <v>0</v>
      </c>
      <c r="FM26" s="3">
        <f t="shared" si="19"/>
        <v>0</v>
      </c>
      <c r="FN26" s="3">
        <f t="shared" si="19"/>
        <v>0</v>
      </c>
      <c r="FO26" s="3">
        <f t="shared" si="19"/>
        <v>0</v>
      </c>
      <c r="FP26" s="3">
        <f t="shared" si="19"/>
        <v>0</v>
      </c>
      <c r="FQ26" s="3">
        <f t="shared" si="19"/>
        <v>0</v>
      </c>
      <c r="FR26" s="3">
        <f t="shared" si="19"/>
        <v>0</v>
      </c>
      <c r="FS26" s="3">
        <f t="shared" ref="FS26:GX26" si="20">FS535</f>
        <v>0</v>
      </c>
      <c r="FT26" s="3">
        <f t="shared" si="20"/>
        <v>0</v>
      </c>
      <c r="FU26" s="3">
        <f t="shared" si="20"/>
        <v>0</v>
      </c>
      <c r="FV26" s="3">
        <f t="shared" si="20"/>
        <v>0</v>
      </c>
      <c r="FW26" s="3">
        <f t="shared" si="20"/>
        <v>0</v>
      </c>
      <c r="FX26" s="3">
        <f t="shared" si="20"/>
        <v>0</v>
      </c>
      <c r="FY26" s="3">
        <f t="shared" si="20"/>
        <v>0</v>
      </c>
      <c r="FZ26" s="3">
        <f t="shared" si="20"/>
        <v>0</v>
      </c>
      <c r="GA26" s="3">
        <f t="shared" si="20"/>
        <v>0</v>
      </c>
      <c r="GB26" s="3">
        <f t="shared" si="20"/>
        <v>0</v>
      </c>
      <c r="GC26" s="3">
        <f t="shared" si="20"/>
        <v>0</v>
      </c>
      <c r="GD26" s="3">
        <f t="shared" si="20"/>
        <v>0</v>
      </c>
      <c r="GE26" s="3">
        <f t="shared" si="20"/>
        <v>0</v>
      </c>
      <c r="GF26" s="3">
        <f t="shared" si="20"/>
        <v>0</v>
      </c>
      <c r="GG26" s="3">
        <f t="shared" si="20"/>
        <v>0</v>
      </c>
      <c r="GH26" s="3">
        <f t="shared" si="20"/>
        <v>0</v>
      </c>
      <c r="GI26" s="3">
        <f t="shared" si="20"/>
        <v>0</v>
      </c>
      <c r="GJ26" s="3">
        <f t="shared" si="20"/>
        <v>0</v>
      </c>
      <c r="GK26" s="3">
        <f t="shared" si="20"/>
        <v>0</v>
      </c>
      <c r="GL26" s="3">
        <f t="shared" si="20"/>
        <v>0</v>
      </c>
      <c r="GM26" s="3">
        <f t="shared" si="20"/>
        <v>0</v>
      </c>
      <c r="GN26" s="3">
        <f t="shared" si="20"/>
        <v>0</v>
      </c>
      <c r="GO26" s="3">
        <f t="shared" si="20"/>
        <v>0</v>
      </c>
      <c r="GP26" s="3">
        <f t="shared" si="20"/>
        <v>0</v>
      </c>
      <c r="GQ26" s="3">
        <f t="shared" si="20"/>
        <v>0</v>
      </c>
      <c r="GR26" s="3">
        <f t="shared" si="20"/>
        <v>0</v>
      </c>
      <c r="GS26" s="3">
        <f t="shared" si="20"/>
        <v>0</v>
      </c>
      <c r="GT26" s="3">
        <f t="shared" si="20"/>
        <v>0</v>
      </c>
      <c r="GU26" s="3">
        <f t="shared" si="20"/>
        <v>0</v>
      </c>
      <c r="GV26" s="3">
        <f t="shared" si="20"/>
        <v>0</v>
      </c>
      <c r="GW26" s="3">
        <f t="shared" si="20"/>
        <v>0</v>
      </c>
      <c r="GX26" s="3">
        <f t="shared" si="20"/>
        <v>0</v>
      </c>
    </row>
    <row r="28" spans="1:245" x14ac:dyDescent="0.2">
      <c r="A28" s="1">
        <v>5</v>
      </c>
      <c r="B28" s="1">
        <v>1</v>
      </c>
      <c r="C28" s="1"/>
      <c r="D28" s="1">
        <f>ROW(A56)</f>
        <v>56</v>
      </c>
      <c r="E28" s="1"/>
      <c r="F28" s="1" t="s">
        <v>15</v>
      </c>
      <c r="G28" s="1" t="s">
        <v>16</v>
      </c>
      <c r="H28" s="1" t="s">
        <v>3</v>
      </c>
      <c r="I28" s="1">
        <v>0</v>
      </c>
      <c r="J28" s="1"/>
      <c r="K28" s="1">
        <v>0</v>
      </c>
      <c r="L28" s="1"/>
      <c r="M28" s="1"/>
      <c r="N28" s="1"/>
      <c r="O28" s="1"/>
      <c r="P28" s="1"/>
      <c r="Q28" s="1"/>
      <c r="R28" s="1"/>
      <c r="S28" s="1"/>
      <c r="T28" s="1"/>
      <c r="U28" s="1" t="s">
        <v>3</v>
      </c>
      <c r="V28" s="1">
        <v>0</v>
      </c>
      <c r="W28" s="1"/>
      <c r="X28" s="1"/>
      <c r="Y28" s="1"/>
      <c r="Z28" s="1"/>
      <c r="AA28" s="1"/>
      <c r="AB28" s="1" t="s">
        <v>3</v>
      </c>
      <c r="AC28" s="1" t="s">
        <v>3</v>
      </c>
      <c r="AD28" s="1" t="s">
        <v>3</v>
      </c>
      <c r="AE28" s="1" t="s">
        <v>3</v>
      </c>
      <c r="AF28" s="1" t="s">
        <v>3</v>
      </c>
      <c r="AG28" s="1" t="s">
        <v>3</v>
      </c>
      <c r="AH28" s="1"/>
      <c r="AI28" s="1"/>
      <c r="AJ28" s="1"/>
      <c r="AK28" s="1"/>
      <c r="AL28" s="1"/>
      <c r="AM28" s="1"/>
      <c r="AN28" s="1"/>
      <c r="AO28" s="1"/>
      <c r="AP28" s="1" t="s">
        <v>3</v>
      </c>
      <c r="AQ28" s="1" t="s">
        <v>3</v>
      </c>
      <c r="AR28" s="1" t="s">
        <v>3</v>
      </c>
      <c r="AS28" s="1"/>
      <c r="AT28" s="1"/>
      <c r="AU28" s="1"/>
      <c r="AV28" s="1"/>
      <c r="AW28" s="1"/>
      <c r="AX28" s="1"/>
      <c r="AY28" s="1"/>
      <c r="AZ28" s="1" t="s">
        <v>3</v>
      </c>
      <c r="BA28" s="1"/>
      <c r="BB28" s="1" t="s">
        <v>3</v>
      </c>
      <c r="BC28" s="1" t="s">
        <v>3</v>
      </c>
      <c r="BD28" s="1" t="s">
        <v>3</v>
      </c>
      <c r="BE28" s="1" t="s">
        <v>3</v>
      </c>
      <c r="BF28" s="1" t="s">
        <v>3</v>
      </c>
      <c r="BG28" s="1" t="s">
        <v>3</v>
      </c>
      <c r="BH28" s="1" t="s">
        <v>3</v>
      </c>
      <c r="BI28" s="1" t="s">
        <v>3</v>
      </c>
      <c r="BJ28" s="1" t="s">
        <v>3</v>
      </c>
      <c r="BK28" s="1" t="s">
        <v>3</v>
      </c>
      <c r="BL28" s="1" t="s">
        <v>3</v>
      </c>
      <c r="BM28" s="1" t="s">
        <v>3</v>
      </c>
      <c r="BN28" s="1" t="s">
        <v>3</v>
      </c>
      <c r="BO28" s="1" t="s">
        <v>3</v>
      </c>
      <c r="BP28" s="1" t="s">
        <v>3</v>
      </c>
      <c r="BQ28" s="1"/>
      <c r="BR28" s="1"/>
      <c r="BS28" s="1"/>
      <c r="BT28" s="1"/>
      <c r="BU28" s="1"/>
      <c r="BV28" s="1"/>
      <c r="BW28" s="1"/>
      <c r="BX28" s="1">
        <v>0</v>
      </c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>
        <v>0</v>
      </c>
    </row>
    <row r="30" spans="1:245" x14ac:dyDescent="0.2">
      <c r="A30" s="2">
        <v>52</v>
      </c>
      <c r="B30" s="2">
        <f t="shared" ref="B30:G30" si="21">B56</f>
        <v>1</v>
      </c>
      <c r="C30" s="2">
        <f t="shared" si="21"/>
        <v>5</v>
      </c>
      <c r="D30" s="2">
        <f t="shared" si="21"/>
        <v>28</v>
      </c>
      <c r="E30" s="2">
        <f t="shared" si="21"/>
        <v>0</v>
      </c>
      <c r="F30" s="2" t="str">
        <f t="shared" si="21"/>
        <v>Новый подраздел</v>
      </c>
      <c r="G30" s="2" t="str">
        <f t="shared" si="21"/>
        <v>группа № 6</v>
      </c>
      <c r="H30" s="2"/>
      <c r="I30" s="2"/>
      <c r="J30" s="2"/>
      <c r="K30" s="2"/>
      <c r="L30" s="2"/>
      <c r="M30" s="2"/>
      <c r="N30" s="2"/>
      <c r="O30" s="2">
        <f t="shared" ref="O30:AT30" si="22">O56</f>
        <v>459179.87</v>
      </c>
      <c r="P30" s="2">
        <f t="shared" si="22"/>
        <v>394091.81</v>
      </c>
      <c r="Q30" s="2">
        <f t="shared" si="22"/>
        <v>11217.19</v>
      </c>
      <c r="R30" s="2">
        <f t="shared" si="22"/>
        <v>5916.08</v>
      </c>
      <c r="S30" s="2">
        <f t="shared" si="22"/>
        <v>53870.87</v>
      </c>
      <c r="T30" s="2">
        <f t="shared" si="22"/>
        <v>0</v>
      </c>
      <c r="U30" s="2">
        <f t="shared" si="22"/>
        <v>256.83423999999997</v>
      </c>
      <c r="V30" s="2">
        <f t="shared" si="22"/>
        <v>0</v>
      </c>
      <c r="W30" s="2">
        <f t="shared" si="22"/>
        <v>0</v>
      </c>
      <c r="X30" s="2">
        <f t="shared" si="22"/>
        <v>37709.61</v>
      </c>
      <c r="Y30" s="2">
        <f t="shared" si="22"/>
        <v>5387.09</v>
      </c>
      <c r="Z30" s="2">
        <f t="shared" si="22"/>
        <v>0</v>
      </c>
      <c r="AA30" s="2">
        <f t="shared" si="22"/>
        <v>0</v>
      </c>
      <c r="AB30" s="2">
        <f t="shared" si="22"/>
        <v>459179.87</v>
      </c>
      <c r="AC30" s="2">
        <f t="shared" si="22"/>
        <v>394091.81</v>
      </c>
      <c r="AD30" s="2">
        <f t="shared" si="22"/>
        <v>11217.19</v>
      </c>
      <c r="AE30" s="2">
        <f t="shared" si="22"/>
        <v>5916.08</v>
      </c>
      <c r="AF30" s="2">
        <f t="shared" si="22"/>
        <v>53870.87</v>
      </c>
      <c r="AG30" s="2">
        <f t="shared" si="22"/>
        <v>0</v>
      </c>
      <c r="AH30" s="2">
        <f t="shared" si="22"/>
        <v>256.83423999999997</v>
      </c>
      <c r="AI30" s="2">
        <f t="shared" si="22"/>
        <v>0</v>
      </c>
      <c r="AJ30" s="2">
        <f t="shared" si="22"/>
        <v>0</v>
      </c>
      <c r="AK30" s="2">
        <f t="shared" si="22"/>
        <v>37709.61</v>
      </c>
      <c r="AL30" s="2">
        <f t="shared" si="22"/>
        <v>5387.09</v>
      </c>
      <c r="AM30" s="2">
        <f t="shared" si="22"/>
        <v>0</v>
      </c>
      <c r="AN30" s="2">
        <f t="shared" si="22"/>
        <v>0</v>
      </c>
      <c r="AO30" s="2">
        <f t="shared" si="22"/>
        <v>0</v>
      </c>
      <c r="AP30" s="2">
        <f t="shared" si="22"/>
        <v>0</v>
      </c>
      <c r="AQ30" s="2">
        <f t="shared" si="22"/>
        <v>0</v>
      </c>
      <c r="AR30" s="2">
        <f t="shared" si="22"/>
        <v>508665.94</v>
      </c>
      <c r="AS30" s="2">
        <f t="shared" si="22"/>
        <v>0</v>
      </c>
      <c r="AT30" s="2">
        <f t="shared" si="22"/>
        <v>0</v>
      </c>
      <c r="AU30" s="2">
        <f t="shared" ref="AU30:BZ30" si="23">AU56</f>
        <v>508665.94</v>
      </c>
      <c r="AV30" s="2">
        <f t="shared" si="23"/>
        <v>394091.81</v>
      </c>
      <c r="AW30" s="2">
        <f t="shared" si="23"/>
        <v>394091.81</v>
      </c>
      <c r="AX30" s="2">
        <f t="shared" si="23"/>
        <v>0</v>
      </c>
      <c r="AY30" s="2">
        <f t="shared" si="23"/>
        <v>394091.81</v>
      </c>
      <c r="AZ30" s="2">
        <f t="shared" si="23"/>
        <v>0</v>
      </c>
      <c r="BA30" s="2">
        <f t="shared" si="23"/>
        <v>0</v>
      </c>
      <c r="BB30" s="2">
        <f t="shared" si="23"/>
        <v>0</v>
      </c>
      <c r="BC30" s="2">
        <f t="shared" si="23"/>
        <v>0</v>
      </c>
      <c r="BD30" s="2">
        <f t="shared" si="23"/>
        <v>0</v>
      </c>
      <c r="BE30" s="2">
        <f t="shared" si="23"/>
        <v>0</v>
      </c>
      <c r="BF30" s="2">
        <f t="shared" si="23"/>
        <v>0</v>
      </c>
      <c r="BG30" s="2">
        <f t="shared" si="23"/>
        <v>0</v>
      </c>
      <c r="BH30" s="2">
        <f t="shared" si="23"/>
        <v>0</v>
      </c>
      <c r="BI30" s="2">
        <f t="shared" si="23"/>
        <v>0</v>
      </c>
      <c r="BJ30" s="2">
        <f t="shared" si="23"/>
        <v>0</v>
      </c>
      <c r="BK30" s="2">
        <f t="shared" si="23"/>
        <v>0</v>
      </c>
      <c r="BL30" s="2">
        <f t="shared" si="23"/>
        <v>0</v>
      </c>
      <c r="BM30" s="2">
        <f t="shared" si="23"/>
        <v>0</v>
      </c>
      <c r="BN30" s="2">
        <f t="shared" si="23"/>
        <v>0</v>
      </c>
      <c r="BO30" s="2">
        <f t="shared" si="23"/>
        <v>0</v>
      </c>
      <c r="BP30" s="2">
        <f t="shared" si="23"/>
        <v>0</v>
      </c>
      <c r="BQ30" s="2">
        <f t="shared" si="23"/>
        <v>0</v>
      </c>
      <c r="BR30" s="2">
        <f t="shared" si="23"/>
        <v>0</v>
      </c>
      <c r="BS30" s="2">
        <f t="shared" si="23"/>
        <v>0</v>
      </c>
      <c r="BT30" s="2">
        <f t="shared" si="23"/>
        <v>0</v>
      </c>
      <c r="BU30" s="2">
        <f t="shared" si="23"/>
        <v>0</v>
      </c>
      <c r="BV30" s="2">
        <f t="shared" si="23"/>
        <v>0</v>
      </c>
      <c r="BW30" s="2">
        <f t="shared" si="23"/>
        <v>0</v>
      </c>
      <c r="BX30" s="2">
        <f t="shared" si="23"/>
        <v>0</v>
      </c>
      <c r="BY30" s="2">
        <f t="shared" si="23"/>
        <v>0</v>
      </c>
      <c r="BZ30" s="2">
        <f t="shared" si="23"/>
        <v>0</v>
      </c>
      <c r="CA30" s="2">
        <f t="shared" ref="CA30:DF30" si="24">CA56</f>
        <v>508665.94</v>
      </c>
      <c r="CB30" s="2">
        <f t="shared" si="24"/>
        <v>0</v>
      </c>
      <c r="CC30" s="2">
        <f t="shared" si="24"/>
        <v>0</v>
      </c>
      <c r="CD30" s="2">
        <f t="shared" si="24"/>
        <v>508665.94</v>
      </c>
      <c r="CE30" s="2">
        <f t="shared" si="24"/>
        <v>394091.81</v>
      </c>
      <c r="CF30" s="2">
        <f t="shared" si="24"/>
        <v>394091.81</v>
      </c>
      <c r="CG30" s="2">
        <f t="shared" si="24"/>
        <v>0</v>
      </c>
      <c r="CH30" s="2">
        <f t="shared" si="24"/>
        <v>394091.81</v>
      </c>
      <c r="CI30" s="2">
        <f t="shared" si="24"/>
        <v>0</v>
      </c>
      <c r="CJ30" s="2">
        <f t="shared" si="24"/>
        <v>0</v>
      </c>
      <c r="CK30" s="2">
        <f t="shared" si="24"/>
        <v>0</v>
      </c>
      <c r="CL30" s="2">
        <f t="shared" si="24"/>
        <v>0</v>
      </c>
      <c r="CM30" s="2">
        <f t="shared" si="24"/>
        <v>0</v>
      </c>
      <c r="CN30" s="2">
        <f t="shared" si="24"/>
        <v>0</v>
      </c>
      <c r="CO30" s="2">
        <f t="shared" si="24"/>
        <v>0</v>
      </c>
      <c r="CP30" s="2">
        <f t="shared" si="24"/>
        <v>0</v>
      </c>
      <c r="CQ30" s="2">
        <f t="shared" si="24"/>
        <v>0</v>
      </c>
      <c r="CR30" s="2">
        <f t="shared" si="24"/>
        <v>0</v>
      </c>
      <c r="CS30" s="2">
        <f t="shared" si="24"/>
        <v>0</v>
      </c>
      <c r="CT30" s="2">
        <f t="shared" si="24"/>
        <v>0</v>
      </c>
      <c r="CU30" s="2">
        <f t="shared" si="24"/>
        <v>0</v>
      </c>
      <c r="CV30" s="2">
        <f t="shared" si="24"/>
        <v>0</v>
      </c>
      <c r="CW30" s="2">
        <f t="shared" si="24"/>
        <v>0</v>
      </c>
      <c r="CX30" s="2">
        <f t="shared" si="24"/>
        <v>0</v>
      </c>
      <c r="CY30" s="2">
        <f t="shared" si="24"/>
        <v>0</v>
      </c>
      <c r="CZ30" s="2">
        <f t="shared" si="24"/>
        <v>0</v>
      </c>
      <c r="DA30" s="2">
        <f t="shared" si="24"/>
        <v>0</v>
      </c>
      <c r="DB30" s="2">
        <f t="shared" si="24"/>
        <v>0</v>
      </c>
      <c r="DC30" s="2">
        <f t="shared" si="24"/>
        <v>0</v>
      </c>
      <c r="DD30" s="2">
        <f t="shared" si="24"/>
        <v>0</v>
      </c>
      <c r="DE30" s="2">
        <f t="shared" si="24"/>
        <v>0</v>
      </c>
      <c r="DF30" s="2">
        <f t="shared" si="24"/>
        <v>0</v>
      </c>
      <c r="DG30" s="3">
        <f t="shared" ref="DG30:EL30" si="25">DG56</f>
        <v>0</v>
      </c>
      <c r="DH30" s="3">
        <f t="shared" si="25"/>
        <v>0</v>
      </c>
      <c r="DI30" s="3">
        <f t="shared" si="25"/>
        <v>0</v>
      </c>
      <c r="DJ30" s="3">
        <f t="shared" si="25"/>
        <v>0</v>
      </c>
      <c r="DK30" s="3">
        <f t="shared" si="25"/>
        <v>0</v>
      </c>
      <c r="DL30" s="3">
        <f t="shared" si="25"/>
        <v>0</v>
      </c>
      <c r="DM30" s="3">
        <f t="shared" si="25"/>
        <v>0</v>
      </c>
      <c r="DN30" s="3">
        <f t="shared" si="25"/>
        <v>0</v>
      </c>
      <c r="DO30" s="3">
        <f t="shared" si="25"/>
        <v>0</v>
      </c>
      <c r="DP30" s="3">
        <f t="shared" si="25"/>
        <v>0</v>
      </c>
      <c r="DQ30" s="3">
        <f t="shared" si="25"/>
        <v>0</v>
      </c>
      <c r="DR30" s="3">
        <f t="shared" si="25"/>
        <v>0</v>
      </c>
      <c r="DS30" s="3">
        <f t="shared" si="25"/>
        <v>0</v>
      </c>
      <c r="DT30" s="3">
        <f t="shared" si="25"/>
        <v>0</v>
      </c>
      <c r="DU30" s="3">
        <f t="shared" si="25"/>
        <v>0</v>
      </c>
      <c r="DV30" s="3">
        <f t="shared" si="25"/>
        <v>0</v>
      </c>
      <c r="DW30" s="3">
        <f t="shared" si="25"/>
        <v>0</v>
      </c>
      <c r="DX30" s="3">
        <f t="shared" si="25"/>
        <v>0</v>
      </c>
      <c r="DY30" s="3">
        <f t="shared" si="25"/>
        <v>0</v>
      </c>
      <c r="DZ30" s="3">
        <f t="shared" si="25"/>
        <v>0</v>
      </c>
      <c r="EA30" s="3">
        <f t="shared" si="25"/>
        <v>0</v>
      </c>
      <c r="EB30" s="3">
        <f t="shared" si="25"/>
        <v>0</v>
      </c>
      <c r="EC30" s="3">
        <f t="shared" si="25"/>
        <v>0</v>
      </c>
      <c r="ED30" s="3">
        <f t="shared" si="25"/>
        <v>0</v>
      </c>
      <c r="EE30" s="3">
        <f t="shared" si="25"/>
        <v>0</v>
      </c>
      <c r="EF30" s="3">
        <f t="shared" si="25"/>
        <v>0</v>
      </c>
      <c r="EG30" s="3">
        <f t="shared" si="25"/>
        <v>0</v>
      </c>
      <c r="EH30" s="3">
        <f t="shared" si="25"/>
        <v>0</v>
      </c>
      <c r="EI30" s="3">
        <f t="shared" si="25"/>
        <v>0</v>
      </c>
      <c r="EJ30" s="3">
        <f t="shared" si="25"/>
        <v>0</v>
      </c>
      <c r="EK30" s="3">
        <f t="shared" si="25"/>
        <v>0</v>
      </c>
      <c r="EL30" s="3">
        <f t="shared" si="25"/>
        <v>0</v>
      </c>
      <c r="EM30" s="3">
        <f t="shared" ref="EM30:FR30" si="26">EM56</f>
        <v>0</v>
      </c>
      <c r="EN30" s="3">
        <f t="shared" si="26"/>
        <v>0</v>
      </c>
      <c r="EO30" s="3">
        <f t="shared" si="26"/>
        <v>0</v>
      </c>
      <c r="EP30" s="3">
        <f t="shared" si="26"/>
        <v>0</v>
      </c>
      <c r="EQ30" s="3">
        <f t="shared" si="26"/>
        <v>0</v>
      </c>
      <c r="ER30" s="3">
        <f t="shared" si="26"/>
        <v>0</v>
      </c>
      <c r="ES30" s="3">
        <f t="shared" si="26"/>
        <v>0</v>
      </c>
      <c r="ET30" s="3">
        <f t="shared" si="26"/>
        <v>0</v>
      </c>
      <c r="EU30" s="3">
        <f t="shared" si="26"/>
        <v>0</v>
      </c>
      <c r="EV30" s="3">
        <f t="shared" si="26"/>
        <v>0</v>
      </c>
      <c r="EW30" s="3">
        <f t="shared" si="26"/>
        <v>0</v>
      </c>
      <c r="EX30" s="3">
        <f t="shared" si="26"/>
        <v>0</v>
      </c>
      <c r="EY30" s="3">
        <f t="shared" si="26"/>
        <v>0</v>
      </c>
      <c r="EZ30" s="3">
        <f t="shared" si="26"/>
        <v>0</v>
      </c>
      <c r="FA30" s="3">
        <f t="shared" si="26"/>
        <v>0</v>
      </c>
      <c r="FB30" s="3">
        <f t="shared" si="26"/>
        <v>0</v>
      </c>
      <c r="FC30" s="3">
        <f t="shared" si="26"/>
        <v>0</v>
      </c>
      <c r="FD30" s="3">
        <f t="shared" si="26"/>
        <v>0</v>
      </c>
      <c r="FE30" s="3">
        <f t="shared" si="26"/>
        <v>0</v>
      </c>
      <c r="FF30" s="3">
        <f t="shared" si="26"/>
        <v>0</v>
      </c>
      <c r="FG30" s="3">
        <f t="shared" si="26"/>
        <v>0</v>
      </c>
      <c r="FH30" s="3">
        <f t="shared" si="26"/>
        <v>0</v>
      </c>
      <c r="FI30" s="3">
        <f t="shared" si="26"/>
        <v>0</v>
      </c>
      <c r="FJ30" s="3">
        <f t="shared" si="26"/>
        <v>0</v>
      </c>
      <c r="FK30" s="3">
        <f t="shared" si="26"/>
        <v>0</v>
      </c>
      <c r="FL30" s="3">
        <f t="shared" si="26"/>
        <v>0</v>
      </c>
      <c r="FM30" s="3">
        <f t="shared" si="26"/>
        <v>0</v>
      </c>
      <c r="FN30" s="3">
        <f t="shared" si="26"/>
        <v>0</v>
      </c>
      <c r="FO30" s="3">
        <f t="shared" si="26"/>
        <v>0</v>
      </c>
      <c r="FP30" s="3">
        <f t="shared" si="26"/>
        <v>0</v>
      </c>
      <c r="FQ30" s="3">
        <f t="shared" si="26"/>
        <v>0</v>
      </c>
      <c r="FR30" s="3">
        <f t="shared" si="26"/>
        <v>0</v>
      </c>
      <c r="FS30" s="3">
        <f t="shared" ref="FS30:GX30" si="27">FS56</f>
        <v>0</v>
      </c>
      <c r="FT30" s="3">
        <f t="shared" si="27"/>
        <v>0</v>
      </c>
      <c r="FU30" s="3">
        <f t="shared" si="27"/>
        <v>0</v>
      </c>
      <c r="FV30" s="3">
        <f t="shared" si="27"/>
        <v>0</v>
      </c>
      <c r="FW30" s="3">
        <f t="shared" si="27"/>
        <v>0</v>
      </c>
      <c r="FX30" s="3">
        <f t="shared" si="27"/>
        <v>0</v>
      </c>
      <c r="FY30" s="3">
        <f t="shared" si="27"/>
        <v>0</v>
      </c>
      <c r="FZ30" s="3">
        <f t="shared" si="27"/>
        <v>0</v>
      </c>
      <c r="GA30" s="3">
        <f t="shared" si="27"/>
        <v>0</v>
      </c>
      <c r="GB30" s="3">
        <f t="shared" si="27"/>
        <v>0</v>
      </c>
      <c r="GC30" s="3">
        <f t="shared" si="27"/>
        <v>0</v>
      </c>
      <c r="GD30" s="3">
        <f t="shared" si="27"/>
        <v>0</v>
      </c>
      <c r="GE30" s="3">
        <f t="shared" si="27"/>
        <v>0</v>
      </c>
      <c r="GF30" s="3">
        <f t="shared" si="27"/>
        <v>0</v>
      </c>
      <c r="GG30" s="3">
        <f t="shared" si="27"/>
        <v>0</v>
      </c>
      <c r="GH30" s="3">
        <f t="shared" si="27"/>
        <v>0</v>
      </c>
      <c r="GI30" s="3">
        <f t="shared" si="27"/>
        <v>0</v>
      </c>
      <c r="GJ30" s="3">
        <f t="shared" si="27"/>
        <v>0</v>
      </c>
      <c r="GK30" s="3">
        <f t="shared" si="27"/>
        <v>0</v>
      </c>
      <c r="GL30" s="3">
        <f t="shared" si="27"/>
        <v>0</v>
      </c>
      <c r="GM30" s="3">
        <f t="shared" si="27"/>
        <v>0</v>
      </c>
      <c r="GN30" s="3">
        <f t="shared" si="27"/>
        <v>0</v>
      </c>
      <c r="GO30" s="3">
        <f t="shared" si="27"/>
        <v>0</v>
      </c>
      <c r="GP30" s="3">
        <f t="shared" si="27"/>
        <v>0</v>
      </c>
      <c r="GQ30" s="3">
        <f t="shared" si="27"/>
        <v>0</v>
      </c>
      <c r="GR30" s="3">
        <f t="shared" si="27"/>
        <v>0</v>
      </c>
      <c r="GS30" s="3">
        <f t="shared" si="27"/>
        <v>0</v>
      </c>
      <c r="GT30" s="3">
        <f t="shared" si="27"/>
        <v>0</v>
      </c>
      <c r="GU30" s="3">
        <f t="shared" si="27"/>
        <v>0</v>
      </c>
      <c r="GV30" s="3">
        <f t="shared" si="27"/>
        <v>0</v>
      </c>
      <c r="GW30" s="3">
        <f t="shared" si="27"/>
        <v>0</v>
      </c>
      <c r="GX30" s="3">
        <f t="shared" si="27"/>
        <v>0</v>
      </c>
    </row>
    <row r="32" spans="1:245" x14ac:dyDescent="0.2">
      <c r="A32">
        <v>17</v>
      </c>
      <c r="B32">
        <v>1</v>
      </c>
      <c r="C32">
        <f>ROW(SmtRes!A3)</f>
        <v>3</v>
      </c>
      <c r="D32">
        <f>ROW(EtalonRes!A3)</f>
        <v>3</v>
      </c>
      <c r="E32" t="s">
        <v>17</v>
      </c>
      <c r="F32" t="s">
        <v>18</v>
      </c>
      <c r="G32" t="s">
        <v>19</v>
      </c>
      <c r="H32" t="s">
        <v>20</v>
      </c>
      <c r="I32">
        <v>1</v>
      </c>
      <c r="J32">
        <v>0</v>
      </c>
      <c r="O32">
        <f t="shared" ref="O32:O54" si="28">ROUND(CP32,2)</f>
        <v>323.42</v>
      </c>
      <c r="P32">
        <f t="shared" ref="P32:P54" si="29">ROUND(CQ32*I32,2)</f>
        <v>0</v>
      </c>
      <c r="Q32">
        <f t="shared" ref="Q32:Q54" si="30">ROUND(CR32*I32,2)</f>
        <v>96.82</v>
      </c>
      <c r="R32">
        <f t="shared" ref="R32:R54" si="31">ROUND(CS32*I32,2)</f>
        <v>1.68</v>
      </c>
      <c r="S32">
        <f t="shared" ref="S32:S54" si="32">ROUND(CT32*I32,2)</f>
        <v>226.6</v>
      </c>
      <c r="T32">
        <f t="shared" ref="T32:T54" si="33">ROUND(CU32*I32,2)</f>
        <v>0</v>
      </c>
      <c r="U32">
        <f t="shared" ref="U32:U54" si="34">CV32*I32</f>
        <v>0.92</v>
      </c>
      <c r="V32">
        <f t="shared" ref="V32:V54" si="35">CW32*I32</f>
        <v>0</v>
      </c>
      <c r="W32">
        <f t="shared" ref="W32:W54" si="36">ROUND(CX32*I32,2)</f>
        <v>0</v>
      </c>
      <c r="X32">
        <f t="shared" ref="X32:X54" si="37">ROUND(CY32,2)</f>
        <v>158.62</v>
      </c>
      <c r="Y32">
        <f t="shared" ref="Y32:Y54" si="38">ROUND(CZ32,2)</f>
        <v>22.66</v>
      </c>
      <c r="AA32">
        <v>52430918</v>
      </c>
      <c r="AB32">
        <f t="shared" ref="AB32:AB54" si="39">ROUND((AC32+AD32+AF32),6)</f>
        <v>323.42</v>
      </c>
      <c r="AC32">
        <f t="shared" ref="AC32:AC54" si="40">ROUND((ES32),6)</f>
        <v>0</v>
      </c>
      <c r="AD32">
        <f t="shared" ref="AD32:AD54" si="41">ROUND((((ET32)-(EU32))+AE32),6)</f>
        <v>96.82</v>
      </c>
      <c r="AE32">
        <f t="shared" ref="AE32:AE54" si="42">ROUND((EU32),6)</f>
        <v>1.68</v>
      </c>
      <c r="AF32">
        <f t="shared" ref="AF32:AF54" si="43">ROUND((EV32),6)</f>
        <v>226.6</v>
      </c>
      <c r="AG32">
        <f t="shared" ref="AG32:AG54" si="44">ROUND((AP32),6)</f>
        <v>0</v>
      </c>
      <c r="AH32">
        <f t="shared" ref="AH32:AH54" si="45">(EW32)</f>
        <v>0.92</v>
      </c>
      <c r="AI32">
        <f t="shared" ref="AI32:AI54" si="46">(EX32)</f>
        <v>0</v>
      </c>
      <c r="AJ32">
        <f t="shared" ref="AJ32:AJ54" si="47">(AS32)</f>
        <v>0</v>
      </c>
      <c r="AK32">
        <v>323.42</v>
      </c>
      <c r="AL32">
        <v>0</v>
      </c>
      <c r="AM32">
        <v>96.82</v>
      </c>
      <c r="AN32">
        <v>1.68</v>
      </c>
      <c r="AO32">
        <v>226.6</v>
      </c>
      <c r="AP32">
        <v>0</v>
      </c>
      <c r="AQ32">
        <v>0.92</v>
      </c>
      <c r="AR32">
        <v>0</v>
      </c>
      <c r="AS32">
        <v>0</v>
      </c>
      <c r="AT32">
        <v>70</v>
      </c>
      <c r="AU32">
        <v>10</v>
      </c>
      <c r="AV32">
        <v>1</v>
      </c>
      <c r="AW32">
        <v>1</v>
      </c>
      <c r="AZ32">
        <v>1</v>
      </c>
      <c r="BA32">
        <v>1</v>
      </c>
      <c r="BB32">
        <v>1</v>
      </c>
      <c r="BC32">
        <v>1</v>
      </c>
      <c r="BD32" t="s">
        <v>3</v>
      </c>
      <c r="BE32" t="s">
        <v>3</v>
      </c>
      <c r="BF32" t="s">
        <v>3</v>
      </c>
      <c r="BG32" t="s">
        <v>3</v>
      </c>
      <c r="BH32">
        <v>0</v>
      </c>
      <c r="BI32">
        <v>4</v>
      </c>
      <c r="BJ32" t="s">
        <v>21</v>
      </c>
      <c r="BM32">
        <v>0</v>
      </c>
      <c r="BN32">
        <v>0</v>
      </c>
      <c r="BO32" t="s">
        <v>3</v>
      </c>
      <c r="BP32">
        <v>0</v>
      </c>
      <c r="BQ32">
        <v>1</v>
      </c>
      <c r="BR32">
        <v>0</v>
      </c>
      <c r="BS32">
        <v>1</v>
      </c>
      <c r="BT32">
        <v>1</v>
      </c>
      <c r="BU32">
        <v>1</v>
      </c>
      <c r="BV32">
        <v>1</v>
      </c>
      <c r="BW32">
        <v>1</v>
      </c>
      <c r="BX32">
        <v>1</v>
      </c>
      <c r="BY32" t="s">
        <v>3</v>
      </c>
      <c r="BZ32">
        <v>70</v>
      </c>
      <c r="CA32">
        <v>10</v>
      </c>
      <c r="CE32">
        <v>0</v>
      </c>
      <c r="CF32">
        <v>0</v>
      </c>
      <c r="CG32">
        <v>0</v>
      </c>
      <c r="CM32">
        <v>0</v>
      </c>
      <c r="CN32" t="s">
        <v>3</v>
      </c>
      <c r="CO32">
        <v>0</v>
      </c>
      <c r="CP32">
        <f t="shared" ref="CP32:CP54" si="48">(P32+Q32+S32)</f>
        <v>323.41999999999996</v>
      </c>
      <c r="CQ32">
        <f t="shared" ref="CQ32:CQ54" si="49">(AC32*BC32*AW32)</f>
        <v>0</v>
      </c>
      <c r="CR32">
        <f t="shared" ref="CR32:CR54" si="50">((((ET32)*BB32-(EU32)*BS32)+AE32*BS32)*AV32)</f>
        <v>96.82</v>
      </c>
      <c r="CS32">
        <f t="shared" ref="CS32:CS54" si="51">(AE32*BS32*AV32)</f>
        <v>1.68</v>
      </c>
      <c r="CT32">
        <f t="shared" ref="CT32:CT54" si="52">(AF32*BA32*AV32)</f>
        <v>226.6</v>
      </c>
      <c r="CU32">
        <f t="shared" ref="CU32:CU54" si="53">AG32</f>
        <v>0</v>
      </c>
      <c r="CV32">
        <f t="shared" ref="CV32:CV54" si="54">(AH32*AV32)</f>
        <v>0.92</v>
      </c>
      <c r="CW32">
        <f t="shared" ref="CW32:CW54" si="55">AI32</f>
        <v>0</v>
      </c>
      <c r="CX32">
        <f t="shared" ref="CX32:CX54" si="56">AJ32</f>
        <v>0</v>
      </c>
      <c r="CY32">
        <f t="shared" ref="CY32:CY54" si="57">((S32*BZ32)/100)</f>
        <v>158.62</v>
      </c>
      <c r="CZ32">
        <f t="shared" ref="CZ32:CZ54" si="58">((S32*CA32)/100)</f>
        <v>22.66</v>
      </c>
      <c r="DC32" t="s">
        <v>3</v>
      </c>
      <c r="DD32" t="s">
        <v>3</v>
      </c>
      <c r="DE32" t="s">
        <v>3</v>
      </c>
      <c r="DF32" t="s">
        <v>3</v>
      </c>
      <c r="DG32" t="s">
        <v>3</v>
      </c>
      <c r="DH32" t="s">
        <v>3</v>
      </c>
      <c r="DI32" t="s">
        <v>3</v>
      </c>
      <c r="DJ32" t="s">
        <v>3</v>
      </c>
      <c r="DK32" t="s">
        <v>3</v>
      </c>
      <c r="DL32" t="s">
        <v>3</v>
      </c>
      <c r="DM32" t="s">
        <v>3</v>
      </c>
      <c r="DN32">
        <v>0</v>
      </c>
      <c r="DO32">
        <v>0</v>
      </c>
      <c r="DP32">
        <v>1</v>
      </c>
      <c r="DQ32">
        <v>1</v>
      </c>
      <c r="DU32">
        <v>1013</v>
      </c>
      <c r="DV32" t="s">
        <v>20</v>
      </c>
      <c r="DW32" t="s">
        <v>20</v>
      </c>
      <c r="DX32">
        <v>1</v>
      </c>
      <c r="EE32">
        <v>52362078</v>
      </c>
      <c r="EF32">
        <v>1</v>
      </c>
      <c r="EG32" t="s">
        <v>22</v>
      </c>
      <c r="EH32">
        <v>0</v>
      </c>
      <c r="EI32" t="s">
        <v>3</v>
      </c>
      <c r="EJ32">
        <v>4</v>
      </c>
      <c r="EK32">
        <v>0</v>
      </c>
      <c r="EL32" t="s">
        <v>23</v>
      </c>
      <c r="EM32" t="s">
        <v>24</v>
      </c>
      <c r="EO32" t="s">
        <v>3</v>
      </c>
      <c r="EQ32">
        <v>131072</v>
      </c>
      <c r="ER32">
        <v>323.42</v>
      </c>
      <c r="ES32">
        <v>0</v>
      </c>
      <c r="ET32">
        <v>96.82</v>
      </c>
      <c r="EU32">
        <v>1.68</v>
      </c>
      <c r="EV32">
        <v>226.6</v>
      </c>
      <c r="EW32">
        <v>0.92</v>
      </c>
      <c r="EX32">
        <v>0</v>
      </c>
      <c r="EY32">
        <v>0</v>
      </c>
      <c r="FQ32">
        <v>0</v>
      </c>
      <c r="FR32">
        <f t="shared" ref="FR32:FR54" si="59">ROUND(IF(AND(BH32=3,BI32=3),P32,0),2)</f>
        <v>0</v>
      </c>
      <c r="FS32">
        <v>0</v>
      </c>
      <c r="FX32">
        <v>70</v>
      </c>
      <c r="FY32">
        <v>10</v>
      </c>
      <c r="GA32" t="s">
        <v>3</v>
      </c>
      <c r="GD32">
        <v>0</v>
      </c>
      <c r="GF32">
        <v>1581190098</v>
      </c>
      <c r="GG32">
        <v>2</v>
      </c>
      <c r="GH32">
        <v>1</v>
      </c>
      <c r="GI32">
        <v>-2</v>
      </c>
      <c r="GJ32">
        <v>0</v>
      </c>
      <c r="GK32">
        <f>ROUND(R32*(R12)/100,2)</f>
        <v>1.81</v>
      </c>
      <c r="GL32">
        <f t="shared" ref="GL32:GL54" si="60">ROUND(IF(AND(BH32=3,BI32=3,FS32&lt;&gt;0),P32,0),2)</f>
        <v>0</v>
      </c>
      <c r="GM32">
        <f t="shared" ref="GM32:GM54" si="61">ROUND(O32+X32+Y32+GK32,2)+GX32</f>
        <v>506.51</v>
      </c>
      <c r="GN32">
        <f t="shared" ref="GN32:GN54" si="62">IF(OR(BI32=0,BI32=1),ROUND(O32+X32+Y32+GK32,2),0)</f>
        <v>0</v>
      </c>
      <c r="GO32">
        <f t="shared" ref="GO32:GO54" si="63">IF(BI32=2,ROUND(O32+X32+Y32+GK32,2),0)</f>
        <v>0</v>
      </c>
      <c r="GP32">
        <f t="shared" ref="GP32:GP54" si="64">IF(BI32=4,ROUND(O32+X32+Y32+GK32,2)+GX32,0)</f>
        <v>506.51</v>
      </c>
      <c r="GR32">
        <v>0</v>
      </c>
      <c r="GS32">
        <v>3</v>
      </c>
      <c r="GT32">
        <v>0</v>
      </c>
      <c r="GU32" t="s">
        <v>3</v>
      </c>
      <c r="GV32">
        <f t="shared" ref="GV32:GV54" si="65">ROUND((GT32),6)</f>
        <v>0</v>
      </c>
      <c r="GW32">
        <v>1</v>
      </c>
      <c r="GX32">
        <f t="shared" ref="GX32:GX54" si="66">ROUND(HC32*I32,2)</f>
        <v>0</v>
      </c>
      <c r="HA32">
        <v>0</v>
      </c>
      <c r="HB32">
        <v>0</v>
      </c>
      <c r="HC32">
        <f t="shared" ref="HC32:HC54" si="67">GV32*GW32</f>
        <v>0</v>
      </c>
      <c r="HE32" t="s">
        <v>3</v>
      </c>
      <c r="HF32" t="s">
        <v>3</v>
      </c>
      <c r="IK32">
        <v>0</v>
      </c>
    </row>
    <row r="33" spans="1:245" x14ac:dyDescent="0.2">
      <c r="A33">
        <v>17</v>
      </c>
      <c r="B33">
        <v>1</v>
      </c>
      <c r="C33">
        <f>ROW(SmtRes!A4)</f>
        <v>4</v>
      </c>
      <c r="D33">
        <f>ROW(EtalonRes!A4)</f>
        <v>4</v>
      </c>
      <c r="E33" t="s">
        <v>25</v>
      </c>
      <c r="F33" t="s">
        <v>26</v>
      </c>
      <c r="G33" t="s">
        <v>27</v>
      </c>
      <c r="H33" t="s">
        <v>28</v>
      </c>
      <c r="I33">
        <v>37.65</v>
      </c>
      <c r="J33">
        <v>0</v>
      </c>
      <c r="O33">
        <f t="shared" si="28"/>
        <v>19387.87</v>
      </c>
      <c r="P33">
        <f t="shared" si="29"/>
        <v>0</v>
      </c>
      <c r="Q33">
        <f t="shared" si="30"/>
        <v>0</v>
      </c>
      <c r="R33">
        <f t="shared" si="31"/>
        <v>0</v>
      </c>
      <c r="S33">
        <f t="shared" si="32"/>
        <v>19387.87</v>
      </c>
      <c r="T33">
        <f t="shared" si="33"/>
        <v>0</v>
      </c>
      <c r="U33">
        <f t="shared" si="34"/>
        <v>100.149</v>
      </c>
      <c r="V33">
        <f t="shared" si="35"/>
        <v>0</v>
      </c>
      <c r="W33">
        <f t="shared" si="36"/>
        <v>0</v>
      </c>
      <c r="X33">
        <f t="shared" si="37"/>
        <v>13571.51</v>
      </c>
      <c r="Y33">
        <f t="shared" si="38"/>
        <v>1938.79</v>
      </c>
      <c r="AA33">
        <v>52430918</v>
      </c>
      <c r="AB33">
        <f t="shared" si="39"/>
        <v>514.95000000000005</v>
      </c>
      <c r="AC33">
        <f t="shared" si="40"/>
        <v>0</v>
      </c>
      <c r="AD33">
        <f t="shared" si="41"/>
        <v>0</v>
      </c>
      <c r="AE33">
        <f t="shared" si="42"/>
        <v>0</v>
      </c>
      <c r="AF33">
        <f t="shared" si="43"/>
        <v>514.95000000000005</v>
      </c>
      <c r="AG33">
        <f t="shared" si="44"/>
        <v>0</v>
      </c>
      <c r="AH33">
        <f t="shared" si="45"/>
        <v>2.66</v>
      </c>
      <c r="AI33">
        <f t="shared" si="46"/>
        <v>0</v>
      </c>
      <c r="AJ33">
        <f t="shared" si="47"/>
        <v>0</v>
      </c>
      <c r="AK33">
        <v>514.95000000000005</v>
      </c>
      <c r="AL33">
        <v>0</v>
      </c>
      <c r="AM33">
        <v>0</v>
      </c>
      <c r="AN33">
        <v>0</v>
      </c>
      <c r="AO33">
        <v>514.95000000000005</v>
      </c>
      <c r="AP33">
        <v>0</v>
      </c>
      <c r="AQ33">
        <v>2.66</v>
      </c>
      <c r="AR33">
        <v>0</v>
      </c>
      <c r="AS33">
        <v>0</v>
      </c>
      <c r="AT33">
        <v>70</v>
      </c>
      <c r="AU33">
        <v>10</v>
      </c>
      <c r="AV33">
        <v>1</v>
      </c>
      <c r="AW33">
        <v>1</v>
      </c>
      <c r="AZ33">
        <v>1</v>
      </c>
      <c r="BA33">
        <v>1</v>
      </c>
      <c r="BB33">
        <v>1</v>
      </c>
      <c r="BC33">
        <v>1</v>
      </c>
      <c r="BD33" t="s">
        <v>3</v>
      </c>
      <c r="BE33" t="s">
        <v>3</v>
      </c>
      <c r="BF33" t="s">
        <v>3</v>
      </c>
      <c r="BG33" t="s">
        <v>3</v>
      </c>
      <c r="BH33">
        <v>0</v>
      </c>
      <c r="BI33">
        <v>4</v>
      </c>
      <c r="BJ33" t="s">
        <v>29</v>
      </c>
      <c r="BM33">
        <v>0</v>
      </c>
      <c r="BN33">
        <v>0</v>
      </c>
      <c r="BO33" t="s">
        <v>3</v>
      </c>
      <c r="BP33">
        <v>0</v>
      </c>
      <c r="BQ33">
        <v>1</v>
      </c>
      <c r="BR33">
        <v>0</v>
      </c>
      <c r="BS33">
        <v>1</v>
      </c>
      <c r="BT33">
        <v>1</v>
      </c>
      <c r="BU33">
        <v>1</v>
      </c>
      <c r="BV33">
        <v>1</v>
      </c>
      <c r="BW33">
        <v>1</v>
      </c>
      <c r="BX33">
        <v>1</v>
      </c>
      <c r="BY33" t="s">
        <v>3</v>
      </c>
      <c r="BZ33">
        <v>70</v>
      </c>
      <c r="CA33">
        <v>10</v>
      </c>
      <c r="CE33">
        <v>0</v>
      </c>
      <c r="CF33">
        <v>0</v>
      </c>
      <c r="CG33">
        <v>0</v>
      </c>
      <c r="CM33">
        <v>0</v>
      </c>
      <c r="CN33" t="s">
        <v>3</v>
      </c>
      <c r="CO33">
        <v>0</v>
      </c>
      <c r="CP33">
        <f t="shared" si="48"/>
        <v>19387.87</v>
      </c>
      <c r="CQ33">
        <f t="shared" si="49"/>
        <v>0</v>
      </c>
      <c r="CR33">
        <f t="shared" si="50"/>
        <v>0</v>
      </c>
      <c r="CS33">
        <f t="shared" si="51"/>
        <v>0</v>
      </c>
      <c r="CT33">
        <f t="shared" si="52"/>
        <v>514.95000000000005</v>
      </c>
      <c r="CU33">
        <f t="shared" si="53"/>
        <v>0</v>
      </c>
      <c r="CV33">
        <f t="shared" si="54"/>
        <v>2.66</v>
      </c>
      <c r="CW33">
        <f t="shared" si="55"/>
        <v>0</v>
      </c>
      <c r="CX33">
        <f t="shared" si="56"/>
        <v>0</v>
      </c>
      <c r="CY33">
        <f t="shared" si="57"/>
        <v>13571.508999999998</v>
      </c>
      <c r="CZ33">
        <f t="shared" si="58"/>
        <v>1938.7869999999998</v>
      </c>
      <c r="DC33" t="s">
        <v>3</v>
      </c>
      <c r="DD33" t="s">
        <v>3</v>
      </c>
      <c r="DE33" t="s">
        <v>3</v>
      </c>
      <c r="DF33" t="s">
        <v>3</v>
      </c>
      <c r="DG33" t="s">
        <v>3</v>
      </c>
      <c r="DH33" t="s">
        <v>3</v>
      </c>
      <c r="DI33" t="s">
        <v>3</v>
      </c>
      <c r="DJ33" t="s">
        <v>3</v>
      </c>
      <c r="DK33" t="s">
        <v>3</v>
      </c>
      <c r="DL33" t="s">
        <v>3</v>
      </c>
      <c r="DM33" t="s">
        <v>3</v>
      </c>
      <c r="DN33">
        <v>0</v>
      </c>
      <c r="DO33">
        <v>0</v>
      </c>
      <c r="DP33">
        <v>1</v>
      </c>
      <c r="DQ33">
        <v>1</v>
      </c>
      <c r="DU33">
        <v>1007</v>
      </c>
      <c r="DV33" t="s">
        <v>28</v>
      </c>
      <c r="DW33" t="s">
        <v>28</v>
      </c>
      <c r="DX33">
        <v>1</v>
      </c>
      <c r="EE33">
        <v>52362078</v>
      </c>
      <c r="EF33">
        <v>1</v>
      </c>
      <c r="EG33" t="s">
        <v>22</v>
      </c>
      <c r="EH33">
        <v>0</v>
      </c>
      <c r="EI33" t="s">
        <v>3</v>
      </c>
      <c r="EJ33">
        <v>4</v>
      </c>
      <c r="EK33">
        <v>0</v>
      </c>
      <c r="EL33" t="s">
        <v>23</v>
      </c>
      <c r="EM33" t="s">
        <v>24</v>
      </c>
      <c r="EO33" t="s">
        <v>3</v>
      </c>
      <c r="EQ33">
        <v>131072</v>
      </c>
      <c r="ER33">
        <v>514.95000000000005</v>
      </c>
      <c r="ES33">
        <v>0</v>
      </c>
      <c r="ET33">
        <v>0</v>
      </c>
      <c r="EU33">
        <v>0</v>
      </c>
      <c r="EV33">
        <v>514.95000000000005</v>
      </c>
      <c r="EW33">
        <v>2.66</v>
      </c>
      <c r="EX33">
        <v>0</v>
      </c>
      <c r="EY33">
        <v>0</v>
      </c>
      <c r="FQ33">
        <v>0</v>
      </c>
      <c r="FR33">
        <f t="shared" si="59"/>
        <v>0</v>
      </c>
      <c r="FS33">
        <v>0</v>
      </c>
      <c r="FX33">
        <v>70</v>
      </c>
      <c r="FY33">
        <v>10</v>
      </c>
      <c r="GA33" t="s">
        <v>3</v>
      </c>
      <c r="GD33">
        <v>0</v>
      </c>
      <c r="GF33">
        <v>-559256742</v>
      </c>
      <c r="GG33">
        <v>2</v>
      </c>
      <c r="GH33">
        <v>1</v>
      </c>
      <c r="GI33">
        <v>-2</v>
      </c>
      <c r="GJ33">
        <v>0</v>
      </c>
      <c r="GK33">
        <f>ROUND(R33*(R12)/100,2)</f>
        <v>0</v>
      </c>
      <c r="GL33">
        <f t="shared" si="60"/>
        <v>0</v>
      </c>
      <c r="GM33">
        <f t="shared" si="61"/>
        <v>34898.17</v>
      </c>
      <c r="GN33">
        <f t="shared" si="62"/>
        <v>0</v>
      </c>
      <c r="GO33">
        <f t="shared" si="63"/>
        <v>0</v>
      </c>
      <c r="GP33">
        <f t="shared" si="64"/>
        <v>34898.17</v>
      </c>
      <c r="GR33">
        <v>0</v>
      </c>
      <c r="GS33">
        <v>3</v>
      </c>
      <c r="GT33">
        <v>0</v>
      </c>
      <c r="GU33" t="s">
        <v>3</v>
      </c>
      <c r="GV33">
        <f t="shared" si="65"/>
        <v>0</v>
      </c>
      <c r="GW33">
        <v>1</v>
      </c>
      <c r="GX33">
        <f t="shared" si="66"/>
        <v>0</v>
      </c>
      <c r="HA33">
        <v>0</v>
      </c>
      <c r="HB33">
        <v>0</v>
      </c>
      <c r="HC33">
        <f t="shared" si="67"/>
        <v>0</v>
      </c>
      <c r="HE33" t="s">
        <v>3</v>
      </c>
      <c r="HF33" t="s">
        <v>3</v>
      </c>
      <c r="IK33">
        <v>0</v>
      </c>
    </row>
    <row r="34" spans="1:245" x14ac:dyDescent="0.2">
      <c r="A34">
        <v>17</v>
      </c>
      <c r="B34">
        <v>1</v>
      </c>
      <c r="C34">
        <f>ROW(SmtRes!A12)</f>
        <v>12</v>
      </c>
      <c r="D34">
        <f>ROW(EtalonRes!A12)</f>
        <v>12</v>
      </c>
      <c r="E34" t="s">
        <v>30</v>
      </c>
      <c r="F34" t="s">
        <v>31</v>
      </c>
      <c r="G34" t="s">
        <v>32</v>
      </c>
      <c r="H34" t="s">
        <v>33</v>
      </c>
      <c r="I34">
        <f>ROUND(13.4/100,9)</f>
        <v>0.13400000000000001</v>
      </c>
      <c r="J34">
        <v>0</v>
      </c>
      <c r="O34">
        <f t="shared" si="28"/>
        <v>10165.75</v>
      </c>
      <c r="P34">
        <f t="shared" si="29"/>
        <v>8731.7099999999991</v>
      </c>
      <c r="Q34">
        <f t="shared" si="30"/>
        <v>1018.7</v>
      </c>
      <c r="R34">
        <f t="shared" si="31"/>
        <v>431.88</v>
      </c>
      <c r="S34">
        <f t="shared" si="32"/>
        <v>415.34</v>
      </c>
      <c r="T34">
        <f t="shared" si="33"/>
        <v>0</v>
      </c>
      <c r="U34">
        <f t="shared" si="34"/>
        <v>2.2190400000000001</v>
      </c>
      <c r="V34">
        <f t="shared" si="35"/>
        <v>0</v>
      </c>
      <c r="W34">
        <f t="shared" si="36"/>
        <v>0</v>
      </c>
      <c r="X34">
        <f t="shared" si="37"/>
        <v>290.74</v>
      </c>
      <c r="Y34">
        <f t="shared" si="38"/>
        <v>41.53</v>
      </c>
      <c r="AA34">
        <v>52430918</v>
      </c>
      <c r="AB34">
        <f t="shared" si="39"/>
        <v>75863.820000000007</v>
      </c>
      <c r="AC34">
        <f t="shared" si="40"/>
        <v>65162.05</v>
      </c>
      <c r="AD34">
        <f t="shared" si="41"/>
        <v>7602.23</v>
      </c>
      <c r="AE34">
        <f t="shared" si="42"/>
        <v>3222.98</v>
      </c>
      <c r="AF34">
        <f t="shared" si="43"/>
        <v>3099.54</v>
      </c>
      <c r="AG34">
        <f t="shared" si="44"/>
        <v>0</v>
      </c>
      <c r="AH34">
        <f t="shared" si="45"/>
        <v>16.559999999999999</v>
      </c>
      <c r="AI34">
        <f t="shared" si="46"/>
        <v>0</v>
      </c>
      <c r="AJ34">
        <f t="shared" si="47"/>
        <v>0</v>
      </c>
      <c r="AK34">
        <v>75863.820000000007</v>
      </c>
      <c r="AL34">
        <v>65162.05</v>
      </c>
      <c r="AM34">
        <v>7602.23</v>
      </c>
      <c r="AN34">
        <v>3222.98</v>
      </c>
      <c r="AO34">
        <v>3099.54</v>
      </c>
      <c r="AP34">
        <v>0</v>
      </c>
      <c r="AQ34">
        <v>16.559999999999999</v>
      </c>
      <c r="AR34">
        <v>0</v>
      </c>
      <c r="AS34">
        <v>0</v>
      </c>
      <c r="AT34">
        <v>70</v>
      </c>
      <c r="AU34">
        <v>10</v>
      </c>
      <c r="AV34">
        <v>1</v>
      </c>
      <c r="AW34">
        <v>1</v>
      </c>
      <c r="AZ34">
        <v>1</v>
      </c>
      <c r="BA34">
        <v>1</v>
      </c>
      <c r="BB34">
        <v>1</v>
      </c>
      <c r="BC34">
        <v>1</v>
      </c>
      <c r="BD34" t="s">
        <v>3</v>
      </c>
      <c r="BE34" t="s">
        <v>3</v>
      </c>
      <c r="BF34" t="s">
        <v>3</v>
      </c>
      <c r="BG34" t="s">
        <v>3</v>
      </c>
      <c r="BH34">
        <v>0</v>
      </c>
      <c r="BI34">
        <v>4</v>
      </c>
      <c r="BJ34" t="s">
        <v>34</v>
      </c>
      <c r="BM34">
        <v>0</v>
      </c>
      <c r="BN34">
        <v>0</v>
      </c>
      <c r="BO34" t="s">
        <v>3</v>
      </c>
      <c r="BP34">
        <v>0</v>
      </c>
      <c r="BQ34">
        <v>1</v>
      </c>
      <c r="BR34">
        <v>0</v>
      </c>
      <c r="BS34">
        <v>1</v>
      </c>
      <c r="BT34">
        <v>1</v>
      </c>
      <c r="BU34">
        <v>1</v>
      </c>
      <c r="BV34">
        <v>1</v>
      </c>
      <c r="BW34">
        <v>1</v>
      </c>
      <c r="BX34">
        <v>1</v>
      </c>
      <c r="BY34" t="s">
        <v>3</v>
      </c>
      <c r="BZ34">
        <v>70</v>
      </c>
      <c r="CA34">
        <v>10</v>
      </c>
      <c r="CE34">
        <v>0</v>
      </c>
      <c r="CF34">
        <v>0</v>
      </c>
      <c r="CG34">
        <v>0</v>
      </c>
      <c r="CM34">
        <v>0</v>
      </c>
      <c r="CN34" t="s">
        <v>3</v>
      </c>
      <c r="CO34">
        <v>0</v>
      </c>
      <c r="CP34">
        <f t="shared" si="48"/>
        <v>10165.75</v>
      </c>
      <c r="CQ34">
        <f t="shared" si="49"/>
        <v>65162.05</v>
      </c>
      <c r="CR34">
        <f t="shared" si="50"/>
        <v>7602.23</v>
      </c>
      <c r="CS34">
        <f t="shared" si="51"/>
        <v>3222.98</v>
      </c>
      <c r="CT34">
        <f t="shared" si="52"/>
        <v>3099.54</v>
      </c>
      <c r="CU34">
        <f t="shared" si="53"/>
        <v>0</v>
      </c>
      <c r="CV34">
        <f t="shared" si="54"/>
        <v>16.559999999999999</v>
      </c>
      <c r="CW34">
        <f t="shared" si="55"/>
        <v>0</v>
      </c>
      <c r="CX34">
        <f t="shared" si="56"/>
        <v>0</v>
      </c>
      <c r="CY34">
        <f t="shared" si="57"/>
        <v>290.738</v>
      </c>
      <c r="CZ34">
        <f t="shared" si="58"/>
        <v>41.533999999999999</v>
      </c>
      <c r="DC34" t="s">
        <v>3</v>
      </c>
      <c r="DD34" t="s">
        <v>3</v>
      </c>
      <c r="DE34" t="s">
        <v>3</v>
      </c>
      <c r="DF34" t="s">
        <v>3</v>
      </c>
      <c r="DG34" t="s">
        <v>3</v>
      </c>
      <c r="DH34" t="s">
        <v>3</v>
      </c>
      <c r="DI34" t="s">
        <v>3</v>
      </c>
      <c r="DJ34" t="s">
        <v>3</v>
      </c>
      <c r="DK34" t="s">
        <v>3</v>
      </c>
      <c r="DL34" t="s">
        <v>3</v>
      </c>
      <c r="DM34" t="s">
        <v>3</v>
      </c>
      <c r="DN34">
        <v>0</v>
      </c>
      <c r="DO34">
        <v>0</v>
      </c>
      <c r="DP34">
        <v>1</v>
      </c>
      <c r="DQ34">
        <v>1</v>
      </c>
      <c r="DU34">
        <v>1007</v>
      </c>
      <c r="DV34" t="s">
        <v>33</v>
      </c>
      <c r="DW34" t="s">
        <v>33</v>
      </c>
      <c r="DX34">
        <v>100</v>
      </c>
      <c r="EE34">
        <v>52362078</v>
      </c>
      <c r="EF34">
        <v>1</v>
      </c>
      <c r="EG34" t="s">
        <v>22</v>
      </c>
      <c r="EH34">
        <v>0</v>
      </c>
      <c r="EI34" t="s">
        <v>3</v>
      </c>
      <c r="EJ34">
        <v>4</v>
      </c>
      <c r="EK34">
        <v>0</v>
      </c>
      <c r="EL34" t="s">
        <v>23</v>
      </c>
      <c r="EM34" t="s">
        <v>24</v>
      </c>
      <c r="EO34" t="s">
        <v>3</v>
      </c>
      <c r="EQ34">
        <v>131072</v>
      </c>
      <c r="ER34">
        <v>75863.820000000007</v>
      </c>
      <c r="ES34">
        <v>65162.05</v>
      </c>
      <c r="ET34">
        <v>7602.23</v>
      </c>
      <c r="EU34">
        <v>3222.98</v>
      </c>
      <c r="EV34">
        <v>3099.54</v>
      </c>
      <c r="EW34">
        <v>16.559999999999999</v>
      </c>
      <c r="EX34">
        <v>0</v>
      </c>
      <c r="EY34">
        <v>0</v>
      </c>
      <c r="FQ34">
        <v>0</v>
      </c>
      <c r="FR34">
        <f t="shared" si="59"/>
        <v>0</v>
      </c>
      <c r="FS34">
        <v>0</v>
      </c>
      <c r="FX34">
        <v>70</v>
      </c>
      <c r="FY34">
        <v>10</v>
      </c>
      <c r="GA34" t="s">
        <v>3</v>
      </c>
      <c r="GD34">
        <v>0</v>
      </c>
      <c r="GF34">
        <v>-652740390</v>
      </c>
      <c r="GG34">
        <v>2</v>
      </c>
      <c r="GH34">
        <v>1</v>
      </c>
      <c r="GI34">
        <v>-2</v>
      </c>
      <c r="GJ34">
        <v>0</v>
      </c>
      <c r="GK34">
        <f>ROUND(R34*(R12)/100,2)</f>
        <v>466.43</v>
      </c>
      <c r="GL34">
        <f t="shared" si="60"/>
        <v>0</v>
      </c>
      <c r="GM34">
        <f t="shared" si="61"/>
        <v>10964.45</v>
      </c>
      <c r="GN34">
        <f t="shared" si="62"/>
        <v>0</v>
      </c>
      <c r="GO34">
        <f t="shared" si="63"/>
        <v>0</v>
      </c>
      <c r="GP34">
        <f t="shared" si="64"/>
        <v>10964.45</v>
      </c>
      <c r="GR34">
        <v>0</v>
      </c>
      <c r="GS34">
        <v>3</v>
      </c>
      <c r="GT34">
        <v>0</v>
      </c>
      <c r="GU34" t="s">
        <v>3</v>
      </c>
      <c r="GV34">
        <f t="shared" si="65"/>
        <v>0</v>
      </c>
      <c r="GW34">
        <v>1</v>
      </c>
      <c r="GX34">
        <f t="shared" si="66"/>
        <v>0</v>
      </c>
      <c r="HA34">
        <v>0</v>
      </c>
      <c r="HB34">
        <v>0</v>
      </c>
      <c r="HC34">
        <f t="shared" si="67"/>
        <v>0</v>
      </c>
      <c r="HE34" t="s">
        <v>3</v>
      </c>
      <c r="HF34" t="s">
        <v>3</v>
      </c>
      <c r="IK34">
        <v>0</v>
      </c>
    </row>
    <row r="35" spans="1:245" x14ac:dyDescent="0.2">
      <c r="A35">
        <v>17</v>
      </c>
      <c r="B35">
        <v>1</v>
      </c>
      <c r="C35">
        <f>ROW(SmtRes!A18)</f>
        <v>18</v>
      </c>
      <c r="D35">
        <f>ROW(EtalonRes!A17)</f>
        <v>17</v>
      </c>
      <c r="E35" t="s">
        <v>35</v>
      </c>
      <c r="F35" t="s">
        <v>36</v>
      </c>
      <c r="G35" t="s">
        <v>37</v>
      </c>
      <c r="H35" t="s">
        <v>38</v>
      </c>
      <c r="I35">
        <f>ROUND(134/100,9)</f>
        <v>1.34</v>
      </c>
      <c r="J35">
        <v>0</v>
      </c>
      <c r="O35">
        <f t="shared" si="28"/>
        <v>45493.440000000002</v>
      </c>
      <c r="P35">
        <f t="shared" si="29"/>
        <v>33587.9</v>
      </c>
      <c r="Q35">
        <f t="shared" si="30"/>
        <v>4336.75</v>
      </c>
      <c r="R35">
        <f t="shared" si="31"/>
        <v>1513.1</v>
      </c>
      <c r="S35">
        <f t="shared" si="32"/>
        <v>7568.79</v>
      </c>
      <c r="T35">
        <f t="shared" si="33"/>
        <v>0</v>
      </c>
      <c r="U35">
        <f t="shared" si="34"/>
        <v>37.439600000000006</v>
      </c>
      <c r="V35">
        <f t="shared" si="35"/>
        <v>0</v>
      </c>
      <c r="W35">
        <f t="shared" si="36"/>
        <v>0</v>
      </c>
      <c r="X35">
        <f t="shared" si="37"/>
        <v>5298.15</v>
      </c>
      <c r="Y35">
        <f t="shared" si="38"/>
        <v>756.88</v>
      </c>
      <c r="AA35">
        <v>52430918</v>
      </c>
      <c r="AB35">
        <f t="shared" si="39"/>
        <v>33950.33</v>
      </c>
      <c r="AC35">
        <f t="shared" si="40"/>
        <v>25065.599999999999</v>
      </c>
      <c r="AD35">
        <f t="shared" si="41"/>
        <v>3236.38</v>
      </c>
      <c r="AE35">
        <f t="shared" si="42"/>
        <v>1129.18</v>
      </c>
      <c r="AF35">
        <f t="shared" si="43"/>
        <v>5648.35</v>
      </c>
      <c r="AG35">
        <f t="shared" si="44"/>
        <v>0</v>
      </c>
      <c r="AH35">
        <f t="shared" si="45"/>
        <v>27.94</v>
      </c>
      <c r="AI35">
        <f t="shared" si="46"/>
        <v>0</v>
      </c>
      <c r="AJ35">
        <f t="shared" si="47"/>
        <v>0</v>
      </c>
      <c r="AK35">
        <v>33950.33</v>
      </c>
      <c r="AL35">
        <v>25065.599999999999</v>
      </c>
      <c r="AM35">
        <v>3236.38</v>
      </c>
      <c r="AN35">
        <v>1129.18</v>
      </c>
      <c r="AO35">
        <v>5648.35</v>
      </c>
      <c r="AP35">
        <v>0</v>
      </c>
      <c r="AQ35">
        <v>27.94</v>
      </c>
      <c r="AR35">
        <v>0</v>
      </c>
      <c r="AS35">
        <v>0</v>
      </c>
      <c r="AT35">
        <v>70</v>
      </c>
      <c r="AU35">
        <v>10</v>
      </c>
      <c r="AV35">
        <v>1</v>
      </c>
      <c r="AW35">
        <v>1</v>
      </c>
      <c r="AZ35">
        <v>1</v>
      </c>
      <c r="BA35">
        <v>1</v>
      </c>
      <c r="BB35">
        <v>1</v>
      </c>
      <c r="BC35">
        <v>1</v>
      </c>
      <c r="BD35" t="s">
        <v>3</v>
      </c>
      <c r="BE35" t="s">
        <v>3</v>
      </c>
      <c r="BF35" t="s">
        <v>3</v>
      </c>
      <c r="BG35" t="s">
        <v>3</v>
      </c>
      <c r="BH35">
        <v>0</v>
      </c>
      <c r="BI35">
        <v>4</v>
      </c>
      <c r="BJ35" t="s">
        <v>39</v>
      </c>
      <c r="BM35">
        <v>0</v>
      </c>
      <c r="BN35">
        <v>0</v>
      </c>
      <c r="BO35" t="s">
        <v>3</v>
      </c>
      <c r="BP35">
        <v>0</v>
      </c>
      <c r="BQ35">
        <v>1</v>
      </c>
      <c r="BR35">
        <v>0</v>
      </c>
      <c r="BS35">
        <v>1</v>
      </c>
      <c r="BT35">
        <v>1</v>
      </c>
      <c r="BU35">
        <v>1</v>
      </c>
      <c r="BV35">
        <v>1</v>
      </c>
      <c r="BW35">
        <v>1</v>
      </c>
      <c r="BX35">
        <v>1</v>
      </c>
      <c r="BY35" t="s">
        <v>3</v>
      </c>
      <c r="BZ35">
        <v>70</v>
      </c>
      <c r="CA35">
        <v>10</v>
      </c>
      <c r="CE35">
        <v>0</v>
      </c>
      <c r="CF35">
        <v>0</v>
      </c>
      <c r="CG35">
        <v>0</v>
      </c>
      <c r="CM35">
        <v>0</v>
      </c>
      <c r="CN35" t="s">
        <v>3</v>
      </c>
      <c r="CO35">
        <v>0</v>
      </c>
      <c r="CP35">
        <f t="shared" si="48"/>
        <v>45493.440000000002</v>
      </c>
      <c r="CQ35">
        <f t="shared" si="49"/>
        <v>25065.599999999999</v>
      </c>
      <c r="CR35">
        <f t="shared" si="50"/>
        <v>3236.38</v>
      </c>
      <c r="CS35">
        <f t="shared" si="51"/>
        <v>1129.18</v>
      </c>
      <c r="CT35">
        <f t="shared" si="52"/>
        <v>5648.35</v>
      </c>
      <c r="CU35">
        <f t="shared" si="53"/>
        <v>0</v>
      </c>
      <c r="CV35">
        <f t="shared" si="54"/>
        <v>27.94</v>
      </c>
      <c r="CW35">
        <f t="shared" si="55"/>
        <v>0</v>
      </c>
      <c r="CX35">
        <f t="shared" si="56"/>
        <v>0</v>
      </c>
      <c r="CY35">
        <f t="shared" si="57"/>
        <v>5298.1530000000002</v>
      </c>
      <c r="CZ35">
        <f t="shared" si="58"/>
        <v>756.87899999999991</v>
      </c>
      <c r="DC35" t="s">
        <v>3</v>
      </c>
      <c r="DD35" t="s">
        <v>3</v>
      </c>
      <c r="DE35" t="s">
        <v>3</v>
      </c>
      <c r="DF35" t="s">
        <v>3</v>
      </c>
      <c r="DG35" t="s">
        <v>3</v>
      </c>
      <c r="DH35" t="s">
        <v>3</v>
      </c>
      <c r="DI35" t="s">
        <v>3</v>
      </c>
      <c r="DJ35" t="s">
        <v>3</v>
      </c>
      <c r="DK35" t="s">
        <v>3</v>
      </c>
      <c r="DL35" t="s">
        <v>3</v>
      </c>
      <c r="DM35" t="s">
        <v>3</v>
      </c>
      <c r="DN35">
        <v>0</v>
      </c>
      <c r="DO35">
        <v>0</v>
      </c>
      <c r="DP35">
        <v>1</v>
      </c>
      <c r="DQ35">
        <v>1</v>
      </c>
      <c r="DU35">
        <v>1005</v>
      </c>
      <c r="DV35" t="s">
        <v>38</v>
      </c>
      <c r="DW35" t="s">
        <v>38</v>
      </c>
      <c r="DX35">
        <v>100</v>
      </c>
      <c r="EE35">
        <v>52362078</v>
      </c>
      <c r="EF35">
        <v>1</v>
      </c>
      <c r="EG35" t="s">
        <v>22</v>
      </c>
      <c r="EH35">
        <v>0</v>
      </c>
      <c r="EI35" t="s">
        <v>3</v>
      </c>
      <c r="EJ35">
        <v>4</v>
      </c>
      <c r="EK35">
        <v>0</v>
      </c>
      <c r="EL35" t="s">
        <v>23</v>
      </c>
      <c r="EM35" t="s">
        <v>24</v>
      </c>
      <c r="EO35" t="s">
        <v>3</v>
      </c>
      <c r="EQ35">
        <v>131072</v>
      </c>
      <c r="ER35">
        <v>33950.33</v>
      </c>
      <c r="ES35">
        <v>25065.599999999999</v>
      </c>
      <c r="ET35">
        <v>3236.38</v>
      </c>
      <c r="EU35">
        <v>1129.18</v>
      </c>
      <c r="EV35">
        <v>5648.35</v>
      </c>
      <c r="EW35">
        <v>27.94</v>
      </c>
      <c r="EX35">
        <v>0</v>
      </c>
      <c r="EY35">
        <v>0</v>
      </c>
      <c r="FQ35">
        <v>0</v>
      </c>
      <c r="FR35">
        <f t="shared" si="59"/>
        <v>0</v>
      </c>
      <c r="FS35">
        <v>0</v>
      </c>
      <c r="FX35">
        <v>70</v>
      </c>
      <c r="FY35">
        <v>10</v>
      </c>
      <c r="GA35" t="s">
        <v>3</v>
      </c>
      <c r="GD35">
        <v>0</v>
      </c>
      <c r="GF35">
        <v>-1973864012</v>
      </c>
      <c r="GG35">
        <v>2</v>
      </c>
      <c r="GH35">
        <v>1</v>
      </c>
      <c r="GI35">
        <v>-2</v>
      </c>
      <c r="GJ35">
        <v>0</v>
      </c>
      <c r="GK35">
        <f>ROUND(R35*(R12)/100,2)</f>
        <v>1634.15</v>
      </c>
      <c r="GL35">
        <f t="shared" si="60"/>
        <v>0</v>
      </c>
      <c r="GM35">
        <f t="shared" si="61"/>
        <v>53182.62</v>
      </c>
      <c r="GN35">
        <f t="shared" si="62"/>
        <v>0</v>
      </c>
      <c r="GO35">
        <f t="shared" si="63"/>
        <v>0</v>
      </c>
      <c r="GP35">
        <f t="shared" si="64"/>
        <v>53182.62</v>
      </c>
      <c r="GR35">
        <v>0</v>
      </c>
      <c r="GS35">
        <v>3</v>
      </c>
      <c r="GT35">
        <v>0</v>
      </c>
      <c r="GU35" t="s">
        <v>3</v>
      </c>
      <c r="GV35">
        <f t="shared" si="65"/>
        <v>0</v>
      </c>
      <c r="GW35">
        <v>1</v>
      </c>
      <c r="GX35">
        <f t="shared" si="66"/>
        <v>0</v>
      </c>
      <c r="HA35">
        <v>0</v>
      </c>
      <c r="HB35">
        <v>0</v>
      </c>
      <c r="HC35">
        <f t="shared" si="67"/>
        <v>0</v>
      </c>
      <c r="HE35" t="s">
        <v>3</v>
      </c>
      <c r="HF35" t="s">
        <v>3</v>
      </c>
      <c r="IK35">
        <v>0</v>
      </c>
    </row>
    <row r="36" spans="1:245" x14ac:dyDescent="0.2">
      <c r="A36">
        <v>18</v>
      </c>
      <c r="B36">
        <v>1</v>
      </c>
      <c r="C36">
        <v>16</v>
      </c>
      <c r="E36" t="s">
        <v>40</v>
      </c>
      <c r="F36" t="s">
        <v>41</v>
      </c>
      <c r="G36" t="s">
        <v>42</v>
      </c>
      <c r="H36" t="s">
        <v>28</v>
      </c>
      <c r="I36">
        <f>I35*J36</f>
        <v>23.315999999999999</v>
      </c>
      <c r="J36">
        <v>17.399999999999999</v>
      </c>
      <c r="O36">
        <f t="shared" si="28"/>
        <v>41123.599999999999</v>
      </c>
      <c r="P36">
        <f t="shared" si="29"/>
        <v>41123.599999999999</v>
      </c>
      <c r="Q36">
        <f t="shared" si="30"/>
        <v>0</v>
      </c>
      <c r="R36">
        <f t="shared" si="31"/>
        <v>0</v>
      </c>
      <c r="S36">
        <f t="shared" si="32"/>
        <v>0</v>
      </c>
      <c r="T36">
        <f t="shared" si="33"/>
        <v>0</v>
      </c>
      <c r="U36">
        <f t="shared" si="34"/>
        <v>0</v>
      </c>
      <c r="V36">
        <f t="shared" si="35"/>
        <v>0</v>
      </c>
      <c r="W36">
        <f t="shared" si="36"/>
        <v>0</v>
      </c>
      <c r="X36">
        <f t="shared" si="37"/>
        <v>0</v>
      </c>
      <c r="Y36">
        <f t="shared" si="38"/>
        <v>0</v>
      </c>
      <c r="AA36">
        <v>52430918</v>
      </c>
      <c r="AB36">
        <f t="shared" si="39"/>
        <v>1763.75</v>
      </c>
      <c r="AC36">
        <f t="shared" si="40"/>
        <v>1763.75</v>
      </c>
      <c r="AD36">
        <f t="shared" si="41"/>
        <v>0</v>
      </c>
      <c r="AE36">
        <f t="shared" si="42"/>
        <v>0</v>
      </c>
      <c r="AF36">
        <f t="shared" si="43"/>
        <v>0</v>
      </c>
      <c r="AG36">
        <f t="shared" si="44"/>
        <v>0</v>
      </c>
      <c r="AH36">
        <f t="shared" si="45"/>
        <v>0</v>
      </c>
      <c r="AI36">
        <f t="shared" si="46"/>
        <v>0</v>
      </c>
      <c r="AJ36">
        <f t="shared" si="47"/>
        <v>0</v>
      </c>
      <c r="AK36">
        <v>1763.75</v>
      </c>
      <c r="AL36">
        <v>1763.75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70</v>
      </c>
      <c r="AU36">
        <v>10</v>
      </c>
      <c r="AV36">
        <v>1</v>
      </c>
      <c r="AW36">
        <v>1</v>
      </c>
      <c r="AZ36">
        <v>1</v>
      </c>
      <c r="BA36">
        <v>1</v>
      </c>
      <c r="BB36">
        <v>1</v>
      </c>
      <c r="BC36">
        <v>1</v>
      </c>
      <c r="BD36" t="s">
        <v>3</v>
      </c>
      <c r="BE36" t="s">
        <v>3</v>
      </c>
      <c r="BF36" t="s">
        <v>3</v>
      </c>
      <c r="BG36" t="s">
        <v>3</v>
      </c>
      <c r="BH36">
        <v>3</v>
      </c>
      <c r="BI36">
        <v>4</v>
      </c>
      <c r="BJ36" t="s">
        <v>43</v>
      </c>
      <c r="BM36">
        <v>0</v>
      </c>
      <c r="BN36">
        <v>0</v>
      </c>
      <c r="BO36" t="s">
        <v>3</v>
      </c>
      <c r="BP36">
        <v>0</v>
      </c>
      <c r="BQ36">
        <v>1</v>
      </c>
      <c r="BR36">
        <v>0</v>
      </c>
      <c r="BS36">
        <v>1</v>
      </c>
      <c r="BT36">
        <v>1</v>
      </c>
      <c r="BU36">
        <v>1</v>
      </c>
      <c r="BV36">
        <v>1</v>
      </c>
      <c r="BW36">
        <v>1</v>
      </c>
      <c r="BX36">
        <v>1</v>
      </c>
      <c r="BY36" t="s">
        <v>3</v>
      </c>
      <c r="BZ36">
        <v>70</v>
      </c>
      <c r="CA36">
        <v>10</v>
      </c>
      <c r="CE36">
        <v>0</v>
      </c>
      <c r="CF36">
        <v>0</v>
      </c>
      <c r="CG36">
        <v>0</v>
      </c>
      <c r="CM36">
        <v>0</v>
      </c>
      <c r="CN36" t="s">
        <v>3</v>
      </c>
      <c r="CO36">
        <v>0</v>
      </c>
      <c r="CP36">
        <f t="shared" si="48"/>
        <v>41123.599999999999</v>
      </c>
      <c r="CQ36">
        <f t="shared" si="49"/>
        <v>1763.75</v>
      </c>
      <c r="CR36">
        <f t="shared" si="50"/>
        <v>0</v>
      </c>
      <c r="CS36">
        <f t="shared" si="51"/>
        <v>0</v>
      </c>
      <c r="CT36">
        <f t="shared" si="52"/>
        <v>0</v>
      </c>
      <c r="CU36">
        <f t="shared" si="53"/>
        <v>0</v>
      </c>
      <c r="CV36">
        <f t="shared" si="54"/>
        <v>0</v>
      </c>
      <c r="CW36">
        <f t="shared" si="55"/>
        <v>0</v>
      </c>
      <c r="CX36">
        <f t="shared" si="56"/>
        <v>0</v>
      </c>
      <c r="CY36">
        <f t="shared" si="57"/>
        <v>0</v>
      </c>
      <c r="CZ36">
        <f t="shared" si="58"/>
        <v>0</v>
      </c>
      <c r="DC36" t="s">
        <v>3</v>
      </c>
      <c r="DD36" t="s">
        <v>3</v>
      </c>
      <c r="DE36" t="s">
        <v>3</v>
      </c>
      <c r="DF36" t="s">
        <v>3</v>
      </c>
      <c r="DG36" t="s">
        <v>3</v>
      </c>
      <c r="DH36" t="s">
        <v>3</v>
      </c>
      <c r="DI36" t="s">
        <v>3</v>
      </c>
      <c r="DJ36" t="s">
        <v>3</v>
      </c>
      <c r="DK36" t="s">
        <v>3</v>
      </c>
      <c r="DL36" t="s">
        <v>3</v>
      </c>
      <c r="DM36" t="s">
        <v>3</v>
      </c>
      <c r="DN36">
        <v>0</v>
      </c>
      <c r="DO36">
        <v>0</v>
      </c>
      <c r="DP36">
        <v>1</v>
      </c>
      <c r="DQ36">
        <v>1</v>
      </c>
      <c r="DU36">
        <v>1007</v>
      </c>
      <c r="DV36" t="s">
        <v>28</v>
      </c>
      <c r="DW36" t="s">
        <v>28</v>
      </c>
      <c r="DX36">
        <v>1</v>
      </c>
      <c r="EE36">
        <v>52362078</v>
      </c>
      <c r="EF36">
        <v>1</v>
      </c>
      <c r="EG36" t="s">
        <v>22</v>
      </c>
      <c r="EH36">
        <v>0</v>
      </c>
      <c r="EI36" t="s">
        <v>3</v>
      </c>
      <c r="EJ36">
        <v>4</v>
      </c>
      <c r="EK36">
        <v>0</v>
      </c>
      <c r="EL36" t="s">
        <v>23</v>
      </c>
      <c r="EM36" t="s">
        <v>24</v>
      </c>
      <c r="EO36" t="s">
        <v>3</v>
      </c>
      <c r="EQ36">
        <v>0</v>
      </c>
      <c r="ER36">
        <v>1763.75</v>
      </c>
      <c r="ES36">
        <v>1763.75</v>
      </c>
      <c r="ET36">
        <v>0</v>
      </c>
      <c r="EU36">
        <v>0</v>
      </c>
      <c r="EV36">
        <v>0</v>
      </c>
      <c r="EW36">
        <v>0</v>
      </c>
      <c r="EX36">
        <v>0</v>
      </c>
      <c r="FQ36">
        <v>0</v>
      </c>
      <c r="FR36">
        <f t="shared" si="59"/>
        <v>0</v>
      </c>
      <c r="FS36">
        <v>0</v>
      </c>
      <c r="FX36">
        <v>70</v>
      </c>
      <c r="FY36">
        <v>10</v>
      </c>
      <c r="GA36" t="s">
        <v>3</v>
      </c>
      <c r="GD36">
        <v>0</v>
      </c>
      <c r="GF36">
        <v>-886425656</v>
      </c>
      <c r="GG36">
        <v>2</v>
      </c>
      <c r="GH36">
        <v>1</v>
      </c>
      <c r="GI36">
        <v>-2</v>
      </c>
      <c r="GJ36">
        <v>0</v>
      </c>
      <c r="GK36">
        <f>ROUND(R36*(R12)/100,2)</f>
        <v>0</v>
      </c>
      <c r="GL36">
        <f t="shared" si="60"/>
        <v>0</v>
      </c>
      <c r="GM36">
        <f t="shared" si="61"/>
        <v>41123.599999999999</v>
      </c>
      <c r="GN36">
        <f t="shared" si="62"/>
        <v>0</v>
      </c>
      <c r="GO36">
        <f t="shared" si="63"/>
        <v>0</v>
      </c>
      <c r="GP36">
        <f t="shared" si="64"/>
        <v>41123.599999999999</v>
      </c>
      <c r="GR36">
        <v>0</v>
      </c>
      <c r="GS36">
        <v>3</v>
      </c>
      <c r="GT36">
        <v>0</v>
      </c>
      <c r="GU36" t="s">
        <v>3</v>
      </c>
      <c r="GV36">
        <f t="shared" si="65"/>
        <v>0</v>
      </c>
      <c r="GW36">
        <v>1</v>
      </c>
      <c r="GX36">
        <f t="shared" si="66"/>
        <v>0</v>
      </c>
      <c r="HA36">
        <v>0</v>
      </c>
      <c r="HB36">
        <v>0</v>
      </c>
      <c r="HC36">
        <f t="shared" si="67"/>
        <v>0</v>
      </c>
      <c r="HE36" t="s">
        <v>3</v>
      </c>
      <c r="HF36" t="s">
        <v>3</v>
      </c>
      <c r="IK36">
        <v>0</v>
      </c>
    </row>
    <row r="37" spans="1:245" x14ac:dyDescent="0.2">
      <c r="A37">
        <v>18</v>
      </c>
      <c r="B37">
        <v>1</v>
      </c>
      <c r="C37">
        <v>17</v>
      </c>
      <c r="E37" t="s">
        <v>44</v>
      </c>
      <c r="F37" t="s">
        <v>45</v>
      </c>
      <c r="G37" t="s">
        <v>46</v>
      </c>
      <c r="H37" t="s">
        <v>28</v>
      </c>
      <c r="I37">
        <f>I35*J37</f>
        <v>-23.315999999999999</v>
      </c>
      <c r="J37">
        <v>-17.399999999999999</v>
      </c>
      <c r="O37">
        <f t="shared" si="28"/>
        <v>-33493.43</v>
      </c>
      <c r="P37">
        <f t="shared" si="29"/>
        <v>-33493.43</v>
      </c>
      <c r="Q37">
        <f t="shared" si="30"/>
        <v>0</v>
      </c>
      <c r="R37">
        <f t="shared" si="31"/>
        <v>0</v>
      </c>
      <c r="S37">
        <f t="shared" si="32"/>
        <v>0</v>
      </c>
      <c r="T37">
        <f t="shared" si="33"/>
        <v>0</v>
      </c>
      <c r="U37">
        <f t="shared" si="34"/>
        <v>0</v>
      </c>
      <c r="V37">
        <f t="shared" si="35"/>
        <v>0</v>
      </c>
      <c r="W37">
        <f t="shared" si="36"/>
        <v>0</v>
      </c>
      <c r="X37">
        <f t="shared" si="37"/>
        <v>0</v>
      </c>
      <c r="Y37">
        <f t="shared" si="38"/>
        <v>0</v>
      </c>
      <c r="AA37">
        <v>52430918</v>
      </c>
      <c r="AB37">
        <f t="shared" si="39"/>
        <v>1436.5</v>
      </c>
      <c r="AC37">
        <f t="shared" si="40"/>
        <v>1436.5</v>
      </c>
      <c r="AD37">
        <f t="shared" si="41"/>
        <v>0</v>
      </c>
      <c r="AE37">
        <f t="shared" si="42"/>
        <v>0</v>
      </c>
      <c r="AF37">
        <f t="shared" si="43"/>
        <v>0</v>
      </c>
      <c r="AG37">
        <f t="shared" si="44"/>
        <v>0</v>
      </c>
      <c r="AH37">
        <f t="shared" si="45"/>
        <v>0</v>
      </c>
      <c r="AI37">
        <f t="shared" si="46"/>
        <v>0</v>
      </c>
      <c r="AJ37">
        <f t="shared" si="47"/>
        <v>0</v>
      </c>
      <c r="AK37">
        <v>1436.5</v>
      </c>
      <c r="AL37">
        <v>1436.5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70</v>
      </c>
      <c r="AU37">
        <v>10</v>
      </c>
      <c r="AV37">
        <v>1</v>
      </c>
      <c r="AW37">
        <v>1</v>
      </c>
      <c r="AZ37">
        <v>1</v>
      </c>
      <c r="BA37">
        <v>1</v>
      </c>
      <c r="BB37">
        <v>1</v>
      </c>
      <c r="BC37">
        <v>1</v>
      </c>
      <c r="BD37" t="s">
        <v>3</v>
      </c>
      <c r="BE37" t="s">
        <v>3</v>
      </c>
      <c r="BF37" t="s">
        <v>3</v>
      </c>
      <c r="BG37" t="s">
        <v>3</v>
      </c>
      <c r="BH37">
        <v>3</v>
      </c>
      <c r="BI37">
        <v>4</v>
      </c>
      <c r="BJ37" t="s">
        <v>47</v>
      </c>
      <c r="BM37">
        <v>0</v>
      </c>
      <c r="BN37">
        <v>0</v>
      </c>
      <c r="BO37" t="s">
        <v>3</v>
      </c>
      <c r="BP37">
        <v>0</v>
      </c>
      <c r="BQ37">
        <v>1</v>
      </c>
      <c r="BR37">
        <v>1</v>
      </c>
      <c r="BS37">
        <v>1</v>
      </c>
      <c r="BT37">
        <v>1</v>
      </c>
      <c r="BU37">
        <v>1</v>
      </c>
      <c r="BV37">
        <v>1</v>
      </c>
      <c r="BW37">
        <v>1</v>
      </c>
      <c r="BX37">
        <v>1</v>
      </c>
      <c r="BY37" t="s">
        <v>3</v>
      </c>
      <c r="BZ37">
        <v>70</v>
      </c>
      <c r="CA37">
        <v>10</v>
      </c>
      <c r="CE37">
        <v>0</v>
      </c>
      <c r="CF37">
        <v>0</v>
      </c>
      <c r="CG37">
        <v>0</v>
      </c>
      <c r="CM37">
        <v>0</v>
      </c>
      <c r="CN37" t="s">
        <v>3</v>
      </c>
      <c r="CO37">
        <v>0</v>
      </c>
      <c r="CP37">
        <f t="shared" si="48"/>
        <v>-33493.43</v>
      </c>
      <c r="CQ37">
        <f t="shared" si="49"/>
        <v>1436.5</v>
      </c>
      <c r="CR37">
        <f t="shared" si="50"/>
        <v>0</v>
      </c>
      <c r="CS37">
        <f t="shared" si="51"/>
        <v>0</v>
      </c>
      <c r="CT37">
        <f t="shared" si="52"/>
        <v>0</v>
      </c>
      <c r="CU37">
        <f t="shared" si="53"/>
        <v>0</v>
      </c>
      <c r="CV37">
        <f t="shared" si="54"/>
        <v>0</v>
      </c>
      <c r="CW37">
        <f t="shared" si="55"/>
        <v>0</v>
      </c>
      <c r="CX37">
        <f t="shared" si="56"/>
        <v>0</v>
      </c>
      <c r="CY37">
        <f t="shared" si="57"/>
        <v>0</v>
      </c>
      <c r="CZ37">
        <f t="shared" si="58"/>
        <v>0</v>
      </c>
      <c r="DC37" t="s">
        <v>3</v>
      </c>
      <c r="DD37" t="s">
        <v>3</v>
      </c>
      <c r="DE37" t="s">
        <v>3</v>
      </c>
      <c r="DF37" t="s">
        <v>3</v>
      </c>
      <c r="DG37" t="s">
        <v>3</v>
      </c>
      <c r="DH37" t="s">
        <v>3</v>
      </c>
      <c r="DI37" t="s">
        <v>3</v>
      </c>
      <c r="DJ37" t="s">
        <v>3</v>
      </c>
      <c r="DK37" t="s">
        <v>3</v>
      </c>
      <c r="DL37" t="s">
        <v>3</v>
      </c>
      <c r="DM37" t="s">
        <v>3</v>
      </c>
      <c r="DN37">
        <v>0</v>
      </c>
      <c r="DO37">
        <v>0</v>
      </c>
      <c r="DP37">
        <v>1</v>
      </c>
      <c r="DQ37">
        <v>1</v>
      </c>
      <c r="DU37">
        <v>1007</v>
      </c>
      <c r="DV37" t="s">
        <v>28</v>
      </c>
      <c r="DW37" t="s">
        <v>28</v>
      </c>
      <c r="DX37">
        <v>1</v>
      </c>
      <c r="EE37">
        <v>52362078</v>
      </c>
      <c r="EF37">
        <v>1</v>
      </c>
      <c r="EG37" t="s">
        <v>22</v>
      </c>
      <c r="EH37">
        <v>0</v>
      </c>
      <c r="EI37" t="s">
        <v>3</v>
      </c>
      <c r="EJ37">
        <v>4</v>
      </c>
      <c r="EK37">
        <v>0</v>
      </c>
      <c r="EL37" t="s">
        <v>23</v>
      </c>
      <c r="EM37" t="s">
        <v>24</v>
      </c>
      <c r="EO37" t="s">
        <v>3</v>
      </c>
      <c r="EQ37">
        <v>0</v>
      </c>
      <c r="ER37">
        <v>1436.5</v>
      </c>
      <c r="ES37">
        <v>1436.5</v>
      </c>
      <c r="ET37">
        <v>0</v>
      </c>
      <c r="EU37">
        <v>0</v>
      </c>
      <c r="EV37">
        <v>0</v>
      </c>
      <c r="EW37">
        <v>0</v>
      </c>
      <c r="EX37">
        <v>0</v>
      </c>
      <c r="FQ37">
        <v>0</v>
      </c>
      <c r="FR37">
        <f t="shared" si="59"/>
        <v>0</v>
      </c>
      <c r="FS37">
        <v>0</v>
      </c>
      <c r="FX37">
        <v>70</v>
      </c>
      <c r="FY37">
        <v>10</v>
      </c>
      <c r="GA37" t="s">
        <v>3</v>
      </c>
      <c r="GD37">
        <v>0</v>
      </c>
      <c r="GF37">
        <v>1744717608</v>
      </c>
      <c r="GG37">
        <v>2</v>
      </c>
      <c r="GH37">
        <v>1</v>
      </c>
      <c r="GI37">
        <v>-2</v>
      </c>
      <c r="GJ37">
        <v>0</v>
      </c>
      <c r="GK37">
        <f>ROUND(R37*(R12)/100,2)</f>
        <v>0</v>
      </c>
      <c r="GL37">
        <f t="shared" si="60"/>
        <v>0</v>
      </c>
      <c r="GM37">
        <f t="shared" si="61"/>
        <v>-33493.43</v>
      </c>
      <c r="GN37">
        <f t="shared" si="62"/>
        <v>0</v>
      </c>
      <c r="GO37">
        <f t="shared" si="63"/>
        <v>0</v>
      </c>
      <c r="GP37">
        <f t="shared" si="64"/>
        <v>-33493.43</v>
      </c>
      <c r="GR37">
        <v>0</v>
      </c>
      <c r="GS37">
        <v>3</v>
      </c>
      <c r="GT37">
        <v>0</v>
      </c>
      <c r="GU37" t="s">
        <v>3</v>
      </c>
      <c r="GV37">
        <f t="shared" si="65"/>
        <v>0</v>
      </c>
      <c r="GW37">
        <v>1</v>
      </c>
      <c r="GX37">
        <f t="shared" si="66"/>
        <v>0</v>
      </c>
      <c r="HA37">
        <v>0</v>
      </c>
      <c r="HB37">
        <v>0</v>
      </c>
      <c r="HC37">
        <f t="shared" si="67"/>
        <v>0</v>
      </c>
      <c r="HE37" t="s">
        <v>3</v>
      </c>
      <c r="HF37" t="s">
        <v>3</v>
      </c>
      <c r="IK37">
        <v>0</v>
      </c>
    </row>
    <row r="38" spans="1:245" x14ac:dyDescent="0.2">
      <c r="A38">
        <v>17</v>
      </c>
      <c r="B38">
        <v>1</v>
      </c>
      <c r="C38">
        <f>ROW(SmtRes!A22)</f>
        <v>22</v>
      </c>
      <c r="D38">
        <f>ROW(EtalonRes!A21)</f>
        <v>21</v>
      </c>
      <c r="E38" t="s">
        <v>48</v>
      </c>
      <c r="F38" t="s">
        <v>49</v>
      </c>
      <c r="G38" t="s">
        <v>50</v>
      </c>
      <c r="H38" t="s">
        <v>38</v>
      </c>
      <c r="I38">
        <f>ROUND(134/100,9)</f>
        <v>1.34</v>
      </c>
      <c r="J38">
        <v>0</v>
      </c>
      <c r="O38">
        <f t="shared" si="28"/>
        <v>32115.65</v>
      </c>
      <c r="P38">
        <f t="shared" si="29"/>
        <v>27455.06</v>
      </c>
      <c r="Q38">
        <f t="shared" si="30"/>
        <v>1504.9</v>
      </c>
      <c r="R38">
        <f t="shared" si="31"/>
        <v>632.1</v>
      </c>
      <c r="S38">
        <f t="shared" si="32"/>
        <v>3155.69</v>
      </c>
      <c r="T38">
        <f t="shared" si="33"/>
        <v>0</v>
      </c>
      <c r="U38">
        <f t="shared" si="34"/>
        <v>13.802000000000001</v>
      </c>
      <c r="V38">
        <f t="shared" si="35"/>
        <v>0</v>
      </c>
      <c r="W38">
        <f t="shared" si="36"/>
        <v>0</v>
      </c>
      <c r="X38">
        <f t="shared" si="37"/>
        <v>2208.98</v>
      </c>
      <c r="Y38">
        <f t="shared" si="38"/>
        <v>315.57</v>
      </c>
      <c r="AA38">
        <v>52430918</v>
      </c>
      <c r="AB38">
        <f t="shared" si="39"/>
        <v>23966.9</v>
      </c>
      <c r="AC38">
        <f t="shared" si="40"/>
        <v>20488.849999999999</v>
      </c>
      <c r="AD38">
        <f t="shared" si="41"/>
        <v>1123.06</v>
      </c>
      <c r="AE38">
        <f t="shared" si="42"/>
        <v>471.72</v>
      </c>
      <c r="AF38">
        <f t="shared" si="43"/>
        <v>2354.9899999999998</v>
      </c>
      <c r="AG38">
        <f t="shared" si="44"/>
        <v>0</v>
      </c>
      <c r="AH38">
        <f t="shared" si="45"/>
        <v>10.3</v>
      </c>
      <c r="AI38">
        <f t="shared" si="46"/>
        <v>0</v>
      </c>
      <c r="AJ38">
        <f t="shared" si="47"/>
        <v>0</v>
      </c>
      <c r="AK38">
        <v>23966.9</v>
      </c>
      <c r="AL38">
        <v>20488.849999999999</v>
      </c>
      <c r="AM38">
        <v>1123.06</v>
      </c>
      <c r="AN38">
        <v>471.72</v>
      </c>
      <c r="AO38">
        <v>2354.9899999999998</v>
      </c>
      <c r="AP38">
        <v>0</v>
      </c>
      <c r="AQ38">
        <v>10.3</v>
      </c>
      <c r="AR38">
        <v>0</v>
      </c>
      <c r="AS38">
        <v>0</v>
      </c>
      <c r="AT38">
        <v>70</v>
      </c>
      <c r="AU38">
        <v>10</v>
      </c>
      <c r="AV38">
        <v>1</v>
      </c>
      <c r="AW38">
        <v>1</v>
      </c>
      <c r="AZ38">
        <v>1</v>
      </c>
      <c r="BA38">
        <v>1</v>
      </c>
      <c r="BB38">
        <v>1</v>
      </c>
      <c r="BC38">
        <v>1</v>
      </c>
      <c r="BD38" t="s">
        <v>3</v>
      </c>
      <c r="BE38" t="s">
        <v>3</v>
      </c>
      <c r="BF38" t="s">
        <v>3</v>
      </c>
      <c r="BG38" t="s">
        <v>3</v>
      </c>
      <c r="BH38">
        <v>0</v>
      </c>
      <c r="BI38">
        <v>4</v>
      </c>
      <c r="BJ38" t="s">
        <v>51</v>
      </c>
      <c r="BM38">
        <v>0</v>
      </c>
      <c r="BN38">
        <v>0</v>
      </c>
      <c r="BO38" t="s">
        <v>3</v>
      </c>
      <c r="BP38">
        <v>0</v>
      </c>
      <c r="BQ38">
        <v>1</v>
      </c>
      <c r="BR38">
        <v>0</v>
      </c>
      <c r="BS38">
        <v>1</v>
      </c>
      <c r="BT38">
        <v>1</v>
      </c>
      <c r="BU38">
        <v>1</v>
      </c>
      <c r="BV38">
        <v>1</v>
      </c>
      <c r="BW38">
        <v>1</v>
      </c>
      <c r="BX38">
        <v>1</v>
      </c>
      <c r="BY38" t="s">
        <v>3</v>
      </c>
      <c r="BZ38">
        <v>70</v>
      </c>
      <c r="CA38">
        <v>10</v>
      </c>
      <c r="CE38">
        <v>0</v>
      </c>
      <c r="CF38">
        <v>0</v>
      </c>
      <c r="CG38">
        <v>0</v>
      </c>
      <c r="CM38">
        <v>0</v>
      </c>
      <c r="CN38" t="s">
        <v>3</v>
      </c>
      <c r="CO38">
        <v>0</v>
      </c>
      <c r="CP38">
        <f t="shared" si="48"/>
        <v>32115.65</v>
      </c>
      <c r="CQ38">
        <f t="shared" si="49"/>
        <v>20488.849999999999</v>
      </c>
      <c r="CR38">
        <f t="shared" si="50"/>
        <v>1123.06</v>
      </c>
      <c r="CS38">
        <f t="shared" si="51"/>
        <v>471.72</v>
      </c>
      <c r="CT38">
        <f t="shared" si="52"/>
        <v>2354.9899999999998</v>
      </c>
      <c r="CU38">
        <f t="shared" si="53"/>
        <v>0</v>
      </c>
      <c r="CV38">
        <f t="shared" si="54"/>
        <v>10.3</v>
      </c>
      <c r="CW38">
        <f t="shared" si="55"/>
        <v>0</v>
      </c>
      <c r="CX38">
        <f t="shared" si="56"/>
        <v>0</v>
      </c>
      <c r="CY38">
        <f t="shared" si="57"/>
        <v>2208.9830000000002</v>
      </c>
      <c r="CZ38">
        <f t="shared" si="58"/>
        <v>315.56900000000002</v>
      </c>
      <c r="DC38" t="s">
        <v>3</v>
      </c>
      <c r="DD38" t="s">
        <v>3</v>
      </c>
      <c r="DE38" t="s">
        <v>3</v>
      </c>
      <c r="DF38" t="s">
        <v>3</v>
      </c>
      <c r="DG38" t="s">
        <v>3</v>
      </c>
      <c r="DH38" t="s">
        <v>3</v>
      </c>
      <c r="DI38" t="s">
        <v>3</v>
      </c>
      <c r="DJ38" t="s">
        <v>3</v>
      </c>
      <c r="DK38" t="s">
        <v>3</v>
      </c>
      <c r="DL38" t="s">
        <v>3</v>
      </c>
      <c r="DM38" t="s">
        <v>3</v>
      </c>
      <c r="DN38">
        <v>0</v>
      </c>
      <c r="DO38">
        <v>0</v>
      </c>
      <c r="DP38">
        <v>1</v>
      </c>
      <c r="DQ38">
        <v>1</v>
      </c>
      <c r="DU38">
        <v>1005</v>
      </c>
      <c r="DV38" t="s">
        <v>38</v>
      </c>
      <c r="DW38" t="s">
        <v>38</v>
      </c>
      <c r="DX38">
        <v>100</v>
      </c>
      <c r="EE38">
        <v>52362078</v>
      </c>
      <c r="EF38">
        <v>1</v>
      </c>
      <c r="EG38" t="s">
        <v>22</v>
      </c>
      <c r="EH38">
        <v>0</v>
      </c>
      <c r="EI38" t="s">
        <v>3</v>
      </c>
      <c r="EJ38">
        <v>4</v>
      </c>
      <c r="EK38">
        <v>0</v>
      </c>
      <c r="EL38" t="s">
        <v>23</v>
      </c>
      <c r="EM38" t="s">
        <v>24</v>
      </c>
      <c r="EO38" t="s">
        <v>3</v>
      </c>
      <c r="EQ38">
        <v>131072</v>
      </c>
      <c r="ER38">
        <v>23966.9</v>
      </c>
      <c r="ES38">
        <v>20488.849999999999</v>
      </c>
      <c r="ET38">
        <v>1123.06</v>
      </c>
      <c r="EU38">
        <v>471.72</v>
      </c>
      <c r="EV38">
        <v>2354.9899999999998</v>
      </c>
      <c r="EW38">
        <v>10.3</v>
      </c>
      <c r="EX38">
        <v>0</v>
      </c>
      <c r="EY38">
        <v>0</v>
      </c>
      <c r="FQ38">
        <v>0</v>
      </c>
      <c r="FR38">
        <f t="shared" si="59"/>
        <v>0</v>
      </c>
      <c r="FS38">
        <v>0</v>
      </c>
      <c r="FX38">
        <v>70</v>
      </c>
      <c r="FY38">
        <v>10</v>
      </c>
      <c r="GA38" t="s">
        <v>3</v>
      </c>
      <c r="GD38">
        <v>0</v>
      </c>
      <c r="GF38">
        <v>280582152</v>
      </c>
      <c r="GG38">
        <v>2</v>
      </c>
      <c r="GH38">
        <v>1</v>
      </c>
      <c r="GI38">
        <v>-2</v>
      </c>
      <c r="GJ38">
        <v>0</v>
      </c>
      <c r="GK38">
        <f>ROUND(R38*(R12)/100,2)</f>
        <v>682.67</v>
      </c>
      <c r="GL38">
        <f t="shared" si="60"/>
        <v>0</v>
      </c>
      <c r="GM38">
        <f t="shared" si="61"/>
        <v>35322.870000000003</v>
      </c>
      <c r="GN38">
        <f t="shared" si="62"/>
        <v>0</v>
      </c>
      <c r="GO38">
        <f t="shared" si="63"/>
        <v>0</v>
      </c>
      <c r="GP38">
        <f t="shared" si="64"/>
        <v>35322.870000000003</v>
      </c>
      <c r="GR38">
        <v>0</v>
      </c>
      <c r="GS38">
        <v>3</v>
      </c>
      <c r="GT38">
        <v>0</v>
      </c>
      <c r="GU38" t="s">
        <v>3</v>
      </c>
      <c r="GV38">
        <f t="shared" si="65"/>
        <v>0</v>
      </c>
      <c r="GW38">
        <v>1</v>
      </c>
      <c r="GX38">
        <f t="shared" si="66"/>
        <v>0</v>
      </c>
      <c r="HA38">
        <v>0</v>
      </c>
      <c r="HB38">
        <v>0</v>
      </c>
      <c r="HC38">
        <f t="shared" si="67"/>
        <v>0</v>
      </c>
      <c r="HE38" t="s">
        <v>3</v>
      </c>
      <c r="HF38" t="s">
        <v>3</v>
      </c>
      <c r="IK38">
        <v>0</v>
      </c>
    </row>
    <row r="39" spans="1:245" x14ac:dyDescent="0.2">
      <c r="A39">
        <v>17</v>
      </c>
      <c r="B39">
        <v>1</v>
      </c>
      <c r="C39">
        <f>ROW(SmtRes!A32)</f>
        <v>32</v>
      </c>
      <c r="D39">
        <f>ROW(EtalonRes!A31)</f>
        <v>31</v>
      </c>
      <c r="E39" t="s">
        <v>52</v>
      </c>
      <c r="F39" t="s">
        <v>53</v>
      </c>
      <c r="G39" t="s">
        <v>54</v>
      </c>
      <c r="H39" t="s">
        <v>38</v>
      </c>
      <c r="I39">
        <f>ROUND(134/100,9)</f>
        <v>1.34</v>
      </c>
      <c r="J39">
        <v>0</v>
      </c>
      <c r="O39">
        <f t="shared" si="28"/>
        <v>146131.69</v>
      </c>
      <c r="P39">
        <f t="shared" si="29"/>
        <v>137161.89000000001</v>
      </c>
      <c r="Q39">
        <f t="shared" si="30"/>
        <v>3507.12</v>
      </c>
      <c r="R39">
        <f t="shared" si="31"/>
        <v>2765.04</v>
      </c>
      <c r="S39">
        <f t="shared" si="32"/>
        <v>5462.68</v>
      </c>
      <c r="T39">
        <f t="shared" si="33"/>
        <v>0</v>
      </c>
      <c r="U39">
        <f t="shared" si="34"/>
        <v>24.709600000000002</v>
      </c>
      <c r="V39">
        <f t="shared" si="35"/>
        <v>0</v>
      </c>
      <c r="W39">
        <f t="shared" si="36"/>
        <v>0</v>
      </c>
      <c r="X39">
        <f t="shared" si="37"/>
        <v>3823.88</v>
      </c>
      <c r="Y39">
        <f t="shared" si="38"/>
        <v>546.27</v>
      </c>
      <c r="AA39">
        <v>52430918</v>
      </c>
      <c r="AB39">
        <f t="shared" si="39"/>
        <v>109053.5</v>
      </c>
      <c r="AC39">
        <f t="shared" si="40"/>
        <v>102359.62</v>
      </c>
      <c r="AD39">
        <f t="shared" si="41"/>
        <v>2617.25</v>
      </c>
      <c r="AE39">
        <f t="shared" si="42"/>
        <v>2063.46</v>
      </c>
      <c r="AF39">
        <f t="shared" si="43"/>
        <v>4076.63</v>
      </c>
      <c r="AG39">
        <f t="shared" si="44"/>
        <v>0</v>
      </c>
      <c r="AH39">
        <f t="shared" si="45"/>
        <v>18.440000000000001</v>
      </c>
      <c r="AI39">
        <f t="shared" si="46"/>
        <v>0</v>
      </c>
      <c r="AJ39">
        <f t="shared" si="47"/>
        <v>0</v>
      </c>
      <c r="AK39">
        <v>109053.5</v>
      </c>
      <c r="AL39">
        <v>102359.62</v>
      </c>
      <c r="AM39">
        <v>2617.25</v>
      </c>
      <c r="AN39">
        <v>2063.46</v>
      </c>
      <c r="AO39">
        <v>4076.63</v>
      </c>
      <c r="AP39">
        <v>0</v>
      </c>
      <c r="AQ39">
        <v>18.440000000000001</v>
      </c>
      <c r="AR39">
        <v>0</v>
      </c>
      <c r="AS39">
        <v>0</v>
      </c>
      <c r="AT39">
        <v>70</v>
      </c>
      <c r="AU39">
        <v>10</v>
      </c>
      <c r="AV39">
        <v>1</v>
      </c>
      <c r="AW39">
        <v>1</v>
      </c>
      <c r="AZ39">
        <v>1</v>
      </c>
      <c r="BA39">
        <v>1</v>
      </c>
      <c r="BB39">
        <v>1</v>
      </c>
      <c r="BC39">
        <v>1</v>
      </c>
      <c r="BD39" t="s">
        <v>3</v>
      </c>
      <c r="BE39" t="s">
        <v>3</v>
      </c>
      <c r="BF39" t="s">
        <v>3</v>
      </c>
      <c r="BG39" t="s">
        <v>3</v>
      </c>
      <c r="BH39">
        <v>0</v>
      </c>
      <c r="BI39">
        <v>4</v>
      </c>
      <c r="BJ39" t="s">
        <v>55</v>
      </c>
      <c r="BM39">
        <v>0</v>
      </c>
      <c r="BN39">
        <v>0</v>
      </c>
      <c r="BO39" t="s">
        <v>3</v>
      </c>
      <c r="BP39">
        <v>0</v>
      </c>
      <c r="BQ39">
        <v>1</v>
      </c>
      <c r="BR39">
        <v>0</v>
      </c>
      <c r="BS39">
        <v>1</v>
      </c>
      <c r="BT39">
        <v>1</v>
      </c>
      <c r="BU39">
        <v>1</v>
      </c>
      <c r="BV39">
        <v>1</v>
      </c>
      <c r="BW39">
        <v>1</v>
      </c>
      <c r="BX39">
        <v>1</v>
      </c>
      <c r="BY39" t="s">
        <v>3</v>
      </c>
      <c r="BZ39">
        <v>70</v>
      </c>
      <c r="CA39">
        <v>10</v>
      </c>
      <c r="CE39">
        <v>0</v>
      </c>
      <c r="CF39">
        <v>0</v>
      </c>
      <c r="CG39">
        <v>0</v>
      </c>
      <c r="CM39">
        <v>0</v>
      </c>
      <c r="CN39" t="s">
        <v>3</v>
      </c>
      <c r="CO39">
        <v>0</v>
      </c>
      <c r="CP39">
        <f t="shared" si="48"/>
        <v>146131.69</v>
      </c>
      <c r="CQ39">
        <f t="shared" si="49"/>
        <v>102359.62</v>
      </c>
      <c r="CR39">
        <f t="shared" si="50"/>
        <v>2617.25</v>
      </c>
      <c r="CS39">
        <f t="shared" si="51"/>
        <v>2063.46</v>
      </c>
      <c r="CT39">
        <f t="shared" si="52"/>
        <v>4076.63</v>
      </c>
      <c r="CU39">
        <f t="shared" si="53"/>
        <v>0</v>
      </c>
      <c r="CV39">
        <f t="shared" si="54"/>
        <v>18.440000000000001</v>
      </c>
      <c r="CW39">
        <f t="shared" si="55"/>
        <v>0</v>
      </c>
      <c r="CX39">
        <f t="shared" si="56"/>
        <v>0</v>
      </c>
      <c r="CY39">
        <f t="shared" si="57"/>
        <v>3823.8760000000002</v>
      </c>
      <c r="CZ39">
        <f t="shared" si="58"/>
        <v>546.26800000000003</v>
      </c>
      <c r="DC39" t="s">
        <v>3</v>
      </c>
      <c r="DD39" t="s">
        <v>3</v>
      </c>
      <c r="DE39" t="s">
        <v>3</v>
      </c>
      <c r="DF39" t="s">
        <v>3</v>
      </c>
      <c r="DG39" t="s">
        <v>3</v>
      </c>
      <c r="DH39" t="s">
        <v>3</v>
      </c>
      <c r="DI39" t="s">
        <v>3</v>
      </c>
      <c r="DJ39" t="s">
        <v>3</v>
      </c>
      <c r="DK39" t="s">
        <v>3</v>
      </c>
      <c r="DL39" t="s">
        <v>3</v>
      </c>
      <c r="DM39" t="s">
        <v>3</v>
      </c>
      <c r="DN39">
        <v>0</v>
      </c>
      <c r="DO39">
        <v>0</v>
      </c>
      <c r="DP39">
        <v>1</v>
      </c>
      <c r="DQ39">
        <v>1</v>
      </c>
      <c r="DU39">
        <v>1005</v>
      </c>
      <c r="DV39" t="s">
        <v>38</v>
      </c>
      <c r="DW39" t="s">
        <v>38</v>
      </c>
      <c r="DX39">
        <v>100</v>
      </c>
      <c r="EE39">
        <v>52362078</v>
      </c>
      <c r="EF39">
        <v>1</v>
      </c>
      <c r="EG39" t="s">
        <v>22</v>
      </c>
      <c r="EH39">
        <v>0</v>
      </c>
      <c r="EI39" t="s">
        <v>3</v>
      </c>
      <c r="EJ39">
        <v>4</v>
      </c>
      <c r="EK39">
        <v>0</v>
      </c>
      <c r="EL39" t="s">
        <v>23</v>
      </c>
      <c r="EM39" t="s">
        <v>24</v>
      </c>
      <c r="EO39" t="s">
        <v>3</v>
      </c>
      <c r="EQ39">
        <v>131072</v>
      </c>
      <c r="ER39">
        <v>109053.5</v>
      </c>
      <c r="ES39">
        <v>102359.62</v>
      </c>
      <c r="ET39">
        <v>2617.25</v>
      </c>
      <c r="EU39">
        <v>2063.46</v>
      </c>
      <c r="EV39">
        <v>4076.63</v>
      </c>
      <c r="EW39">
        <v>18.440000000000001</v>
      </c>
      <c r="EX39">
        <v>0</v>
      </c>
      <c r="EY39">
        <v>0</v>
      </c>
      <c r="FQ39">
        <v>0</v>
      </c>
      <c r="FR39">
        <f t="shared" si="59"/>
        <v>0</v>
      </c>
      <c r="FS39">
        <v>0</v>
      </c>
      <c r="FX39">
        <v>70</v>
      </c>
      <c r="FY39">
        <v>10</v>
      </c>
      <c r="GA39" t="s">
        <v>3</v>
      </c>
      <c r="GD39">
        <v>0</v>
      </c>
      <c r="GF39">
        <v>-2129199936</v>
      </c>
      <c r="GG39">
        <v>2</v>
      </c>
      <c r="GH39">
        <v>1</v>
      </c>
      <c r="GI39">
        <v>-2</v>
      </c>
      <c r="GJ39">
        <v>0</v>
      </c>
      <c r="GK39">
        <f>ROUND(R39*(R12)/100,2)</f>
        <v>2986.24</v>
      </c>
      <c r="GL39">
        <f t="shared" si="60"/>
        <v>0</v>
      </c>
      <c r="GM39">
        <f t="shared" si="61"/>
        <v>153488.07999999999</v>
      </c>
      <c r="GN39">
        <f t="shared" si="62"/>
        <v>0</v>
      </c>
      <c r="GO39">
        <f t="shared" si="63"/>
        <v>0</v>
      </c>
      <c r="GP39">
        <f t="shared" si="64"/>
        <v>153488.07999999999</v>
      </c>
      <c r="GR39">
        <v>0</v>
      </c>
      <c r="GS39">
        <v>3</v>
      </c>
      <c r="GT39">
        <v>0</v>
      </c>
      <c r="GU39" t="s">
        <v>3</v>
      </c>
      <c r="GV39">
        <f t="shared" si="65"/>
        <v>0</v>
      </c>
      <c r="GW39">
        <v>1</v>
      </c>
      <c r="GX39">
        <f t="shared" si="66"/>
        <v>0</v>
      </c>
      <c r="HA39">
        <v>0</v>
      </c>
      <c r="HB39">
        <v>0</v>
      </c>
      <c r="HC39">
        <f t="shared" si="67"/>
        <v>0</v>
      </c>
      <c r="HE39" t="s">
        <v>3</v>
      </c>
      <c r="HF39" t="s">
        <v>3</v>
      </c>
      <c r="IK39">
        <v>0</v>
      </c>
    </row>
    <row r="40" spans="1:245" x14ac:dyDescent="0.2">
      <c r="A40">
        <v>17</v>
      </c>
      <c r="B40">
        <v>1</v>
      </c>
      <c r="C40">
        <f>ROW(SmtRes!A38)</f>
        <v>38</v>
      </c>
      <c r="D40">
        <f>ROW(EtalonRes!A37)</f>
        <v>37</v>
      </c>
      <c r="E40" t="s">
        <v>56</v>
      </c>
      <c r="F40" t="s">
        <v>57</v>
      </c>
      <c r="G40" t="s">
        <v>58</v>
      </c>
      <c r="H40" t="s">
        <v>38</v>
      </c>
      <c r="I40">
        <f>ROUND(134/100,9)</f>
        <v>1.34</v>
      </c>
      <c r="J40">
        <v>0</v>
      </c>
      <c r="O40">
        <f t="shared" si="28"/>
        <v>26884.58</v>
      </c>
      <c r="P40">
        <f t="shared" si="29"/>
        <v>25416.61</v>
      </c>
      <c r="Q40">
        <f t="shared" si="30"/>
        <v>660.43</v>
      </c>
      <c r="R40">
        <f t="shared" si="31"/>
        <v>522.09</v>
      </c>
      <c r="S40">
        <f t="shared" si="32"/>
        <v>807.54</v>
      </c>
      <c r="T40">
        <f t="shared" si="33"/>
        <v>0</v>
      </c>
      <c r="U40">
        <f t="shared" si="34"/>
        <v>3.5510000000000002</v>
      </c>
      <c r="V40">
        <f t="shared" si="35"/>
        <v>0</v>
      </c>
      <c r="W40">
        <f t="shared" si="36"/>
        <v>0</v>
      </c>
      <c r="X40">
        <f t="shared" si="37"/>
        <v>565.28</v>
      </c>
      <c r="Y40">
        <f t="shared" si="38"/>
        <v>80.75</v>
      </c>
      <c r="AA40">
        <v>52430918</v>
      </c>
      <c r="AB40">
        <f t="shared" si="39"/>
        <v>20063.12</v>
      </c>
      <c r="AC40">
        <f t="shared" si="40"/>
        <v>18967.62</v>
      </c>
      <c r="AD40">
        <f t="shared" si="41"/>
        <v>492.86</v>
      </c>
      <c r="AE40">
        <f t="shared" si="42"/>
        <v>389.62</v>
      </c>
      <c r="AF40">
        <f t="shared" si="43"/>
        <v>602.64</v>
      </c>
      <c r="AG40">
        <f t="shared" si="44"/>
        <v>0</v>
      </c>
      <c r="AH40">
        <f t="shared" si="45"/>
        <v>2.65</v>
      </c>
      <c r="AI40">
        <f t="shared" si="46"/>
        <v>0</v>
      </c>
      <c r="AJ40">
        <f t="shared" si="47"/>
        <v>0</v>
      </c>
      <c r="AK40">
        <v>20063.12</v>
      </c>
      <c r="AL40">
        <v>18967.62</v>
      </c>
      <c r="AM40">
        <v>492.86</v>
      </c>
      <c r="AN40">
        <v>389.62</v>
      </c>
      <c r="AO40">
        <v>602.64</v>
      </c>
      <c r="AP40">
        <v>0</v>
      </c>
      <c r="AQ40">
        <v>2.65</v>
      </c>
      <c r="AR40">
        <v>0</v>
      </c>
      <c r="AS40">
        <v>0</v>
      </c>
      <c r="AT40">
        <v>70</v>
      </c>
      <c r="AU40">
        <v>10</v>
      </c>
      <c r="AV40">
        <v>1</v>
      </c>
      <c r="AW40">
        <v>1</v>
      </c>
      <c r="AZ40">
        <v>1</v>
      </c>
      <c r="BA40">
        <v>1</v>
      </c>
      <c r="BB40">
        <v>1</v>
      </c>
      <c r="BC40">
        <v>1</v>
      </c>
      <c r="BD40" t="s">
        <v>3</v>
      </c>
      <c r="BE40" t="s">
        <v>3</v>
      </c>
      <c r="BF40" t="s">
        <v>3</v>
      </c>
      <c r="BG40" t="s">
        <v>3</v>
      </c>
      <c r="BH40">
        <v>0</v>
      </c>
      <c r="BI40">
        <v>4</v>
      </c>
      <c r="BJ40" t="s">
        <v>59</v>
      </c>
      <c r="BM40">
        <v>0</v>
      </c>
      <c r="BN40">
        <v>0</v>
      </c>
      <c r="BO40" t="s">
        <v>3</v>
      </c>
      <c r="BP40">
        <v>0</v>
      </c>
      <c r="BQ40">
        <v>1</v>
      </c>
      <c r="BR40">
        <v>0</v>
      </c>
      <c r="BS40">
        <v>1</v>
      </c>
      <c r="BT40">
        <v>1</v>
      </c>
      <c r="BU40">
        <v>1</v>
      </c>
      <c r="BV40">
        <v>1</v>
      </c>
      <c r="BW40">
        <v>1</v>
      </c>
      <c r="BX40">
        <v>1</v>
      </c>
      <c r="BY40" t="s">
        <v>3</v>
      </c>
      <c r="BZ40">
        <v>70</v>
      </c>
      <c r="CA40">
        <v>10</v>
      </c>
      <c r="CE40">
        <v>0</v>
      </c>
      <c r="CF40">
        <v>0</v>
      </c>
      <c r="CG40">
        <v>0</v>
      </c>
      <c r="CM40">
        <v>0</v>
      </c>
      <c r="CN40" t="s">
        <v>3</v>
      </c>
      <c r="CO40">
        <v>0</v>
      </c>
      <c r="CP40">
        <f t="shared" si="48"/>
        <v>26884.58</v>
      </c>
      <c r="CQ40">
        <f t="shared" si="49"/>
        <v>18967.62</v>
      </c>
      <c r="CR40">
        <f t="shared" si="50"/>
        <v>492.86</v>
      </c>
      <c r="CS40">
        <f t="shared" si="51"/>
        <v>389.62</v>
      </c>
      <c r="CT40">
        <f t="shared" si="52"/>
        <v>602.64</v>
      </c>
      <c r="CU40">
        <f t="shared" si="53"/>
        <v>0</v>
      </c>
      <c r="CV40">
        <f t="shared" si="54"/>
        <v>2.65</v>
      </c>
      <c r="CW40">
        <f t="shared" si="55"/>
        <v>0</v>
      </c>
      <c r="CX40">
        <f t="shared" si="56"/>
        <v>0</v>
      </c>
      <c r="CY40">
        <f t="shared" si="57"/>
        <v>565.27799999999991</v>
      </c>
      <c r="CZ40">
        <f t="shared" si="58"/>
        <v>80.753999999999991</v>
      </c>
      <c r="DC40" t="s">
        <v>3</v>
      </c>
      <c r="DD40" t="s">
        <v>3</v>
      </c>
      <c r="DE40" t="s">
        <v>3</v>
      </c>
      <c r="DF40" t="s">
        <v>3</v>
      </c>
      <c r="DG40" t="s">
        <v>3</v>
      </c>
      <c r="DH40" t="s">
        <v>3</v>
      </c>
      <c r="DI40" t="s">
        <v>3</v>
      </c>
      <c r="DJ40" t="s">
        <v>3</v>
      </c>
      <c r="DK40" t="s">
        <v>3</v>
      </c>
      <c r="DL40" t="s">
        <v>3</v>
      </c>
      <c r="DM40" t="s">
        <v>3</v>
      </c>
      <c r="DN40">
        <v>0</v>
      </c>
      <c r="DO40">
        <v>0</v>
      </c>
      <c r="DP40">
        <v>1</v>
      </c>
      <c r="DQ40">
        <v>1</v>
      </c>
      <c r="DU40">
        <v>1005</v>
      </c>
      <c r="DV40" t="s">
        <v>38</v>
      </c>
      <c r="DW40" t="s">
        <v>38</v>
      </c>
      <c r="DX40">
        <v>100</v>
      </c>
      <c r="EE40">
        <v>52362078</v>
      </c>
      <c r="EF40">
        <v>1</v>
      </c>
      <c r="EG40" t="s">
        <v>22</v>
      </c>
      <c r="EH40">
        <v>0</v>
      </c>
      <c r="EI40" t="s">
        <v>3</v>
      </c>
      <c r="EJ40">
        <v>4</v>
      </c>
      <c r="EK40">
        <v>0</v>
      </c>
      <c r="EL40" t="s">
        <v>23</v>
      </c>
      <c r="EM40" t="s">
        <v>24</v>
      </c>
      <c r="EO40" t="s">
        <v>3</v>
      </c>
      <c r="EQ40">
        <v>131072</v>
      </c>
      <c r="ER40">
        <v>20063.12</v>
      </c>
      <c r="ES40">
        <v>18967.62</v>
      </c>
      <c r="ET40">
        <v>492.86</v>
      </c>
      <c r="EU40">
        <v>389.62</v>
      </c>
      <c r="EV40">
        <v>602.64</v>
      </c>
      <c r="EW40">
        <v>2.65</v>
      </c>
      <c r="EX40">
        <v>0</v>
      </c>
      <c r="EY40">
        <v>0</v>
      </c>
      <c r="FQ40">
        <v>0</v>
      </c>
      <c r="FR40">
        <f t="shared" si="59"/>
        <v>0</v>
      </c>
      <c r="FS40">
        <v>0</v>
      </c>
      <c r="FX40">
        <v>70</v>
      </c>
      <c r="FY40">
        <v>10</v>
      </c>
      <c r="GA40" t="s">
        <v>3</v>
      </c>
      <c r="GD40">
        <v>0</v>
      </c>
      <c r="GF40">
        <v>-1181657983</v>
      </c>
      <c r="GG40">
        <v>2</v>
      </c>
      <c r="GH40">
        <v>1</v>
      </c>
      <c r="GI40">
        <v>-2</v>
      </c>
      <c r="GJ40">
        <v>0</v>
      </c>
      <c r="GK40">
        <f>ROUND(R40*(R12)/100,2)</f>
        <v>563.86</v>
      </c>
      <c r="GL40">
        <f t="shared" si="60"/>
        <v>0</v>
      </c>
      <c r="GM40">
        <f t="shared" si="61"/>
        <v>28094.47</v>
      </c>
      <c r="GN40">
        <f t="shared" si="62"/>
        <v>0</v>
      </c>
      <c r="GO40">
        <f t="shared" si="63"/>
        <v>0</v>
      </c>
      <c r="GP40">
        <f t="shared" si="64"/>
        <v>28094.47</v>
      </c>
      <c r="GR40">
        <v>0</v>
      </c>
      <c r="GS40">
        <v>3</v>
      </c>
      <c r="GT40">
        <v>0</v>
      </c>
      <c r="GU40" t="s">
        <v>3</v>
      </c>
      <c r="GV40">
        <f t="shared" si="65"/>
        <v>0</v>
      </c>
      <c r="GW40">
        <v>1</v>
      </c>
      <c r="GX40">
        <f t="shared" si="66"/>
        <v>0</v>
      </c>
      <c r="HA40">
        <v>0</v>
      </c>
      <c r="HB40">
        <v>0</v>
      </c>
      <c r="HC40">
        <f t="shared" si="67"/>
        <v>0</v>
      </c>
      <c r="HE40" t="s">
        <v>3</v>
      </c>
      <c r="HF40" t="s">
        <v>3</v>
      </c>
      <c r="IK40">
        <v>0</v>
      </c>
    </row>
    <row r="41" spans="1:245" x14ac:dyDescent="0.2">
      <c r="A41">
        <v>17</v>
      </c>
      <c r="B41">
        <v>1</v>
      </c>
      <c r="C41">
        <f>ROW(SmtRes!A39)</f>
        <v>39</v>
      </c>
      <c r="D41">
        <f>ROW(EtalonRes!A38)</f>
        <v>38</v>
      </c>
      <c r="E41" t="s">
        <v>60</v>
      </c>
      <c r="F41" t="s">
        <v>61</v>
      </c>
      <c r="G41" t="s">
        <v>62</v>
      </c>
      <c r="H41" t="s">
        <v>33</v>
      </c>
      <c r="I41">
        <v>0</v>
      </c>
      <c r="J41">
        <v>0</v>
      </c>
      <c r="O41">
        <f t="shared" si="28"/>
        <v>0</v>
      </c>
      <c r="P41">
        <f t="shared" si="29"/>
        <v>0</v>
      </c>
      <c r="Q41">
        <f t="shared" si="30"/>
        <v>0</v>
      </c>
      <c r="R41">
        <f t="shared" si="31"/>
        <v>0</v>
      </c>
      <c r="S41">
        <f t="shared" si="32"/>
        <v>0</v>
      </c>
      <c r="T41">
        <f t="shared" si="33"/>
        <v>0</v>
      </c>
      <c r="U41">
        <f t="shared" si="34"/>
        <v>0</v>
      </c>
      <c r="V41">
        <f t="shared" si="35"/>
        <v>0</v>
      </c>
      <c r="W41">
        <f t="shared" si="36"/>
        <v>0</v>
      </c>
      <c r="X41">
        <f t="shared" si="37"/>
        <v>0</v>
      </c>
      <c r="Y41">
        <f t="shared" si="38"/>
        <v>0</v>
      </c>
      <c r="AA41">
        <v>52430918</v>
      </c>
      <c r="AB41">
        <f t="shared" si="39"/>
        <v>41951.1</v>
      </c>
      <c r="AC41">
        <f t="shared" si="40"/>
        <v>0</v>
      </c>
      <c r="AD41">
        <f t="shared" si="41"/>
        <v>0</v>
      </c>
      <c r="AE41">
        <f t="shared" si="42"/>
        <v>0</v>
      </c>
      <c r="AF41">
        <f t="shared" si="43"/>
        <v>41951.1</v>
      </c>
      <c r="AG41">
        <f t="shared" si="44"/>
        <v>0</v>
      </c>
      <c r="AH41">
        <f t="shared" si="45"/>
        <v>221.6</v>
      </c>
      <c r="AI41">
        <f t="shared" si="46"/>
        <v>0</v>
      </c>
      <c r="AJ41">
        <f t="shared" si="47"/>
        <v>0</v>
      </c>
      <c r="AK41">
        <v>41951.1</v>
      </c>
      <c r="AL41">
        <v>0</v>
      </c>
      <c r="AM41">
        <v>0</v>
      </c>
      <c r="AN41">
        <v>0</v>
      </c>
      <c r="AO41">
        <v>41951.1</v>
      </c>
      <c r="AP41">
        <v>0</v>
      </c>
      <c r="AQ41">
        <v>221.6</v>
      </c>
      <c r="AR41">
        <v>0</v>
      </c>
      <c r="AS41">
        <v>0</v>
      </c>
      <c r="AT41">
        <v>70</v>
      </c>
      <c r="AU41">
        <v>10</v>
      </c>
      <c r="AV41">
        <v>1</v>
      </c>
      <c r="AW41">
        <v>1</v>
      </c>
      <c r="AZ41">
        <v>1</v>
      </c>
      <c r="BA41">
        <v>1</v>
      </c>
      <c r="BB41">
        <v>1</v>
      </c>
      <c r="BC41">
        <v>1</v>
      </c>
      <c r="BD41" t="s">
        <v>3</v>
      </c>
      <c r="BE41" t="s">
        <v>3</v>
      </c>
      <c r="BF41" t="s">
        <v>3</v>
      </c>
      <c r="BG41" t="s">
        <v>3</v>
      </c>
      <c r="BH41">
        <v>0</v>
      </c>
      <c r="BI41">
        <v>4</v>
      </c>
      <c r="BJ41" t="s">
        <v>63</v>
      </c>
      <c r="BM41">
        <v>0</v>
      </c>
      <c r="BN41">
        <v>0</v>
      </c>
      <c r="BO41" t="s">
        <v>3</v>
      </c>
      <c r="BP41">
        <v>0</v>
      </c>
      <c r="BQ41">
        <v>1</v>
      </c>
      <c r="BR41">
        <v>0</v>
      </c>
      <c r="BS41">
        <v>1</v>
      </c>
      <c r="BT41">
        <v>1</v>
      </c>
      <c r="BU41">
        <v>1</v>
      </c>
      <c r="BV41">
        <v>1</v>
      </c>
      <c r="BW41">
        <v>1</v>
      </c>
      <c r="BX41">
        <v>1</v>
      </c>
      <c r="BY41" t="s">
        <v>3</v>
      </c>
      <c r="BZ41">
        <v>70</v>
      </c>
      <c r="CA41">
        <v>10</v>
      </c>
      <c r="CE41">
        <v>0</v>
      </c>
      <c r="CF41">
        <v>0</v>
      </c>
      <c r="CG41">
        <v>0</v>
      </c>
      <c r="CM41">
        <v>0</v>
      </c>
      <c r="CN41" t="s">
        <v>3</v>
      </c>
      <c r="CO41">
        <v>0</v>
      </c>
      <c r="CP41">
        <f t="shared" si="48"/>
        <v>0</v>
      </c>
      <c r="CQ41">
        <f t="shared" si="49"/>
        <v>0</v>
      </c>
      <c r="CR41">
        <f t="shared" si="50"/>
        <v>0</v>
      </c>
      <c r="CS41">
        <f t="shared" si="51"/>
        <v>0</v>
      </c>
      <c r="CT41">
        <f t="shared" si="52"/>
        <v>41951.1</v>
      </c>
      <c r="CU41">
        <f t="shared" si="53"/>
        <v>0</v>
      </c>
      <c r="CV41">
        <f t="shared" si="54"/>
        <v>221.6</v>
      </c>
      <c r="CW41">
        <f t="shared" si="55"/>
        <v>0</v>
      </c>
      <c r="CX41">
        <f t="shared" si="56"/>
        <v>0</v>
      </c>
      <c r="CY41">
        <f t="shared" si="57"/>
        <v>0</v>
      </c>
      <c r="CZ41">
        <f t="shared" si="58"/>
        <v>0</v>
      </c>
      <c r="DC41" t="s">
        <v>3</v>
      </c>
      <c r="DD41" t="s">
        <v>3</v>
      </c>
      <c r="DE41" t="s">
        <v>3</v>
      </c>
      <c r="DF41" t="s">
        <v>3</v>
      </c>
      <c r="DG41" t="s">
        <v>3</v>
      </c>
      <c r="DH41" t="s">
        <v>3</v>
      </c>
      <c r="DI41" t="s">
        <v>3</v>
      </c>
      <c r="DJ41" t="s">
        <v>3</v>
      </c>
      <c r="DK41" t="s">
        <v>3</v>
      </c>
      <c r="DL41" t="s">
        <v>3</v>
      </c>
      <c r="DM41" t="s">
        <v>3</v>
      </c>
      <c r="DN41">
        <v>0</v>
      </c>
      <c r="DO41">
        <v>0</v>
      </c>
      <c r="DP41">
        <v>1</v>
      </c>
      <c r="DQ41">
        <v>1</v>
      </c>
      <c r="DU41">
        <v>1007</v>
      </c>
      <c r="DV41" t="s">
        <v>33</v>
      </c>
      <c r="DW41" t="s">
        <v>33</v>
      </c>
      <c r="DX41">
        <v>100</v>
      </c>
      <c r="EE41">
        <v>52362078</v>
      </c>
      <c r="EF41">
        <v>1</v>
      </c>
      <c r="EG41" t="s">
        <v>22</v>
      </c>
      <c r="EH41">
        <v>0</v>
      </c>
      <c r="EI41" t="s">
        <v>3</v>
      </c>
      <c r="EJ41">
        <v>4</v>
      </c>
      <c r="EK41">
        <v>0</v>
      </c>
      <c r="EL41" t="s">
        <v>23</v>
      </c>
      <c r="EM41" t="s">
        <v>24</v>
      </c>
      <c r="EO41" t="s">
        <v>3</v>
      </c>
      <c r="EQ41">
        <v>131072</v>
      </c>
      <c r="ER41">
        <v>41951.1</v>
      </c>
      <c r="ES41">
        <v>0</v>
      </c>
      <c r="ET41">
        <v>0</v>
      </c>
      <c r="EU41">
        <v>0</v>
      </c>
      <c r="EV41">
        <v>41951.1</v>
      </c>
      <c r="EW41">
        <v>221.6</v>
      </c>
      <c r="EX41">
        <v>0</v>
      </c>
      <c r="EY41">
        <v>0</v>
      </c>
      <c r="FQ41">
        <v>0</v>
      </c>
      <c r="FR41">
        <f t="shared" si="59"/>
        <v>0</v>
      </c>
      <c r="FS41">
        <v>0</v>
      </c>
      <c r="FX41">
        <v>70</v>
      </c>
      <c r="FY41">
        <v>10</v>
      </c>
      <c r="GA41" t="s">
        <v>3</v>
      </c>
      <c r="GD41">
        <v>0</v>
      </c>
      <c r="GF41">
        <v>-1535592702</v>
      </c>
      <c r="GG41">
        <v>2</v>
      </c>
      <c r="GH41">
        <v>1</v>
      </c>
      <c r="GI41">
        <v>-2</v>
      </c>
      <c r="GJ41">
        <v>0</v>
      </c>
      <c r="GK41">
        <f>ROUND(R41*(R12)/100,2)</f>
        <v>0</v>
      </c>
      <c r="GL41">
        <f t="shared" si="60"/>
        <v>0</v>
      </c>
      <c r="GM41">
        <f t="shared" si="61"/>
        <v>0</v>
      </c>
      <c r="GN41">
        <f t="shared" si="62"/>
        <v>0</v>
      </c>
      <c r="GO41">
        <f t="shared" si="63"/>
        <v>0</v>
      </c>
      <c r="GP41">
        <f t="shared" si="64"/>
        <v>0</v>
      </c>
      <c r="GR41">
        <v>0</v>
      </c>
      <c r="GS41">
        <v>3</v>
      </c>
      <c r="GT41">
        <v>0</v>
      </c>
      <c r="GU41" t="s">
        <v>3</v>
      </c>
      <c r="GV41">
        <f t="shared" si="65"/>
        <v>0</v>
      </c>
      <c r="GW41">
        <v>1</v>
      </c>
      <c r="GX41">
        <f t="shared" si="66"/>
        <v>0</v>
      </c>
      <c r="HA41">
        <v>0</v>
      </c>
      <c r="HB41">
        <v>0</v>
      </c>
      <c r="HC41">
        <f t="shared" si="67"/>
        <v>0</v>
      </c>
      <c r="HE41" t="s">
        <v>3</v>
      </c>
      <c r="HF41" t="s">
        <v>3</v>
      </c>
      <c r="IK41">
        <v>0</v>
      </c>
    </row>
    <row r="42" spans="1:245" x14ac:dyDescent="0.2">
      <c r="A42">
        <v>17</v>
      </c>
      <c r="B42">
        <v>1</v>
      </c>
      <c r="C42">
        <f>ROW(SmtRes!A47)</f>
        <v>47</v>
      </c>
      <c r="D42">
        <f>ROW(EtalonRes!A46)</f>
        <v>46</v>
      </c>
      <c r="E42" t="s">
        <v>64</v>
      </c>
      <c r="F42" t="s">
        <v>31</v>
      </c>
      <c r="G42" t="s">
        <v>65</v>
      </c>
      <c r="H42" t="s">
        <v>33</v>
      </c>
      <c r="I42">
        <v>0</v>
      </c>
      <c r="J42">
        <v>0</v>
      </c>
      <c r="O42">
        <f t="shared" si="28"/>
        <v>0</v>
      </c>
      <c r="P42">
        <f t="shared" si="29"/>
        <v>0</v>
      </c>
      <c r="Q42">
        <f t="shared" si="30"/>
        <v>0</v>
      </c>
      <c r="R42">
        <f t="shared" si="31"/>
        <v>0</v>
      </c>
      <c r="S42">
        <f t="shared" si="32"/>
        <v>0</v>
      </c>
      <c r="T42">
        <f t="shared" si="33"/>
        <v>0</v>
      </c>
      <c r="U42">
        <f t="shared" si="34"/>
        <v>0</v>
      </c>
      <c r="V42">
        <f t="shared" si="35"/>
        <v>0</v>
      </c>
      <c r="W42">
        <f t="shared" si="36"/>
        <v>0</v>
      </c>
      <c r="X42">
        <f t="shared" si="37"/>
        <v>0</v>
      </c>
      <c r="Y42">
        <f t="shared" si="38"/>
        <v>0</v>
      </c>
      <c r="AA42">
        <v>52430918</v>
      </c>
      <c r="AB42">
        <f t="shared" si="39"/>
        <v>75863.820000000007</v>
      </c>
      <c r="AC42">
        <f t="shared" si="40"/>
        <v>65162.05</v>
      </c>
      <c r="AD42">
        <f t="shared" si="41"/>
        <v>7602.23</v>
      </c>
      <c r="AE42">
        <f t="shared" si="42"/>
        <v>3222.98</v>
      </c>
      <c r="AF42">
        <f t="shared" si="43"/>
        <v>3099.54</v>
      </c>
      <c r="AG42">
        <f t="shared" si="44"/>
        <v>0</v>
      </c>
      <c r="AH42">
        <f t="shared" si="45"/>
        <v>16.559999999999999</v>
      </c>
      <c r="AI42">
        <f t="shared" si="46"/>
        <v>0</v>
      </c>
      <c r="AJ42">
        <f t="shared" si="47"/>
        <v>0</v>
      </c>
      <c r="AK42">
        <v>75863.820000000007</v>
      </c>
      <c r="AL42">
        <v>65162.05</v>
      </c>
      <c r="AM42">
        <v>7602.23</v>
      </c>
      <c r="AN42">
        <v>3222.98</v>
      </c>
      <c r="AO42">
        <v>3099.54</v>
      </c>
      <c r="AP42">
        <v>0</v>
      </c>
      <c r="AQ42">
        <v>16.559999999999999</v>
      </c>
      <c r="AR42">
        <v>0</v>
      </c>
      <c r="AS42">
        <v>0</v>
      </c>
      <c r="AT42">
        <v>70</v>
      </c>
      <c r="AU42">
        <v>10</v>
      </c>
      <c r="AV42">
        <v>1</v>
      </c>
      <c r="AW42">
        <v>1</v>
      </c>
      <c r="AZ42">
        <v>1</v>
      </c>
      <c r="BA42">
        <v>1</v>
      </c>
      <c r="BB42">
        <v>1</v>
      </c>
      <c r="BC42">
        <v>1</v>
      </c>
      <c r="BD42" t="s">
        <v>3</v>
      </c>
      <c r="BE42" t="s">
        <v>3</v>
      </c>
      <c r="BF42" t="s">
        <v>3</v>
      </c>
      <c r="BG42" t="s">
        <v>3</v>
      </c>
      <c r="BH42">
        <v>0</v>
      </c>
      <c r="BI42">
        <v>4</v>
      </c>
      <c r="BJ42" t="s">
        <v>34</v>
      </c>
      <c r="BM42">
        <v>0</v>
      </c>
      <c r="BN42">
        <v>0</v>
      </c>
      <c r="BO42" t="s">
        <v>3</v>
      </c>
      <c r="BP42">
        <v>0</v>
      </c>
      <c r="BQ42">
        <v>1</v>
      </c>
      <c r="BR42">
        <v>0</v>
      </c>
      <c r="BS42">
        <v>1</v>
      </c>
      <c r="BT42">
        <v>1</v>
      </c>
      <c r="BU42">
        <v>1</v>
      </c>
      <c r="BV42">
        <v>1</v>
      </c>
      <c r="BW42">
        <v>1</v>
      </c>
      <c r="BX42">
        <v>1</v>
      </c>
      <c r="BY42" t="s">
        <v>3</v>
      </c>
      <c r="BZ42">
        <v>70</v>
      </c>
      <c r="CA42">
        <v>10</v>
      </c>
      <c r="CE42">
        <v>0</v>
      </c>
      <c r="CF42">
        <v>0</v>
      </c>
      <c r="CG42">
        <v>0</v>
      </c>
      <c r="CM42">
        <v>0</v>
      </c>
      <c r="CN42" t="s">
        <v>3</v>
      </c>
      <c r="CO42">
        <v>0</v>
      </c>
      <c r="CP42">
        <f t="shared" si="48"/>
        <v>0</v>
      </c>
      <c r="CQ42">
        <f t="shared" si="49"/>
        <v>65162.05</v>
      </c>
      <c r="CR42">
        <f t="shared" si="50"/>
        <v>7602.23</v>
      </c>
      <c r="CS42">
        <f t="shared" si="51"/>
        <v>3222.98</v>
      </c>
      <c r="CT42">
        <f t="shared" si="52"/>
        <v>3099.54</v>
      </c>
      <c r="CU42">
        <f t="shared" si="53"/>
        <v>0</v>
      </c>
      <c r="CV42">
        <f t="shared" si="54"/>
        <v>16.559999999999999</v>
      </c>
      <c r="CW42">
        <f t="shared" si="55"/>
        <v>0</v>
      </c>
      <c r="CX42">
        <f t="shared" si="56"/>
        <v>0</v>
      </c>
      <c r="CY42">
        <f t="shared" si="57"/>
        <v>0</v>
      </c>
      <c r="CZ42">
        <f t="shared" si="58"/>
        <v>0</v>
      </c>
      <c r="DC42" t="s">
        <v>3</v>
      </c>
      <c r="DD42" t="s">
        <v>3</v>
      </c>
      <c r="DE42" t="s">
        <v>3</v>
      </c>
      <c r="DF42" t="s">
        <v>3</v>
      </c>
      <c r="DG42" t="s">
        <v>3</v>
      </c>
      <c r="DH42" t="s">
        <v>3</v>
      </c>
      <c r="DI42" t="s">
        <v>3</v>
      </c>
      <c r="DJ42" t="s">
        <v>3</v>
      </c>
      <c r="DK42" t="s">
        <v>3</v>
      </c>
      <c r="DL42" t="s">
        <v>3</v>
      </c>
      <c r="DM42" t="s">
        <v>3</v>
      </c>
      <c r="DN42">
        <v>0</v>
      </c>
      <c r="DO42">
        <v>0</v>
      </c>
      <c r="DP42">
        <v>1</v>
      </c>
      <c r="DQ42">
        <v>1</v>
      </c>
      <c r="DU42">
        <v>1007</v>
      </c>
      <c r="DV42" t="s">
        <v>33</v>
      </c>
      <c r="DW42" t="s">
        <v>33</v>
      </c>
      <c r="DX42">
        <v>100</v>
      </c>
      <c r="EE42">
        <v>52362078</v>
      </c>
      <c r="EF42">
        <v>1</v>
      </c>
      <c r="EG42" t="s">
        <v>22</v>
      </c>
      <c r="EH42">
        <v>0</v>
      </c>
      <c r="EI42" t="s">
        <v>3</v>
      </c>
      <c r="EJ42">
        <v>4</v>
      </c>
      <c r="EK42">
        <v>0</v>
      </c>
      <c r="EL42" t="s">
        <v>23</v>
      </c>
      <c r="EM42" t="s">
        <v>24</v>
      </c>
      <c r="EO42" t="s">
        <v>3</v>
      </c>
      <c r="EQ42">
        <v>131072</v>
      </c>
      <c r="ER42">
        <v>75863.820000000007</v>
      </c>
      <c r="ES42">
        <v>65162.05</v>
      </c>
      <c r="ET42">
        <v>7602.23</v>
      </c>
      <c r="EU42">
        <v>3222.98</v>
      </c>
      <c r="EV42">
        <v>3099.54</v>
      </c>
      <c r="EW42">
        <v>16.559999999999999</v>
      </c>
      <c r="EX42">
        <v>0</v>
      </c>
      <c r="EY42">
        <v>0</v>
      </c>
      <c r="FQ42">
        <v>0</v>
      </c>
      <c r="FR42">
        <f t="shared" si="59"/>
        <v>0</v>
      </c>
      <c r="FS42">
        <v>0</v>
      </c>
      <c r="FX42">
        <v>70</v>
      </c>
      <c r="FY42">
        <v>10</v>
      </c>
      <c r="GA42" t="s">
        <v>3</v>
      </c>
      <c r="GD42">
        <v>0</v>
      </c>
      <c r="GF42">
        <v>-1374033590</v>
      </c>
      <c r="GG42">
        <v>2</v>
      </c>
      <c r="GH42">
        <v>1</v>
      </c>
      <c r="GI42">
        <v>-2</v>
      </c>
      <c r="GJ42">
        <v>0</v>
      </c>
      <c r="GK42">
        <f>ROUND(R42*(R12)/100,2)</f>
        <v>0</v>
      </c>
      <c r="GL42">
        <f t="shared" si="60"/>
        <v>0</v>
      </c>
      <c r="GM42">
        <f t="shared" si="61"/>
        <v>0</v>
      </c>
      <c r="GN42">
        <f t="shared" si="62"/>
        <v>0</v>
      </c>
      <c r="GO42">
        <f t="shared" si="63"/>
        <v>0</v>
      </c>
      <c r="GP42">
        <f t="shared" si="64"/>
        <v>0</v>
      </c>
      <c r="GR42">
        <v>0</v>
      </c>
      <c r="GS42">
        <v>3</v>
      </c>
      <c r="GT42">
        <v>0</v>
      </c>
      <c r="GU42" t="s">
        <v>3</v>
      </c>
      <c r="GV42">
        <f t="shared" si="65"/>
        <v>0</v>
      </c>
      <c r="GW42">
        <v>1</v>
      </c>
      <c r="GX42">
        <f t="shared" si="66"/>
        <v>0</v>
      </c>
      <c r="HA42">
        <v>0</v>
      </c>
      <c r="HB42">
        <v>0</v>
      </c>
      <c r="HC42">
        <f t="shared" si="67"/>
        <v>0</v>
      </c>
      <c r="HE42" t="s">
        <v>3</v>
      </c>
      <c r="HF42" t="s">
        <v>3</v>
      </c>
      <c r="IK42">
        <v>0</v>
      </c>
    </row>
    <row r="43" spans="1:245" x14ac:dyDescent="0.2">
      <c r="A43">
        <v>17</v>
      </c>
      <c r="B43">
        <v>1</v>
      </c>
      <c r="C43">
        <f>ROW(SmtRes!A52)</f>
        <v>52</v>
      </c>
      <c r="D43">
        <f>ROW(EtalonRes!A51)</f>
        <v>51</v>
      </c>
      <c r="E43" t="s">
        <v>66</v>
      </c>
      <c r="F43" t="s">
        <v>67</v>
      </c>
      <c r="G43" t="s">
        <v>68</v>
      </c>
      <c r="H43" t="s">
        <v>69</v>
      </c>
      <c r="I43">
        <f>ROUND(52/100,9)</f>
        <v>0.52</v>
      </c>
      <c r="J43">
        <v>0</v>
      </c>
      <c r="O43">
        <f t="shared" si="28"/>
        <v>25744.32</v>
      </c>
      <c r="P43">
        <f t="shared" si="29"/>
        <v>17964.8</v>
      </c>
      <c r="Q43">
        <f t="shared" si="30"/>
        <v>92.46</v>
      </c>
      <c r="R43">
        <f t="shared" si="31"/>
        <v>50.2</v>
      </c>
      <c r="S43">
        <f t="shared" si="32"/>
        <v>7687.06</v>
      </c>
      <c r="T43">
        <f t="shared" si="33"/>
        <v>0</v>
      </c>
      <c r="U43">
        <f t="shared" si="34"/>
        <v>37.934000000000005</v>
      </c>
      <c r="V43">
        <f t="shared" si="35"/>
        <v>0</v>
      </c>
      <c r="W43">
        <f t="shared" si="36"/>
        <v>0</v>
      </c>
      <c r="X43">
        <f t="shared" si="37"/>
        <v>5380.94</v>
      </c>
      <c r="Y43">
        <f t="shared" si="38"/>
        <v>768.71</v>
      </c>
      <c r="AA43">
        <v>52430918</v>
      </c>
      <c r="AB43">
        <f t="shared" si="39"/>
        <v>49508.32</v>
      </c>
      <c r="AC43">
        <f t="shared" si="40"/>
        <v>34547.699999999997</v>
      </c>
      <c r="AD43">
        <f t="shared" si="41"/>
        <v>177.81</v>
      </c>
      <c r="AE43">
        <f t="shared" si="42"/>
        <v>96.53</v>
      </c>
      <c r="AF43">
        <f t="shared" si="43"/>
        <v>14782.81</v>
      </c>
      <c r="AG43">
        <f t="shared" si="44"/>
        <v>0</v>
      </c>
      <c r="AH43">
        <f t="shared" si="45"/>
        <v>72.95</v>
      </c>
      <c r="AI43">
        <f t="shared" si="46"/>
        <v>0</v>
      </c>
      <c r="AJ43">
        <f t="shared" si="47"/>
        <v>0</v>
      </c>
      <c r="AK43">
        <v>49508.32</v>
      </c>
      <c r="AL43">
        <v>34547.699999999997</v>
      </c>
      <c r="AM43">
        <v>177.81</v>
      </c>
      <c r="AN43">
        <v>96.53</v>
      </c>
      <c r="AO43">
        <v>14782.81</v>
      </c>
      <c r="AP43">
        <v>0</v>
      </c>
      <c r="AQ43">
        <v>72.95</v>
      </c>
      <c r="AR43">
        <v>0</v>
      </c>
      <c r="AS43">
        <v>0</v>
      </c>
      <c r="AT43">
        <v>70</v>
      </c>
      <c r="AU43">
        <v>10</v>
      </c>
      <c r="AV43">
        <v>1</v>
      </c>
      <c r="AW43">
        <v>1</v>
      </c>
      <c r="AZ43">
        <v>1</v>
      </c>
      <c r="BA43">
        <v>1</v>
      </c>
      <c r="BB43">
        <v>1</v>
      </c>
      <c r="BC43">
        <v>1</v>
      </c>
      <c r="BD43" t="s">
        <v>3</v>
      </c>
      <c r="BE43" t="s">
        <v>3</v>
      </c>
      <c r="BF43" t="s">
        <v>3</v>
      </c>
      <c r="BG43" t="s">
        <v>3</v>
      </c>
      <c r="BH43">
        <v>0</v>
      </c>
      <c r="BI43">
        <v>4</v>
      </c>
      <c r="BJ43" t="s">
        <v>70</v>
      </c>
      <c r="BM43">
        <v>0</v>
      </c>
      <c r="BN43">
        <v>0</v>
      </c>
      <c r="BO43" t="s">
        <v>3</v>
      </c>
      <c r="BP43">
        <v>0</v>
      </c>
      <c r="BQ43">
        <v>1</v>
      </c>
      <c r="BR43">
        <v>0</v>
      </c>
      <c r="BS43">
        <v>1</v>
      </c>
      <c r="BT43">
        <v>1</v>
      </c>
      <c r="BU43">
        <v>1</v>
      </c>
      <c r="BV43">
        <v>1</v>
      </c>
      <c r="BW43">
        <v>1</v>
      </c>
      <c r="BX43">
        <v>1</v>
      </c>
      <c r="BY43" t="s">
        <v>3</v>
      </c>
      <c r="BZ43">
        <v>70</v>
      </c>
      <c r="CA43">
        <v>10</v>
      </c>
      <c r="CE43">
        <v>0</v>
      </c>
      <c r="CF43">
        <v>0</v>
      </c>
      <c r="CG43">
        <v>0</v>
      </c>
      <c r="CM43">
        <v>0</v>
      </c>
      <c r="CN43" t="s">
        <v>3</v>
      </c>
      <c r="CO43">
        <v>0</v>
      </c>
      <c r="CP43">
        <f t="shared" si="48"/>
        <v>25744.32</v>
      </c>
      <c r="CQ43">
        <f t="shared" si="49"/>
        <v>34547.699999999997</v>
      </c>
      <c r="CR43">
        <f t="shared" si="50"/>
        <v>177.81</v>
      </c>
      <c r="CS43">
        <f t="shared" si="51"/>
        <v>96.53</v>
      </c>
      <c r="CT43">
        <f t="shared" si="52"/>
        <v>14782.81</v>
      </c>
      <c r="CU43">
        <f t="shared" si="53"/>
        <v>0</v>
      </c>
      <c r="CV43">
        <f t="shared" si="54"/>
        <v>72.95</v>
      </c>
      <c r="CW43">
        <f t="shared" si="55"/>
        <v>0</v>
      </c>
      <c r="CX43">
        <f t="shared" si="56"/>
        <v>0</v>
      </c>
      <c r="CY43">
        <f t="shared" si="57"/>
        <v>5380.9420000000009</v>
      </c>
      <c r="CZ43">
        <f t="shared" si="58"/>
        <v>768.70600000000002</v>
      </c>
      <c r="DC43" t="s">
        <v>3</v>
      </c>
      <c r="DD43" t="s">
        <v>3</v>
      </c>
      <c r="DE43" t="s">
        <v>3</v>
      </c>
      <c r="DF43" t="s">
        <v>3</v>
      </c>
      <c r="DG43" t="s">
        <v>3</v>
      </c>
      <c r="DH43" t="s">
        <v>3</v>
      </c>
      <c r="DI43" t="s">
        <v>3</v>
      </c>
      <c r="DJ43" t="s">
        <v>3</v>
      </c>
      <c r="DK43" t="s">
        <v>3</v>
      </c>
      <c r="DL43" t="s">
        <v>3</v>
      </c>
      <c r="DM43" t="s">
        <v>3</v>
      </c>
      <c r="DN43">
        <v>0</v>
      </c>
      <c r="DO43">
        <v>0</v>
      </c>
      <c r="DP43">
        <v>1</v>
      </c>
      <c r="DQ43">
        <v>1</v>
      </c>
      <c r="DU43">
        <v>1003</v>
      </c>
      <c r="DV43" t="s">
        <v>69</v>
      </c>
      <c r="DW43" t="s">
        <v>69</v>
      </c>
      <c r="DX43">
        <v>100</v>
      </c>
      <c r="EE43">
        <v>52362078</v>
      </c>
      <c r="EF43">
        <v>1</v>
      </c>
      <c r="EG43" t="s">
        <v>22</v>
      </c>
      <c r="EH43">
        <v>0</v>
      </c>
      <c r="EI43" t="s">
        <v>3</v>
      </c>
      <c r="EJ43">
        <v>4</v>
      </c>
      <c r="EK43">
        <v>0</v>
      </c>
      <c r="EL43" t="s">
        <v>23</v>
      </c>
      <c r="EM43" t="s">
        <v>24</v>
      </c>
      <c r="EO43" t="s">
        <v>3</v>
      </c>
      <c r="EQ43">
        <v>131072</v>
      </c>
      <c r="ER43">
        <v>49508.32</v>
      </c>
      <c r="ES43">
        <v>34547.699999999997</v>
      </c>
      <c r="ET43">
        <v>177.81</v>
      </c>
      <c r="EU43">
        <v>96.53</v>
      </c>
      <c r="EV43">
        <v>14782.81</v>
      </c>
      <c r="EW43">
        <v>72.95</v>
      </c>
      <c r="EX43">
        <v>0</v>
      </c>
      <c r="EY43">
        <v>0</v>
      </c>
      <c r="FQ43">
        <v>0</v>
      </c>
      <c r="FR43">
        <f t="shared" si="59"/>
        <v>0</v>
      </c>
      <c r="FS43">
        <v>0</v>
      </c>
      <c r="FX43">
        <v>70</v>
      </c>
      <c r="FY43">
        <v>10</v>
      </c>
      <c r="GA43" t="s">
        <v>3</v>
      </c>
      <c r="GD43">
        <v>0</v>
      </c>
      <c r="GF43">
        <v>-280608707</v>
      </c>
      <c r="GG43">
        <v>2</v>
      </c>
      <c r="GH43">
        <v>1</v>
      </c>
      <c r="GI43">
        <v>-2</v>
      </c>
      <c r="GJ43">
        <v>0</v>
      </c>
      <c r="GK43">
        <f>ROUND(R43*(R12)/100,2)</f>
        <v>54.22</v>
      </c>
      <c r="GL43">
        <f t="shared" si="60"/>
        <v>0</v>
      </c>
      <c r="GM43">
        <f t="shared" si="61"/>
        <v>31948.19</v>
      </c>
      <c r="GN43">
        <f t="shared" si="62"/>
        <v>0</v>
      </c>
      <c r="GO43">
        <f t="shared" si="63"/>
        <v>0</v>
      </c>
      <c r="GP43">
        <f t="shared" si="64"/>
        <v>31948.19</v>
      </c>
      <c r="GR43">
        <v>0</v>
      </c>
      <c r="GS43">
        <v>3</v>
      </c>
      <c r="GT43">
        <v>0</v>
      </c>
      <c r="GU43" t="s">
        <v>3</v>
      </c>
      <c r="GV43">
        <f t="shared" si="65"/>
        <v>0</v>
      </c>
      <c r="GW43">
        <v>1</v>
      </c>
      <c r="GX43">
        <f t="shared" si="66"/>
        <v>0</v>
      </c>
      <c r="HA43">
        <v>0</v>
      </c>
      <c r="HB43">
        <v>0</v>
      </c>
      <c r="HC43">
        <f t="shared" si="67"/>
        <v>0</v>
      </c>
      <c r="HE43" t="s">
        <v>3</v>
      </c>
      <c r="HF43" t="s">
        <v>3</v>
      </c>
      <c r="IK43">
        <v>0</v>
      </c>
    </row>
    <row r="44" spans="1:245" x14ac:dyDescent="0.2">
      <c r="A44">
        <v>17</v>
      </c>
      <c r="B44">
        <v>1</v>
      </c>
      <c r="C44">
        <f>ROW(SmtRes!A64)</f>
        <v>64</v>
      </c>
      <c r="D44">
        <f>ROW(EtalonRes!A61)</f>
        <v>61</v>
      </c>
      <c r="E44" t="s">
        <v>71</v>
      </c>
      <c r="F44" t="s">
        <v>72</v>
      </c>
      <c r="G44" t="s">
        <v>73</v>
      </c>
      <c r="H44" t="s">
        <v>74</v>
      </c>
      <c r="I44">
        <f>ROUND(4/100,9)</f>
        <v>0.04</v>
      </c>
      <c r="J44">
        <v>0</v>
      </c>
      <c r="O44">
        <f t="shared" si="28"/>
        <v>9895.19</v>
      </c>
      <c r="P44">
        <f t="shared" si="29"/>
        <v>714.12</v>
      </c>
      <c r="Q44">
        <f t="shared" si="30"/>
        <v>21.77</v>
      </c>
      <c r="R44">
        <f t="shared" si="31"/>
        <v>2.72</v>
      </c>
      <c r="S44">
        <f t="shared" si="32"/>
        <v>9159.2999999999993</v>
      </c>
      <c r="T44">
        <f t="shared" si="33"/>
        <v>0</v>
      </c>
      <c r="U44">
        <f t="shared" si="34"/>
        <v>36.11</v>
      </c>
      <c r="V44">
        <f t="shared" si="35"/>
        <v>0</v>
      </c>
      <c r="W44">
        <f t="shared" si="36"/>
        <v>0</v>
      </c>
      <c r="X44">
        <f t="shared" si="37"/>
        <v>6411.51</v>
      </c>
      <c r="Y44">
        <f t="shared" si="38"/>
        <v>915.93</v>
      </c>
      <c r="AA44">
        <v>52430918</v>
      </c>
      <c r="AB44">
        <f t="shared" si="39"/>
        <v>247379.69</v>
      </c>
      <c r="AC44">
        <f t="shared" si="40"/>
        <v>17852.89</v>
      </c>
      <c r="AD44">
        <f t="shared" si="41"/>
        <v>544.27</v>
      </c>
      <c r="AE44">
        <f t="shared" si="42"/>
        <v>67.94</v>
      </c>
      <c r="AF44">
        <f t="shared" si="43"/>
        <v>228982.53</v>
      </c>
      <c r="AG44">
        <f t="shared" si="44"/>
        <v>0</v>
      </c>
      <c r="AH44">
        <f t="shared" si="45"/>
        <v>902.75</v>
      </c>
      <c r="AI44">
        <f t="shared" si="46"/>
        <v>0</v>
      </c>
      <c r="AJ44">
        <f t="shared" si="47"/>
        <v>0</v>
      </c>
      <c r="AK44">
        <v>247379.69</v>
      </c>
      <c r="AL44">
        <v>17852.89</v>
      </c>
      <c r="AM44">
        <v>544.27</v>
      </c>
      <c r="AN44">
        <v>67.94</v>
      </c>
      <c r="AO44">
        <v>228982.53</v>
      </c>
      <c r="AP44">
        <v>0</v>
      </c>
      <c r="AQ44">
        <v>902.75</v>
      </c>
      <c r="AR44">
        <v>0</v>
      </c>
      <c r="AS44">
        <v>0</v>
      </c>
      <c r="AT44">
        <v>70</v>
      </c>
      <c r="AU44">
        <v>10</v>
      </c>
      <c r="AV44">
        <v>1</v>
      </c>
      <c r="AW44">
        <v>1</v>
      </c>
      <c r="AZ44">
        <v>1</v>
      </c>
      <c r="BA44">
        <v>1</v>
      </c>
      <c r="BB44">
        <v>1</v>
      </c>
      <c r="BC44">
        <v>1</v>
      </c>
      <c r="BD44" t="s">
        <v>3</v>
      </c>
      <c r="BE44" t="s">
        <v>3</v>
      </c>
      <c r="BF44" t="s">
        <v>3</v>
      </c>
      <c r="BG44" t="s">
        <v>3</v>
      </c>
      <c r="BH44">
        <v>0</v>
      </c>
      <c r="BI44">
        <v>4</v>
      </c>
      <c r="BJ44" t="s">
        <v>75</v>
      </c>
      <c r="BM44">
        <v>0</v>
      </c>
      <c r="BN44">
        <v>0</v>
      </c>
      <c r="BO44" t="s">
        <v>3</v>
      </c>
      <c r="BP44">
        <v>0</v>
      </c>
      <c r="BQ44">
        <v>1</v>
      </c>
      <c r="BR44">
        <v>0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1</v>
      </c>
      <c r="BY44" t="s">
        <v>3</v>
      </c>
      <c r="BZ44">
        <v>70</v>
      </c>
      <c r="CA44">
        <v>10</v>
      </c>
      <c r="CE44">
        <v>0</v>
      </c>
      <c r="CF44">
        <v>0</v>
      </c>
      <c r="CG44">
        <v>0</v>
      </c>
      <c r="CM44">
        <v>0</v>
      </c>
      <c r="CN44" t="s">
        <v>3</v>
      </c>
      <c r="CO44">
        <v>0</v>
      </c>
      <c r="CP44">
        <f t="shared" si="48"/>
        <v>9895.1899999999987</v>
      </c>
      <c r="CQ44">
        <f t="shared" si="49"/>
        <v>17852.89</v>
      </c>
      <c r="CR44">
        <f t="shared" si="50"/>
        <v>544.27</v>
      </c>
      <c r="CS44">
        <f t="shared" si="51"/>
        <v>67.94</v>
      </c>
      <c r="CT44">
        <f t="shared" si="52"/>
        <v>228982.53</v>
      </c>
      <c r="CU44">
        <f t="shared" si="53"/>
        <v>0</v>
      </c>
      <c r="CV44">
        <f t="shared" si="54"/>
        <v>902.75</v>
      </c>
      <c r="CW44">
        <f t="shared" si="55"/>
        <v>0</v>
      </c>
      <c r="CX44">
        <f t="shared" si="56"/>
        <v>0</v>
      </c>
      <c r="CY44">
        <f t="shared" si="57"/>
        <v>6411.51</v>
      </c>
      <c r="CZ44">
        <f t="shared" si="58"/>
        <v>915.93</v>
      </c>
      <c r="DC44" t="s">
        <v>3</v>
      </c>
      <c r="DD44" t="s">
        <v>3</v>
      </c>
      <c r="DE44" t="s">
        <v>3</v>
      </c>
      <c r="DF44" t="s">
        <v>3</v>
      </c>
      <c r="DG44" t="s">
        <v>3</v>
      </c>
      <c r="DH44" t="s">
        <v>3</v>
      </c>
      <c r="DI44" t="s">
        <v>3</v>
      </c>
      <c r="DJ44" t="s">
        <v>3</v>
      </c>
      <c r="DK44" t="s">
        <v>3</v>
      </c>
      <c r="DL44" t="s">
        <v>3</v>
      </c>
      <c r="DM44" t="s">
        <v>3</v>
      </c>
      <c r="DN44">
        <v>0</v>
      </c>
      <c r="DO44">
        <v>0</v>
      </c>
      <c r="DP44">
        <v>1</v>
      </c>
      <c r="DQ44">
        <v>1</v>
      </c>
      <c r="DU44">
        <v>1010</v>
      </c>
      <c r="DV44" t="s">
        <v>74</v>
      </c>
      <c r="DW44" t="s">
        <v>74</v>
      </c>
      <c r="DX44">
        <v>100</v>
      </c>
      <c r="EE44">
        <v>52362078</v>
      </c>
      <c r="EF44">
        <v>1</v>
      </c>
      <c r="EG44" t="s">
        <v>22</v>
      </c>
      <c r="EH44">
        <v>0</v>
      </c>
      <c r="EI44" t="s">
        <v>3</v>
      </c>
      <c r="EJ44">
        <v>4</v>
      </c>
      <c r="EK44">
        <v>0</v>
      </c>
      <c r="EL44" t="s">
        <v>23</v>
      </c>
      <c r="EM44" t="s">
        <v>24</v>
      </c>
      <c r="EO44" t="s">
        <v>3</v>
      </c>
      <c r="EQ44">
        <v>131072</v>
      </c>
      <c r="ER44">
        <v>247379.69</v>
      </c>
      <c r="ES44">
        <v>17852.89</v>
      </c>
      <c r="ET44">
        <v>544.27</v>
      </c>
      <c r="EU44">
        <v>67.94</v>
      </c>
      <c r="EV44">
        <v>228982.53</v>
      </c>
      <c r="EW44">
        <v>902.75</v>
      </c>
      <c r="EX44">
        <v>0</v>
      </c>
      <c r="EY44">
        <v>0</v>
      </c>
      <c r="FQ44">
        <v>0</v>
      </c>
      <c r="FR44">
        <f t="shared" si="59"/>
        <v>0</v>
      </c>
      <c r="FS44">
        <v>0</v>
      </c>
      <c r="FX44">
        <v>70</v>
      </c>
      <c r="FY44">
        <v>10</v>
      </c>
      <c r="GA44" t="s">
        <v>3</v>
      </c>
      <c r="GD44">
        <v>0</v>
      </c>
      <c r="GF44">
        <v>1748497860</v>
      </c>
      <c r="GG44">
        <v>2</v>
      </c>
      <c r="GH44">
        <v>1</v>
      </c>
      <c r="GI44">
        <v>-2</v>
      </c>
      <c r="GJ44">
        <v>0</v>
      </c>
      <c r="GK44">
        <f>ROUND(R44*(R12)/100,2)</f>
        <v>2.94</v>
      </c>
      <c r="GL44">
        <f t="shared" si="60"/>
        <v>0</v>
      </c>
      <c r="GM44">
        <f t="shared" si="61"/>
        <v>17225.57</v>
      </c>
      <c r="GN44">
        <f t="shared" si="62"/>
        <v>0</v>
      </c>
      <c r="GO44">
        <f t="shared" si="63"/>
        <v>0</v>
      </c>
      <c r="GP44">
        <f t="shared" si="64"/>
        <v>17225.57</v>
      </c>
      <c r="GR44">
        <v>0</v>
      </c>
      <c r="GS44">
        <v>3</v>
      </c>
      <c r="GT44">
        <v>0</v>
      </c>
      <c r="GU44" t="s">
        <v>3</v>
      </c>
      <c r="GV44">
        <f t="shared" si="65"/>
        <v>0</v>
      </c>
      <c r="GW44">
        <v>1</v>
      </c>
      <c r="GX44">
        <f t="shared" si="66"/>
        <v>0</v>
      </c>
      <c r="HA44">
        <v>0</v>
      </c>
      <c r="HB44">
        <v>0</v>
      </c>
      <c r="HC44">
        <f t="shared" si="67"/>
        <v>0</v>
      </c>
      <c r="HE44" t="s">
        <v>3</v>
      </c>
      <c r="HF44" t="s">
        <v>3</v>
      </c>
      <c r="IK44">
        <v>0</v>
      </c>
    </row>
    <row r="45" spans="1:245" x14ac:dyDescent="0.2">
      <c r="A45">
        <v>18</v>
      </c>
      <c r="B45">
        <v>1</v>
      </c>
      <c r="C45">
        <v>58</v>
      </c>
      <c r="E45" t="s">
        <v>76</v>
      </c>
      <c r="F45" t="s">
        <v>77</v>
      </c>
      <c r="G45" t="s">
        <v>78</v>
      </c>
      <c r="H45" t="s">
        <v>79</v>
      </c>
      <c r="I45">
        <f>I44*J45</f>
        <v>-1.48E-3</v>
      </c>
      <c r="J45">
        <v>-3.6999999999999998E-2</v>
      </c>
      <c r="O45">
        <f t="shared" si="28"/>
        <v>-15.42</v>
      </c>
      <c r="P45">
        <f t="shared" si="29"/>
        <v>-15.42</v>
      </c>
      <c r="Q45">
        <f t="shared" si="30"/>
        <v>0</v>
      </c>
      <c r="R45">
        <f t="shared" si="31"/>
        <v>0</v>
      </c>
      <c r="S45">
        <f t="shared" si="32"/>
        <v>0</v>
      </c>
      <c r="T45">
        <f t="shared" si="33"/>
        <v>0</v>
      </c>
      <c r="U45">
        <f t="shared" si="34"/>
        <v>0</v>
      </c>
      <c r="V45">
        <f t="shared" si="35"/>
        <v>0</v>
      </c>
      <c r="W45">
        <f t="shared" si="36"/>
        <v>0</v>
      </c>
      <c r="X45">
        <f t="shared" si="37"/>
        <v>0</v>
      </c>
      <c r="Y45">
        <f t="shared" si="38"/>
        <v>0</v>
      </c>
      <c r="AA45">
        <v>52430918</v>
      </c>
      <c r="AB45">
        <f t="shared" si="39"/>
        <v>10419.43</v>
      </c>
      <c r="AC45">
        <f t="shared" si="40"/>
        <v>10419.43</v>
      </c>
      <c r="AD45">
        <f t="shared" si="41"/>
        <v>0</v>
      </c>
      <c r="AE45">
        <f t="shared" si="42"/>
        <v>0</v>
      </c>
      <c r="AF45">
        <f t="shared" si="43"/>
        <v>0</v>
      </c>
      <c r="AG45">
        <f t="shared" si="44"/>
        <v>0</v>
      </c>
      <c r="AH45">
        <f t="shared" si="45"/>
        <v>0</v>
      </c>
      <c r="AI45">
        <f t="shared" si="46"/>
        <v>0</v>
      </c>
      <c r="AJ45">
        <f t="shared" si="47"/>
        <v>0</v>
      </c>
      <c r="AK45">
        <v>10419.43</v>
      </c>
      <c r="AL45">
        <v>10419.43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70</v>
      </c>
      <c r="AU45">
        <v>10</v>
      </c>
      <c r="AV45">
        <v>1</v>
      </c>
      <c r="AW45">
        <v>1</v>
      </c>
      <c r="AZ45">
        <v>1</v>
      </c>
      <c r="BA45">
        <v>1</v>
      </c>
      <c r="BB45">
        <v>1</v>
      </c>
      <c r="BC45">
        <v>1</v>
      </c>
      <c r="BD45" t="s">
        <v>3</v>
      </c>
      <c r="BE45" t="s">
        <v>3</v>
      </c>
      <c r="BF45" t="s">
        <v>3</v>
      </c>
      <c r="BG45" t="s">
        <v>3</v>
      </c>
      <c r="BH45">
        <v>3</v>
      </c>
      <c r="BI45">
        <v>4</v>
      </c>
      <c r="BJ45" t="s">
        <v>80</v>
      </c>
      <c r="BM45">
        <v>0</v>
      </c>
      <c r="BN45">
        <v>0</v>
      </c>
      <c r="BO45" t="s">
        <v>3</v>
      </c>
      <c r="BP45">
        <v>0</v>
      </c>
      <c r="BQ45">
        <v>1</v>
      </c>
      <c r="BR45">
        <v>1</v>
      </c>
      <c r="BS45">
        <v>1</v>
      </c>
      <c r="BT45">
        <v>1</v>
      </c>
      <c r="BU45">
        <v>1</v>
      </c>
      <c r="BV45">
        <v>1</v>
      </c>
      <c r="BW45">
        <v>1</v>
      </c>
      <c r="BX45">
        <v>1</v>
      </c>
      <c r="BY45" t="s">
        <v>3</v>
      </c>
      <c r="BZ45">
        <v>70</v>
      </c>
      <c r="CA45">
        <v>10</v>
      </c>
      <c r="CE45">
        <v>0</v>
      </c>
      <c r="CF45">
        <v>0</v>
      </c>
      <c r="CG45">
        <v>0</v>
      </c>
      <c r="CM45">
        <v>0</v>
      </c>
      <c r="CN45" t="s">
        <v>3</v>
      </c>
      <c r="CO45">
        <v>0</v>
      </c>
      <c r="CP45">
        <f t="shared" si="48"/>
        <v>-15.42</v>
      </c>
      <c r="CQ45">
        <f t="shared" si="49"/>
        <v>10419.43</v>
      </c>
      <c r="CR45">
        <f t="shared" si="50"/>
        <v>0</v>
      </c>
      <c r="CS45">
        <f t="shared" si="51"/>
        <v>0</v>
      </c>
      <c r="CT45">
        <f t="shared" si="52"/>
        <v>0</v>
      </c>
      <c r="CU45">
        <f t="shared" si="53"/>
        <v>0</v>
      </c>
      <c r="CV45">
        <f t="shared" si="54"/>
        <v>0</v>
      </c>
      <c r="CW45">
        <f t="shared" si="55"/>
        <v>0</v>
      </c>
      <c r="CX45">
        <f t="shared" si="56"/>
        <v>0</v>
      </c>
      <c r="CY45">
        <f t="shared" si="57"/>
        <v>0</v>
      </c>
      <c r="CZ45">
        <f t="shared" si="58"/>
        <v>0</v>
      </c>
      <c r="DC45" t="s">
        <v>3</v>
      </c>
      <c r="DD45" t="s">
        <v>3</v>
      </c>
      <c r="DE45" t="s">
        <v>3</v>
      </c>
      <c r="DF45" t="s">
        <v>3</v>
      </c>
      <c r="DG45" t="s">
        <v>3</v>
      </c>
      <c r="DH45" t="s">
        <v>3</v>
      </c>
      <c r="DI45" t="s">
        <v>3</v>
      </c>
      <c r="DJ45" t="s">
        <v>3</v>
      </c>
      <c r="DK45" t="s">
        <v>3</v>
      </c>
      <c r="DL45" t="s">
        <v>3</v>
      </c>
      <c r="DM45" t="s">
        <v>3</v>
      </c>
      <c r="DN45">
        <v>0</v>
      </c>
      <c r="DO45">
        <v>0</v>
      </c>
      <c r="DP45">
        <v>1</v>
      </c>
      <c r="DQ45">
        <v>1</v>
      </c>
      <c r="DU45">
        <v>1010</v>
      </c>
      <c r="DV45" t="s">
        <v>79</v>
      </c>
      <c r="DW45" t="s">
        <v>79</v>
      </c>
      <c r="DX45">
        <v>1000</v>
      </c>
      <c r="EE45">
        <v>52362078</v>
      </c>
      <c r="EF45">
        <v>1</v>
      </c>
      <c r="EG45" t="s">
        <v>22</v>
      </c>
      <c r="EH45">
        <v>0</v>
      </c>
      <c r="EI45" t="s">
        <v>3</v>
      </c>
      <c r="EJ45">
        <v>4</v>
      </c>
      <c r="EK45">
        <v>0</v>
      </c>
      <c r="EL45" t="s">
        <v>23</v>
      </c>
      <c r="EM45" t="s">
        <v>24</v>
      </c>
      <c r="EO45" t="s">
        <v>3</v>
      </c>
      <c r="EQ45">
        <v>0</v>
      </c>
      <c r="ER45">
        <v>10419.43</v>
      </c>
      <c r="ES45">
        <v>10419.43</v>
      </c>
      <c r="ET45">
        <v>0</v>
      </c>
      <c r="EU45">
        <v>0</v>
      </c>
      <c r="EV45">
        <v>0</v>
      </c>
      <c r="EW45">
        <v>0</v>
      </c>
      <c r="EX45">
        <v>0</v>
      </c>
      <c r="FQ45">
        <v>0</v>
      </c>
      <c r="FR45">
        <f t="shared" si="59"/>
        <v>0</v>
      </c>
      <c r="FS45">
        <v>0</v>
      </c>
      <c r="FX45">
        <v>70</v>
      </c>
      <c r="FY45">
        <v>10</v>
      </c>
      <c r="GA45" t="s">
        <v>3</v>
      </c>
      <c r="GD45">
        <v>0</v>
      </c>
      <c r="GF45">
        <v>-477329452</v>
      </c>
      <c r="GG45">
        <v>2</v>
      </c>
      <c r="GH45">
        <v>1</v>
      </c>
      <c r="GI45">
        <v>-2</v>
      </c>
      <c r="GJ45">
        <v>0</v>
      </c>
      <c r="GK45">
        <f>ROUND(R45*(R12)/100,2)</f>
        <v>0</v>
      </c>
      <c r="GL45">
        <f t="shared" si="60"/>
        <v>0</v>
      </c>
      <c r="GM45">
        <f t="shared" si="61"/>
        <v>-15.42</v>
      </c>
      <c r="GN45">
        <f t="shared" si="62"/>
        <v>0</v>
      </c>
      <c r="GO45">
        <f t="shared" si="63"/>
        <v>0</v>
      </c>
      <c r="GP45">
        <f t="shared" si="64"/>
        <v>-15.42</v>
      </c>
      <c r="GR45">
        <v>0</v>
      </c>
      <c r="GS45">
        <v>3</v>
      </c>
      <c r="GT45">
        <v>0</v>
      </c>
      <c r="GU45" t="s">
        <v>3</v>
      </c>
      <c r="GV45">
        <f t="shared" si="65"/>
        <v>0</v>
      </c>
      <c r="GW45">
        <v>1</v>
      </c>
      <c r="GX45">
        <f t="shared" si="66"/>
        <v>0</v>
      </c>
      <c r="HA45">
        <v>0</v>
      </c>
      <c r="HB45">
        <v>0</v>
      </c>
      <c r="HC45">
        <f t="shared" si="67"/>
        <v>0</v>
      </c>
      <c r="HE45" t="s">
        <v>3</v>
      </c>
      <c r="HF45" t="s">
        <v>3</v>
      </c>
      <c r="IK45">
        <v>0</v>
      </c>
    </row>
    <row r="46" spans="1:245" x14ac:dyDescent="0.2">
      <c r="A46">
        <v>18</v>
      </c>
      <c r="B46">
        <v>1</v>
      </c>
      <c r="C46">
        <v>56</v>
      </c>
      <c r="E46" t="s">
        <v>81</v>
      </c>
      <c r="F46" t="s">
        <v>82</v>
      </c>
      <c r="G46" t="s">
        <v>83</v>
      </c>
      <c r="H46" t="s">
        <v>84</v>
      </c>
      <c r="I46">
        <f>I44*J46</f>
        <v>-0.21759999999999999</v>
      </c>
      <c r="J46">
        <v>-5.4399999999999995</v>
      </c>
      <c r="O46">
        <f t="shared" si="28"/>
        <v>-2.35</v>
      </c>
      <c r="P46">
        <f t="shared" si="29"/>
        <v>0</v>
      </c>
      <c r="Q46">
        <f t="shared" si="30"/>
        <v>-2.35</v>
      </c>
      <c r="R46">
        <f t="shared" si="31"/>
        <v>-0.65</v>
      </c>
      <c r="S46">
        <f t="shared" si="32"/>
        <v>0</v>
      </c>
      <c r="T46">
        <f t="shared" si="33"/>
        <v>0</v>
      </c>
      <c r="U46">
        <f t="shared" si="34"/>
        <v>0</v>
      </c>
      <c r="V46">
        <f t="shared" si="35"/>
        <v>0</v>
      </c>
      <c r="W46">
        <f t="shared" si="36"/>
        <v>0</v>
      </c>
      <c r="X46">
        <f t="shared" si="37"/>
        <v>0</v>
      </c>
      <c r="Y46">
        <f t="shared" si="38"/>
        <v>0</v>
      </c>
      <c r="AA46">
        <v>52430918</v>
      </c>
      <c r="AB46">
        <f t="shared" si="39"/>
        <v>10.82</v>
      </c>
      <c r="AC46">
        <f t="shared" si="40"/>
        <v>0</v>
      </c>
      <c r="AD46">
        <f t="shared" si="41"/>
        <v>10.82</v>
      </c>
      <c r="AE46">
        <f t="shared" si="42"/>
        <v>2.97</v>
      </c>
      <c r="AF46">
        <f t="shared" si="43"/>
        <v>0</v>
      </c>
      <c r="AG46">
        <f t="shared" si="44"/>
        <v>0</v>
      </c>
      <c r="AH46">
        <f t="shared" si="45"/>
        <v>0</v>
      </c>
      <c r="AI46">
        <f t="shared" si="46"/>
        <v>0</v>
      </c>
      <c r="AJ46">
        <f t="shared" si="47"/>
        <v>0</v>
      </c>
      <c r="AK46">
        <v>10.82</v>
      </c>
      <c r="AL46">
        <v>0</v>
      </c>
      <c r="AM46">
        <v>10.82</v>
      </c>
      <c r="AN46">
        <v>2.97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70</v>
      </c>
      <c r="AU46">
        <v>10</v>
      </c>
      <c r="AV46">
        <v>1</v>
      </c>
      <c r="AW46">
        <v>1</v>
      </c>
      <c r="AZ46">
        <v>1</v>
      </c>
      <c r="BA46">
        <v>1</v>
      </c>
      <c r="BB46">
        <v>1</v>
      </c>
      <c r="BC46">
        <v>1</v>
      </c>
      <c r="BD46" t="s">
        <v>3</v>
      </c>
      <c r="BE46" t="s">
        <v>3</v>
      </c>
      <c r="BF46" t="s">
        <v>3</v>
      </c>
      <c r="BG46" t="s">
        <v>3</v>
      </c>
      <c r="BH46">
        <v>2</v>
      </c>
      <c r="BI46">
        <v>4</v>
      </c>
      <c r="BJ46" t="s">
        <v>85</v>
      </c>
      <c r="BM46">
        <v>0</v>
      </c>
      <c r="BN46">
        <v>0</v>
      </c>
      <c r="BO46" t="s">
        <v>3</v>
      </c>
      <c r="BP46">
        <v>0</v>
      </c>
      <c r="BQ46">
        <v>1</v>
      </c>
      <c r="BR46">
        <v>1</v>
      </c>
      <c r="BS46">
        <v>1</v>
      </c>
      <c r="BT46">
        <v>1</v>
      </c>
      <c r="BU46">
        <v>1</v>
      </c>
      <c r="BV46">
        <v>1</v>
      </c>
      <c r="BW46">
        <v>1</v>
      </c>
      <c r="BX46">
        <v>1</v>
      </c>
      <c r="BY46" t="s">
        <v>3</v>
      </c>
      <c r="BZ46">
        <v>70</v>
      </c>
      <c r="CA46">
        <v>10</v>
      </c>
      <c r="CE46">
        <v>0</v>
      </c>
      <c r="CF46">
        <v>0</v>
      </c>
      <c r="CG46">
        <v>0</v>
      </c>
      <c r="CM46">
        <v>0</v>
      </c>
      <c r="CN46" t="s">
        <v>3</v>
      </c>
      <c r="CO46">
        <v>0</v>
      </c>
      <c r="CP46">
        <f t="shared" si="48"/>
        <v>-2.35</v>
      </c>
      <c r="CQ46">
        <f t="shared" si="49"/>
        <v>0</v>
      </c>
      <c r="CR46">
        <f t="shared" si="50"/>
        <v>10.82</v>
      </c>
      <c r="CS46">
        <f t="shared" si="51"/>
        <v>2.97</v>
      </c>
      <c r="CT46">
        <f t="shared" si="52"/>
        <v>0</v>
      </c>
      <c r="CU46">
        <f t="shared" si="53"/>
        <v>0</v>
      </c>
      <c r="CV46">
        <f t="shared" si="54"/>
        <v>0</v>
      </c>
      <c r="CW46">
        <f t="shared" si="55"/>
        <v>0</v>
      </c>
      <c r="CX46">
        <f t="shared" si="56"/>
        <v>0</v>
      </c>
      <c r="CY46">
        <f t="shared" si="57"/>
        <v>0</v>
      </c>
      <c r="CZ46">
        <f t="shared" si="58"/>
        <v>0</v>
      </c>
      <c r="DC46" t="s">
        <v>3</v>
      </c>
      <c r="DD46" t="s">
        <v>3</v>
      </c>
      <c r="DE46" t="s">
        <v>3</v>
      </c>
      <c r="DF46" t="s">
        <v>3</v>
      </c>
      <c r="DG46" t="s">
        <v>3</v>
      </c>
      <c r="DH46" t="s">
        <v>3</v>
      </c>
      <c r="DI46" t="s">
        <v>3</v>
      </c>
      <c r="DJ46" t="s">
        <v>3</v>
      </c>
      <c r="DK46" t="s">
        <v>3</v>
      </c>
      <c r="DL46" t="s">
        <v>3</v>
      </c>
      <c r="DM46" t="s">
        <v>3</v>
      </c>
      <c r="DN46">
        <v>0</v>
      </c>
      <c r="DO46">
        <v>0</v>
      </c>
      <c r="DP46">
        <v>1</v>
      </c>
      <c r="DQ46">
        <v>1</v>
      </c>
      <c r="DU46">
        <v>1011</v>
      </c>
      <c r="DV46" t="s">
        <v>84</v>
      </c>
      <c r="DW46" t="s">
        <v>84</v>
      </c>
      <c r="DX46">
        <v>1</v>
      </c>
      <c r="EE46">
        <v>52362078</v>
      </c>
      <c r="EF46">
        <v>1</v>
      </c>
      <c r="EG46" t="s">
        <v>22</v>
      </c>
      <c r="EH46">
        <v>0</v>
      </c>
      <c r="EI46" t="s">
        <v>3</v>
      </c>
      <c r="EJ46">
        <v>4</v>
      </c>
      <c r="EK46">
        <v>0</v>
      </c>
      <c r="EL46" t="s">
        <v>23</v>
      </c>
      <c r="EM46" t="s">
        <v>24</v>
      </c>
      <c r="EO46" t="s">
        <v>3</v>
      </c>
      <c r="EQ46">
        <v>0</v>
      </c>
      <c r="ER46">
        <v>10.82</v>
      </c>
      <c r="ES46">
        <v>0</v>
      </c>
      <c r="ET46">
        <v>10.82</v>
      </c>
      <c r="EU46">
        <v>2.97</v>
      </c>
      <c r="EV46">
        <v>0</v>
      </c>
      <c r="EW46">
        <v>0</v>
      </c>
      <c r="EX46">
        <v>0</v>
      </c>
      <c r="FQ46">
        <v>0</v>
      </c>
      <c r="FR46">
        <f t="shared" si="59"/>
        <v>0</v>
      </c>
      <c r="FS46">
        <v>0</v>
      </c>
      <c r="FX46">
        <v>70</v>
      </c>
      <c r="FY46">
        <v>10</v>
      </c>
      <c r="GA46" t="s">
        <v>3</v>
      </c>
      <c r="GD46">
        <v>0</v>
      </c>
      <c r="GF46">
        <v>1349119844</v>
      </c>
      <c r="GG46">
        <v>2</v>
      </c>
      <c r="GH46">
        <v>1</v>
      </c>
      <c r="GI46">
        <v>-2</v>
      </c>
      <c r="GJ46">
        <v>0</v>
      </c>
      <c r="GK46">
        <f>ROUND(R46*(R12)/100,2)</f>
        <v>-0.7</v>
      </c>
      <c r="GL46">
        <f t="shared" si="60"/>
        <v>0</v>
      </c>
      <c r="GM46">
        <f t="shared" si="61"/>
        <v>-3.05</v>
      </c>
      <c r="GN46">
        <f t="shared" si="62"/>
        <v>0</v>
      </c>
      <c r="GO46">
        <f t="shared" si="63"/>
        <v>0</v>
      </c>
      <c r="GP46">
        <f t="shared" si="64"/>
        <v>-3.05</v>
      </c>
      <c r="GR46">
        <v>0</v>
      </c>
      <c r="GS46">
        <v>7</v>
      </c>
      <c r="GT46">
        <v>0</v>
      </c>
      <c r="GU46" t="s">
        <v>3</v>
      </c>
      <c r="GV46">
        <f t="shared" si="65"/>
        <v>0</v>
      </c>
      <c r="GW46">
        <v>1</v>
      </c>
      <c r="GX46">
        <f t="shared" si="66"/>
        <v>0</v>
      </c>
      <c r="HA46">
        <v>0</v>
      </c>
      <c r="HB46">
        <v>0</v>
      </c>
      <c r="HC46">
        <f t="shared" si="67"/>
        <v>0</v>
      </c>
      <c r="HE46" t="s">
        <v>3</v>
      </c>
      <c r="HF46" t="s">
        <v>3</v>
      </c>
      <c r="IK46">
        <v>0</v>
      </c>
    </row>
    <row r="47" spans="1:245" x14ac:dyDescent="0.2">
      <c r="A47">
        <v>18</v>
      </c>
      <c r="B47">
        <v>1</v>
      </c>
      <c r="C47">
        <v>55</v>
      </c>
      <c r="E47" t="s">
        <v>86</v>
      </c>
      <c r="F47" t="s">
        <v>87</v>
      </c>
      <c r="G47" t="s">
        <v>88</v>
      </c>
      <c r="H47" t="s">
        <v>84</v>
      </c>
      <c r="I47">
        <f>I44*J47</f>
        <v>-0.57999999999999996</v>
      </c>
      <c r="J47">
        <v>-14.499999999999998</v>
      </c>
      <c r="O47">
        <f t="shared" si="28"/>
        <v>-15.78</v>
      </c>
      <c r="P47">
        <f t="shared" si="29"/>
        <v>0</v>
      </c>
      <c r="Q47">
        <f t="shared" si="30"/>
        <v>-15.78</v>
      </c>
      <c r="R47">
        <f t="shared" si="31"/>
        <v>-0.08</v>
      </c>
      <c r="S47">
        <f t="shared" si="32"/>
        <v>0</v>
      </c>
      <c r="T47">
        <f t="shared" si="33"/>
        <v>0</v>
      </c>
      <c r="U47">
        <f t="shared" si="34"/>
        <v>0</v>
      </c>
      <c r="V47">
        <f t="shared" si="35"/>
        <v>0</v>
      </c>
      <c r="W47">
        <f t="shared" si="36"/>
        <v>0</v>
      </c>
      <c r="X47">
        <f t="shared" si="37"/>
        <v>0</v>
      </c>
      <c r="Y47">
        <f t="shared" si="38"/>
        <v>0</v>
      </c>
      <c r="AA47">
        <v>52430918</v>
      </c>
      <c r="AB47">
        <f t="shared" si="39"/>
        <v>27.21</v>
      </c>
      <c r="AC47">
        <f t="shared" si="40"/>
        <v>0</v>
      </c>
      <c r="AD47">
        <f t="shared" si="41"/>
        <v>27.21</v>
      </c>
      <c r="AE47">
        <f t="shared" si="42"/>
        <v>0.13</v>
      </c>
      <c r="AF47">
        <f t="shared" si="43"/>
        <v>0</v>
      </c>
      <c r="AG47">
        <f t="shared" si="44"/>
        <v>0</v>
      </c>
      <c r="AH47">
        <f t="shared" si="45"/>
        <v>0</v>
      </c>
      <c r="AI47">
        <f t="shared" si="46"/>
        <v>0</v>
      </c>
      <c r="AJ47">
        <f t="shared" si="47"/>
        <v>0</v>
      </c>
      <c r="AK47">
        <v>27.21</v>
      </c>
      <c r="AL47">
        <v>0</v>
      </c>
      <c r="AM47">
        <v>27.21</v>
      </c>
      <c r="AN47">
        <v>0.13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70</v>
      </c>
      <c r="AU47">
        <v>10</v>
      </c>
      <c r="AV47">
        <v>1</v>
      </c>
      <c r="AW47">
        <v>1</v>
      </c>
      <c r="AZ47">
        <v>1</v>
      </c>
      <c r="BA47">
        <v>1</v>
      </c>
      <c r="BB47">
        <v>1</v>
      </c>
      <c r="BC47">
        <v>1</v>
      </c>
      <c r="BD47" t="s">
        <v>3</v>
      </c>
      <c r="BE47" t="s">
        <v>3</v>
      </c>
      <c r="BF47" t="s">
        <v>3</v>
      </c>
      <c r="BG47" t="s">
        <v>3</v>
      </c>
      <c r="BH47">
        <v>2</v>
      </c>
      <c r="BI47">
        <v>4</v>
      </c>
      <c r="BJ47" t="s">
        <v>89</v>
      </c>
      <c r="BM47">
        <v>0</v>
      </c>
      <c r="BN47">
        <v>0</v>
      </c>
      <c r="BO47" t="s">
        <v>3</v>
      </c>
      <c r="BP47">
        <v>0</v>
      </c>
      <c r="BQ47">
        <v>1</v>
      </c>
      <c r="BR47">
        <v>1</v>
      </c>
      <c r="BS47">
        <v>1</v>
      </c>
      <c r="BT47">
        <v>1</v>
      </c>
      <c r="BU47">
        <v>1</v>
      </c>
      <c r="BV47">
        <v>1</v>
      </c>
      <c r="BW47">
        <v>1</v>
      </c>
      <c r="BX47">
        <v>1</v>
      </c>
      <c r="BY47" t="s">
        <v>3</v>
      </c>
      <c r="BZ47">
        <v>70</v>
      </c>
      <c r="CA47">
        <v>10</v>
      </c>
      <c r="CE47">
        <v>0</v>
      </c>
      <c r="CF47">
        <v>0</v>
      </c>
      <c r="CG47">
        <v>0</v>
      </c>
      <c r="CM47">
        <v>0</v>
      </c>
      <c r="CN47" t="s">
        <v>3</v>
      </c>
      <c r="CO47">
        <v>0</v>
      </c>
      <c r="CP47">
        <f t="shared" si="48"/>
        <v>-15.78</v>
      </c>
      <c r="CQ47">
        <f t="shared" si="49"/>
        <v>0</v>
      </c>
      <c r="CR47">
        <f t="shared" si="50"/>
        <v>27.21</v>
      </c>
      <c r="CS47">
        <f t="shared" si="51"/>
        <v>0.13</v>
      </c>
      <c r="CT47">
        <f t="shared" si="52"/>
        <v>0</v>
      </c>
      <c r="CU47">
        <f t="shared" si="53"/>
        <v>0</v>
      </c>
      <c r="CV47">
        <f t="shared" si="54"/>
        <v>0</v>
      </c>
      <c r="CW47">
        <f t="shared" si="55"/>
        <v>0</v>
      </c>
      <c r="CX47">
        <f t="shared" si="56"/>
        <v>0</v>
      </c>
      <c r="CY47">
        <f t="shared" si="57"/>
        <v>0</v>
      </c>
      <c r="CZ47">
        <f t="shared" si="58"/>
        <v>0</v>
      </c>
      <c r="DC47" t="s">
        <v>3</v>
      </c>
      <c r="DD47" t="s">
        <v>3</v>
      </c>
      <c r="DE47" t="s">
        <v>3</v>
      </c>
      <c r="DF47" t="s">
        <v>3</v>
      </c>
      <c r="DG47" t="s">
        <v>3</v>
      </c>
      <c r="DH47" t="s">
        <v>3</v>
      </c>
      <c r="DI47" t="s">
        <v>3</v>
      </c>
      <c r="DJ47" t="s">
        <v>3</v>
      </c>
      <c r="DK47" t="s">
        <v>3</v>
      </c>
      <c r="DL47" t="s">
        <v>3</v>
      </c>
      <c r="DM47" t="s">
        <v>3</v>
      </c>
      <c r="DN47">
        <v>0</v>
      </c>
      <c r="DO47">
        <v>0</v>
      </c>
      <c r="DP47">
        <v>1</v>
      </c>
      <c r="DQ47">
        <v>1</v>
      </c>
      <c r="DU47">
        <v>1011</v>
      </c>
      <c r="DV47" t="s">
        <v>84</v>
      </c>
      <c r="DW47" t="s">
        <v>84</v>
      </c>
      <c r="DX47">
        <v>1</v>
      </c>
      <c r="EE47">
        <v>52362078</v>
      </c>
      <c r="EF47">
        <v>1</v>
      </c>
      <c r="EG47" t="s">
        <v>22</v>
      </c>
      <c r="EH47">
        <v>0</v>
      </c>
      <c r="EI47" t="s">
        <v>3</v>
      </c>
      <c r="EJ47">
        <v>4</v>
      </c>
      <c r="EK47">
        <v>0</v>
      </c>
      <c r="EL47" t="s">
        <v>23</v>
      </c>
      <c r="EM47" t="s">
        <v>24</v>
      </c>
      <c r="EO47" t="s">
        <v>3</v>
      </c>
      <c r="EQ47">
        <v>0</v>
      </c>
      <c r="ER47">
        <v>27.21</v>
      </c>
      <c r="ES47">
        <v>0</v>
      </c>
      <c r="ET47">
        <v>27.21</v>
      </c>
      <c r="EU47">
        <v>0.13</v>
      </c>
      <c r="EV47">
        <v>0</v>
      </c>
      <c r="EW47">
        <v>0</v>
      </c>
      <c r="EX47">
        <v>0</v>
      </c>
      <c r="FQ47">
        <v>0</v>
      </c>
      <c r="FR47">
        <f t="shared" si="59"/>
        <v>0</v>
      </c>
      <c r="FS47">
        <v>0</v>
      </c>
      <c r="FX47">
        <v>70</v>
      </c>
      <c r="FY47">
        <v>10</v>
      </c>
      <c r="GA47" t="s">
        <v>3</v>
      </c>
      <c r="GD47">
        <v>0</v>
      </c>
      <c r="GF47">
        <v>-1757825014</v>
      </c>
      <c r="GG47">
        <v>2</v>
      </c>
      <c r="GH47">
        <v>1</v>
      </c>
      <c r="GI47">
        <v>-2</v>
      </c>
      <c r="GJ47">
        <v>0</v>
      </c>
      <c r="GK47">
        <f>ROUND(R47*(R12)/100,2)</f>
        <v>-0.09</v>
      </c>
      <c r="GL47">
        <f t="shared" si="60"/>
        <v>0</v>
      </c>
      <c r="GM47">
        <f t="shared" si="61"/>
        <v>-15.87</v>
      </c>
      <c r="GN47">
        <f t="shared" si="62"/>
        <v>0</v>
      </c>
      <c r="GO47">
        <f t="shared" si="63"/>
        <v>0</v>
      </c>
      <c r="GP47">
        <f t="shared" si="64"/>
        <v>-15.87</v>
      </c>
      <c r="GR47">
        <v>0</v>
      </c>
      <c r="GS47">
        <v>7</v>
      </c>
      <c r="GT47">
        <v>0</v>
      </c>
      <c r="GU47" t="s">
        <v>3</v>
      </c>
      <c r="GV47">
        <f t="shared" si="65"/>
        <v>0</v>
      </c>
      <c r="GW47">
        <v>1</v>
      </c>
      <c r="GX47">
        <f t="shared" si="66"/>
        <v>0</v>
      </c>
      <c r="HA47">
        <v>0</v>
      </c>
      <c r="HB47">
        <v>0</v>
      </c>
      <c r="HC47">
        <f t="shared" si="67"/>
        <v>0</v>
      </c>
      <c r="HE47" t="s">
        <v>3</v>
      </c>
      <c r="HF47" t="s">
        <v>3</v>
      </c>
      <c r="IK47">
        <v>0</v>
      </c>
    </row>
    <row r="48" spans="1:245" x14ac:dyDescent="0.2">
      <c r="A48">
        <v>18</v>
      </c>
      <c r="B48">
        <v>1</v>
      </c>
      <c r="C48">
        <v>54</v>
      </c>
      <c r="E48" t="s">
        <v>90</v>
      </c>
      <c r="F48" t="s">
        <v>91</v>
      </c>
      <c r="G48" t="s">
        <v>92</v>
      </c>
      <c r="H48" t="s">
        <v>84</v>
      </c>
      <c r="I48">
        <f>I44*J48</f>
        <v>-3.5999999999999999E-3</v>
      </c>
      <c r="J48">
        <v>-0.09</v>
      </c>
      <c r="O48">
        <f t="shared" si="28"/>
        <v>-3.63</v>
      </c>
      <c r="P48">
        <f t="shared" si="29"/>
        <v>0</v>
      </c>
      <c r="Q48">
        <f t="shared" si="30"/>
        <v>-3.63</v>
      </c>
      <c r="R48">
        <f t="shared" si="31"/>
        <v>-2</v>
      </c>
      <c r="S48">
        <f t="shared" si="32"/>
        <v>0</v>
      </c>
      <c r="T48">
        <f t="shared" si="33"/>
        <v>0</v>
      </c>
      <c r="U48">
        <f t="shared" si="34"/>
        <v>0</v>
      </c>
      <c r="V48">
        <f t="shared" si="35"/>
        <v>0</v>
      </c>
      <c r="W48">
        <f t="shared" si="36"/>
        <v>0</v>
      </c>
      <c r="X48">
        <f t="shared" si="37"/>
        <v>0</v>
      </c>
      <c r="Y48">
        <f t="shared" si="38"/>
        <v>0</v>
      </c>
      <c r="AA48">
        <v>52430918</v>
      </c>
      <c r="AB48">
        <f t="shared" si="39"/>
        <v>1009.65</v>
      </c>
      <c r="AC48">
        <f t="shared" si="40"/>
        <v>0</v>
      </c>
      <c r="AD48">
        <f t="shared" si="41"/>
        <v>1009.65</v>
      </c>
      <c r="AE48">
        <f t="shared" si="42"/>
        <v>554.42999999999995</v>
      </c>
      <c r="AF48">
        <f t="shared" si="43"/>
        <v>0</v>
      </c>
      <c r="AG48">
        <f t="shared" si="44"/>
        <v>0</v>
      </c>
      <c r="AH48">
        <f t="shared" si="45"/>
        <v>0</v>
      </c>
      <c r="AI48">
        <f t="shared" si="46"/>
        <v>0</v>
      </c>
      <c r="AJ48">
        <f t="shared" si="47"/>
        <v>0</v>
      </c>
      <c r="AK48">
        <v>1009.65</v>
      </c>
      <c r="AL48">
        <v>0</v>
      </c>
      <c r="AM48">
        <v>1009.65</v>
      </c>
      <c r="AN48">
        <v>554.42999999999995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70</v>
      </c>
      <c r="AU48">
        <v>10</v>
      </c>
      <c r="AV48">
        <v>1</v>
      </c>
      <c r="AW48">
        <v>1</v>
      </c>
      <c r="AZ48">
        <v>1</v>
      </c>
      <c r="BA48">
        <v>1</v>
      </c>
      <c r="BB48">
        <v>1</v>
      </c>
      <c r="BC48">
        <v>1</v>
      </c>
      <c r="BD48" t="s">
        <v>3</v>
      </c>
      <c r="BE48" t="s">
        <v>3</v>
      </c>
      <c r="BF48" t="s">
        <v>3</v>
      </c>
      <c r="BG48" t="s">
        <v>3</v>
      </c>
      <c r="BH48">
        <v>2</v>
      </c>
      <c r="BI48">
        <v>4</v>
      </c>
      <c r="BJ48" t="s">
        <v>93</v>
      </c>
      <c r="BM48">
        <v>0</v>
      </c>
      <c r="BN48">
        <v>0</v>
      </c>
      <c r="BO48" t="s">
        <v>3</v>
      </c>
      <c r="BP48">
        <v>0</v>
      </c>
      <c r="BQ48">
        <v>1</v>
      </c>
      <c r="BR48">
        <v>1</v>
      </c>
      <c r="BS48">
        <v>1</v>
      </c>
      <c r="BT48">
        <v>1</v>
      </c>
      <c r="BU48">
        <v>1</v>
      </c>
      <c r="BV48">
        <v>1</v>
      </c>
      <c r="BW48">
        <v>1</v>
      </c>
      <c r="BX48">
        <v>1</v>
      </c>
      <c r="BY48" t="s">
        <v>3</v>
      </c>
      <c r="BZ48">
        <v>70</v>
      </c>
      <c r="CA48">
        <v>10</v>
      </c>
      <c r="CE48">
        <v>0</v>
      </c>
      <c r="CF48">
        <v>0</v>
      </c>
      <c r="CG48">
        <v>0</v>
      </c>
      <c r="CM48">
        <v>0</v>
      </c>
      <c r="CN48" t="s">
        <v>3</v>
      </c>
      <c r="CO48">
        <v>0</v>
      </c>
      <c r="CP48">
        <f t="shared" si="48"/>
        <v>-3.63</v>
      </c>
      <c r="CQ48">
        <f t="shared" si="49"/>
        <v>0</v>
      </c>
      <c r="CR48">
        <f t="shared" si="50"/>
        <v>1009.65</v>
      </c>
      <c r="CS48">
        <f t="shared" si="51"/>
        <v>554.42999999999995</v>
      </c>
      <c r="CT48">
        <f t="shared" si="52"/>
        <v>0</v>
      </c>
      <c r="CU48">
        <f t="shared" si="53"/>
        <v>0</v>
      </c>
      <c r="CV48">
        <f t="shared" si="54"/>
        <v>0</v>
      </c>
      <c r="CW48">
        <f t="shared" si="55"/>
        <v>0</v>
      </c>
      <c r="CX48">
        <f t="shared" si="56"/>
        <v>0</v>
      </c>
      <c r="CY48">
        <f t="shared" si="57"/>
        <v>0</v>
      </c>
      <c r="CZ48">
        <f t="shared" si="58"/>
        <v>0</v>
      </c>
      <c r="DC48" t="s">
        <v>3</v>
      </c>
      <c r="DD48" t="s">
        <v>3</v>
      </c>
      <c r="DE48" t="s">
        <v>3</v>
      </c>
      <c r="DF48" t="s">
        <v>3</v>
      </c>
      <c r="DG48" t="s">
        <v>3</v>
      </c>
      <c r="DH48" t="s">
        <v>3</v>
      </c>
      <c r="DI48" t="s">
        <v>3</v>
      </c>
      <c r="DJ48" t="s">
        <v>3</v>
      </c>
      <c r="DK48" t="s">
        <v>3</v>
      </c>
      <c r="DL48" t="s">
        <v>3</v>
      </c>
      <c r="DM48" t="s">
        <v>3</v>
      </c>
      <c r="DN48">
        <v>0</v>
      </c>
      <c r="DO48">
        <v>0</v>
      </c>
      <c r="DP48">
        <v>1</v>
      </c>
      <c r="DQ48">
        <v>1</v>
      </c>
      <c r="DU48">
        <v>1011</v>
      </c>
      <c r="DV48" t="s">
        <v>84</v>
      </c>
      <c r="DW48" t="s">
        <v>84</v>
      </c>
      <c r="DX48">
        <v>1</v>
      </c>
      <c r="EE48">
        <v>52362078</v>
      </c>
      <c r="EF48">
        <v>1</v>
      </c>
      <c r="EG48" t="s">
        <v>22</v>
      </c>
      <c r="EH48">
        <v>0</v>
      </c>
      <c r="EI48" t="s">
        <v>3</v>
      </c>
      <c r="EJ48">
        <v>4</v>
      </c>
      <c r="EK48">
        <v>0</v>
      </c>
      <c r="EL48" t="s">
        <v>23</v>
      </c>
      <c r="EM48" t="s">
        <v>24</v>
      </c>
      <c r="EO48" t="s">
        <v>3</v>
      </c>
      <c r="EQ48">
        <v>0</v>
      </c>
      <c r="ER48">
        <v>1009.65</v>
      </c>
      <c r="ES48">
        <v>0</v>
      </c>
      <c r="ET48">
        <v>1009.65</v>
      </c>
      <c r="EU48">
        <v>554.42999999999995</v>
      </c>
      <c r="EV48">
        <v>0</v>
      </c>
      <c r="EW48">
        <v>0</v>
      </c>
      <c r="EX48">
        <v>0</v>
      </c>
      <c r="FQ48">
        <v>0</v>
      </c>
      <c r="FR48">
        <f t="shared" si="59"/>
        <v>0</v>
      </c>
      <c r="FS48">
        <v>0</v>
      </c>
      <c r="FX48">
        <v>70</v>
      </c>
      <c r="FY48">
        <v>10</v>
      </c>
      <c r="GA48" t="s">
        <v>3</v>
      </c>
      <c r="GD48">
        <v>0</v>
      </c>
      <c r="GF48">
        <v>-1957514721</v>
      </c>
      <c r="GG48">
        <v>2</v>
      </c>
      <c r="GH48">
        <v>1</v>
      </c>
      <c r="GI48">
        <v>-2</v>
      </c>
      <c r="GJ48">
        <v>0</v>
      </c>
      <c r="GK48">
        <f>ROUND(R48*(R12)/100,2)</f>
        <v>-2.16</v>
      </c>
      <c r="GL48">
        <f t="shared" si="60"/>
        <v>0</v>
      </c>
      <c r="GM48">
        <f t="shared" si="61"/>
        <v>-5.79</v>
      </c>
      <c r="GN48">
        <f t="shared" si="62"/>
        <v>0</v>
      </c>
      <c r="GO48">
        <f t="shared" si="63"/>
        <v>0</v>
      </c>
      <c r="GP48">
        <f t="shared" si="64"/>
        <v>-5.79</v>
      </c>
      <c r="GR48">
        <v>0</v>
      </c>
      <c r="GS48">
        <v>7</v>
      </c>
      <c r="GT48">
        <v>0</v>
      </c>
      <c r="GU48" t="s">
        <v>3</v>
      </c>
      <c r="GV48">
        <f t="shared" si="65"/>
        <v>0</v>
      </c>
      <c r="GW48">
        <v>1</v>
      </c>
      <c r="GX48">
        <f t="shared" si="66"/>
        <v>0</v>
      </c>
      <c r="HA48">
        <v>0</v>
      </c>
      <c r="HB48">
        <v>0</v>
      </c>
      <c r="HC48">
        <f t="shared" si="67"/>
        <v>0</v>
      </c>
      <c r="HE48" t="s">
        <v>3</v>
      </c>
      <c r="HF48" t="s">
        <v>3</v>
      </c>
      <c r="IK48">
        <v>0</v>
      </c>
    </row>
    <row r="49" spans="1:245" x14ac:dyDescent="0.2">
      <c r="A49">
        <v>18</v>
      </c>
      <c r="B49">
        <v>1</v>
      </c>
      <c r="C49">
        <v>59</v>
      </c>
      <c r="E49" t="s">
        <v>94</v>
      </c>
      <c r="F49" t="s">
        <v>95</v>
      </c>
      <c r="G49" t="s">
        <v>96</v>
      </c>
      <c r="H49" t="s">
        <v>28</v>
      </c>
      <c r="I49">
        <f>I44*J49</f>
        <v>-0.2</v>
      </c>
      <c r="J49">
        <v>-5</v>
      </c>
      <c r="O49">
        <f t="shared" si="28"/>
        <v>-608.08000000000004</v>
      </c>
      <c r="P49">
        <f t="shared" si="29"/>
        <v>-608.08000000000004</v>
      </c>
      <c r="Q49">
        <f t="shared" si="30"/>
        <v>0</v>
      </c>
      <c r="R49">
        <f t="shared" si="31"/>
        <v>0</v>
      </c>
      <c r="S49">
        <f t="shared" si="32"/>
        <v>0</v>
      </c>
      <c r="T49">
        <f t="shared" si="33"/>
        <v>0</v>
      </c>
      <c r="U49">
        <f t="shared" si="34"/>
        <v>0</v>
      </c>
      <c r="V49">
        <f t="shared" si="35"/>
        <v>0</v>
      </c>
      <c r="W49">
        <f t="shared" si="36"/>
        <v>0</v>
      </c>
      <c r="X49">
        <f t="shared" si="37"/>
        <v>0</v>
      </c>
      <c r="Y49">
        <f t="shared" si="38"/>
        <v>0</v>
      </c>
      <c r="AA49">
        <v>52430918</v>
      </c>
      <c r="AB49">
        <f t="shared" si="39"/>
        <v>3040.38</v>
      </c>
      <c r="AC49">
        <f t="shared" si="40"/>
        <v>3040.38</v>
      </c>
      <c r="AD49">
        <f t="shared" si="41"/>
        <v>0</v>
      </c>
      <c r="AE49">
        <f t="shared" si="42"/>
        <v>0</v>
      </c>
      <c r="AF49">
        <f t="shared" si="43"/>
        <v>0</v>
      </c>
      <c r="AG49">
        <f t="shared" si="44"/>
        <v>0</v>
      </c>
      <c r="AH49">
        <f t="shared" si="45"/>
        <v>0</v>
      </c>
      <c r="AI49">
        <f t="shared" si="46"/>
        <v>0</v>
      </c>
      <c r="AJ49">
        <f t="shared" si="47"/>
        <v>0</v>
      </c>
      <c r="AK49">
        <v>3040.38</v>
      </c>
      <c r="AL49">
        <v>3040.38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70</v>
      </c>
      <c r="AU49">
        <v>10</v>
      </c>
      <c r="AV49">
        <v>1</v>
      </c>
      <c r="AW49">
        <v>1</v>
      </c>
      <c r="AZ49">
        <v>1</v>
      </c>
      <c r="BA49">
        <v>1</v>
      </c>
      <c r="BB49">
        <v>1</v>
      </c>
      <c r="BC49">
        <v>1</v>
      </c>
      <c r="BD49" t="s">
        <v>3</v>
      </c>
      <c r="BE49" t="s">
        <v>3</v>
      </c>
      <c r="BF49" t="s">
        <v>3</v>
      </c>
      <c r="BG49" t="s">
        <v>3</v>
      </c>
      <c r="BH49">
        <v>3</v>
      </c>
      <c r="BI49">
        <v>4</v>
      </c>
      <c r="BJ49" t="s">
        <v>97</v>
      </c>
      <c r="BM49">
        <v>0</v>
      </c>
      <c r="BN49">
        <v>0</v>
      </c>
      <c r="BO49" t="s">
        <v>3</v>
      </c>
      <c r="BP49">
        <v>0</v>
      </c>
      <c r="BQ49">
        <v>1</v>
      </c>
      <c r="BR49">
        <v>1</v>
      </c>
      <c r="BS49">
        <v>1</v>
      </c>
      <c r="BT49">
        <v>1</v>
      </c>
      <c r="BU49">
        <v>1</v>
      </c>
      <c r="BV49">
        <v>1</v>
      </c>
      <c r="BW49">
        <v>1</v>
      </c>
      <c r="BX49">
        <v>1</v>
      </c>
      <c r="BY49" t="s">
        <v>3</v>
      </c>
      <c r="BZ49">
        <v>70</v>
      </c>
      <c r="CA49">
        <v>10</v>
      </c>
      <c r="CE49">
        <v>0</v>
      </c>
      <c r="CF49">
        <v>0</v>
      </c>
      <c r="CG49">
        <v>0</v>
      </c>
      <c r="CM49">
        <v>0</v>
      </c>
      <c r="CN49" t="s">
        <v>3</v>
      </c>
      <c r="CO49">
        <v>0</v>
      </c>
      <c r="CP49">
        <f t="shared" si="48"/>
        <v>-608.08000000000004</v>
      </c>
      <c r="CQ49">
        <f t="shared" si="49"/>
        <v>3040.38</v>
      </c>
      <c r="CR49">
        <f t="shared" si="50"/>
        <v>0</v>
      </c>
      <c r="CS49">
        <f t="shared" si="51"/>
        <v>0</v>
      </c>
      <c r="CT49">
        <f t="shared" si="52"/>
        <v>0</v>
      </c>
      <c r="CU49">
        <f t="shared" si="53"/>
        <v>0</v>
      </c>
      <c r="CV49">
        <f t="shared" si="54"/>
        <v>0</v>
      </c>
      <c r="CW49">
        <f t="shared" si="55"/>
        <v>0</v>
      </c>
      <c r="CX49">
        <f t="shared" si="56"/>
        <v>0</v>
      </c>
      <c r="CY49">
        <f t="shared" si="57"/>
        <v>0</v>
      </c>
      <c r="CZ49">
        <f t="shared" si="58"/>
        <v>0</v>
      </c>
      <c r="DC49" t="s">
        <v>3</v>
      </c>
      <c r="DD49" t="s">
        <v>3</v>
      </c>
      <c r="DE49" t="s">
        <v>3</v>
      </c>
      <c r="DF49" t="s">
        <v>3</v>
      </c>
      <c r="DG49" t="s">
        <v>3</v>
      </c>
      <c r="DH49" t="s">
        <v>3</v>
      </c>
      <c r="DI49" t="s">
        <v>3</v>
      </c>
      <c r="DJ49" t="s">
        <v>3</v>
      </c>
      <c r="DK49" t="s">
        <v>3</v>
      </c>
      <c r="DL49" t="s">
        <v>3</v>
      </c>
      <c r="DM49" t="s">
        <v>3</v>
      </c>
      <c r="DN49">
        <v>0</v>
      </c>
      <c r="DO49">
        <v>0</v>
      </c>
      <c r="DP49">
        <v>1</v>
      </c>
      <c r="DQ49">
        <v>1</v>
      </c>
      <c r="DU49">
        <v>1007</v>
      </c>
      <c r="DV49" t="s">
        <v>28</v>
      </c>
      <c r="DW49" t="s">
        <v>28</v>
      </c>
      <c r="DX49">
        <v>1</v>
      </c>
      <c r="EE49">
        <v>52362078</v>
      </c>
      <c r="EF49">
        <v>1</v>
      </c>
      <c r="EG49" t="s">
        <v>22</v>
      </c>
      <c r="EH49">
        <v>0</v>
      </c>
      <c r="EI49" t="s">
        <v>3</v>
      </c>
      <c r="EJ49">
        <v>4</v>
      </c>
      <c r="EK49">
        <v>0</v>
      </c>
      <c r="EL49" t="s">
        <v>23</v>
      </c>
      <c r="EM49" t="s">
        <v>24</v>
      </c>
      <c r="EO49" t="s">
        <v>3</v>
      </c>
      <c r="EQ49">
        <v>0</v>
      </c>
      <c r="ER49">
        <v>3040.38</v>
      </c>
      <c r="ES49">
        <v>3040.38</v>
      </c>
      <c r="ET49">
        <v>0</v>
      </c>
      <c r="EU49">
        <v>0</v>
      </c>
      <c r="EV49">
        <v>0</v>
      </c>
      <c r="EW49">
        <v>0</v>
      </c>
      <c r="EX49">
        <v>0</v>
      </c>
      <c r="FQ49">
        <v>0</v>
      </c>
      <c r="FR49">
        <f t="shared" si="59"/>
        <v>0</v>
      </c>
      <c r="FS49">
        <v>0</v>
      </c>
      <c r="FX49">
        <v>70</v>
      </c>
      <c r="FY49">
        <v>10</v>
      </c>
      <c r="GA49" t="s">
        <v>3</v>
      </c>
      <c r="GD49">
        <v>0</v>
      </c>
      <c r="GF49">
        <v>395141172</v>
      </c>
      <c r="GG49">
        <v>2</v>
      </c>
      <c r="GH49">
        <v>1</v>
      </c>
      <c r="GI49">
        <v>-2</v>
      </c>
      <c r="GJ49">
        <v>0</v>
      </c>
      <c r="GK49">
        <f>ROUND(R49*(R12)/100,2)</f>
        <v>0</v>
      </c>
      <c r="GL49">
        <f t="shared" si="60"/>
        <v>0</v>
      </c>
      <c r="GM49">
        <f t="shared" si="61"/>
        <v>-608.08000000000004</v>
      </c>
      <c r="GN49">
        <f t="shared" si="62"/>
        <v>0</v>
      </c>
      <c r="GO49">
        <f t="shared" si="63"/>
        <v>0</v>
      </c>
      <c r="GP49">
        <f t="shared" si="64"/>
        <v>-608.08000000000004</v>
      </c>
      <c r="GR49">
        <v>0</v>
      </c>
      <c r="GS49">
        <v>3</v>
      </c>
      <c r="GT49">
        <v>0</v>
      </c>
      <c r="GU49" t="s">
        <v>3</v>
      </c>
      <c r="GV49">
        <f t="shared" si="65"/>
        <v>0</v>
      </c>
      <c r="GW49">
        <v>1</v>
      </c>
      <c r="GX49">
        <f t="shared" si="66"/>
        <v>0</v>
      </c>
      <c r="HA49">
        <v>0</v>
      </c>
      <c r="HB49">
        <v>0</v>
      </c>
      <c r="HC49">
        <f t="shared" si="67"/>
        <v>0</v>
      </c>
      <c r="HE49" t="s">
        <v>3</v>
      </c>
      <c r="HF49" t="s">
        <v>3</v>
      </c>
      <c r="IK49">
        <v>0</v>
      </c>
    </row>
    <row r="50" spans="1:245" x14ac:dyDescent="0.2">
      <c r="A50">
        <v>18</v>
      </c>
      <c r="B50">
        <v>1</v>
      </c>
      <c r="C50">
        <v>57</v>
      </c>
      <c r="E50" t="s">
        <v>98</v>
      </c>
      <c r="F50" t="s">
        <v>99</v>
      </c>
      <c r="G50" t="s">
        <v>100</v>
      </c>
      <c r="H50" t="s">
        <v>101</v>
      </c>
      <c r="I50">
        <f>I44*J50</f>
        <v>-8.0000000000000004E-4</v>
      </c>
      <c r="J50">
        <v>-0.02</v>
      </c>
      <c r="O50">
        <f t="shared" si="28"/>
        <v>-88.62</v>
      </c>
      <c r="P50">
        <f t="shared" si="29"/>
        <v>-88.62</v>
      </c>
      <c r="Q50">
        <f t="shared" si="30"/>
        <v>0</v>
      </c>
      <c r="R50">
        <f t="shared" si="31"/>
        <v>0</v>
      </c>
      <c r="S50">
        <f t="shared" si="32"/>
        <v>0</v>
      </c>
      <c r="T50">
        <f t="shared" si="33"/>
        <v>0</v>
      </c>
      <c r="U50">
        <f t="shared" si="34"/>
        <v>0</v>
      </c>
      <c r="V50">
        <f t="shared" si="35"/>
        <v>0</v>
      </c>
      <c r="W50">
        <f t="shared" si="36"/>
        <v>0</v>
      </c>
      <c r="X50">
        <f t="shared" si="37"/>
        <v>0</v>
      </c>
      <c r="Y50">
        <f t="shared" si="38"/>
        <v>0</v>
      </c>
      <c r="AA50">
        <v>52430918</v>
      </c>
      <c r="AB50">
        <f t="shared" si="39"/>
        <v>110781.14</v>
      </c>
      <c r="AC50">
        <f t="shared" si="40"/>
        <v>110781.14</v>
      </c>
      <c r="AD50">
        <f t="shared" si="41"/>
        <v>0</v>
      </c>
      <c r="AE50">
        <f t="shared" si="42"/>
        <v>0</v>
      </c>
      <c r="AF50">
        <f t="shared" si="43"/>
        <v>0</v>
      </c>
      <c r="AG50">
        <f t="shared" si="44"/>
        <v>0</v>
      </c>
      <c r="AH50">
        <f t="shared" si="45"/>
        <v>0</v>
      </c>
      <c r="AI50">
        <f t="shared" si="46"/>
        <v>0</v>
      </c>
      <c r="AJ50">
        <f t="shared" si="47"/>
        <v>0</v>
      </c>
      <c r="AK50">
        <v>110781.14</v>
      </c>
      <c r="AL50">
        <v>110781.14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70</v>
      </c>
      <c r="AU50">
        <v>10</v>
      </c>
      <c r="AV50">
        <v>1</v>
      </c>
      <c r="AW50">
        <v>1</v>
      </c>
      <c r="AZ50">
        <v>1</v>
      </c>
      <c r="BA50">
        <v>1</v>
      </c>
      <c r="BB50">
        <v>1</v>
      </c>
      <c r="BC50">
        <v>1</v>
      </c>
      <c r="BD50" t="s">
        <v>3</v>
      </c>
      <c r="BE50" t="s">
        <v>3</v>
      </c>
      <c r="BF50" t="s">
        <v>3</v>
      </c>
      <c r="BG50" t="s">
        <v>3</v>
      </c>
      <c r="BH50">
        <v>3</v>
      </c>
      <c r="BI50">
        <v>4</v>
      </c>
      <c r="BJ50" t="s">
        <v>102</v>
      </c>
      <c r="BM50">
        <v>0</v>
      </c>
      <c r="BN50">
        <v>0</v>
      </c>
      <c r="BO50" t="s">
        <v>3</v>
      </c>
      <c r="BP50">
        <v>0</v>
      </c>
      <c r="BQ50">
        <v>1</v>
      </c>
      <c r="BR50">
        <v>1</v>
      </c>
      <c r="BS50">
        <v>1</v>
      </c>
      <c r="BT50">
        <v>1</v>
      </c>
      <c r="BU50">
        <v>1</v>
      </c>
      <c r="BV50">
        <v>1</v>
      </c>
      <c r="BW50">
        <v>1</v>
      </c>
      <c r="BX50">
        <v>1</v>
      </c>
      <c r="BY50" t="s">
        <v>3</v>
      </c>
      <c r="BZ50">
        <v>70</v>
      </c>
      <c r="CA50">
        <v>10</v>
      </c>
      <c r="CE50">
        <v>0</v>
      </c>
      <c r="CF50">
        <v>0</v>
      </c>
      <c r="CG50">
        <v>0</v>
      </c>
      <c r="CM50">
        <v>0</v>
      </c>
      <c r="CN50" t="s">
        <v>3</v>
      </c>
      <c r="CO50">
        <v>0</v>
      </c>
      <c r="CP50">
        <f t="shared" si="48"/>
        <v>-88.62</v>
      </c>
      <c r="CQ50">
        <f t="shared" si="49"/>
        <v>110781.14</v>
      </c>
      <c r="CR50">
        <f t="shared" si="50"/>
        <v>0</v>
      </c>
      <c r="CS50">
        <f t="shared" si="51"/>
        <v>0</v>
      </c>
      <c r="CT50">
        <f t="shared" si="52"/>
        <v>0</v>
      </c>
      <c r="CU50">
        <f t="shared" si="53"/>
        <v>0</v>
      </c>
      <c r="CV50">
        <f t="shared" si="54"/>
        <v>0</v>
      </c>
      <c r="CW50">
        <f t="shared" si="55"/>
        <v>0</v>
      </c>
      <c r="CX50">
        <f t="shared" si="56"/>
        <v>0</v>
      </c>
      <c r="CY50">
        <f t="shared" si="57"/>
        <v>0</v>
      </c>
      <c r="CZ50">
        <f t="shared" si="58"/>
        <v>0</v>
      </c>
      <c r="DC50" t="s">
        <v>3</v>
      </c>
      <c r="DD50" t="s">
        <v>3</v>
      </c>
      <c r="DE50" t="s">
        <v>3</v>
      </c>
      <c r="DF50" t="s">
        <v>3</v>
      </c>
      <c r="DG50" t="s">
        <v>3</v>
      </c>
      <c r="DH50" t="s">
        <v>3</v>
      </c>
      <c r="DI50" t="s">
        <v>3</v>
      </c>
      <c r="DJ50" t="s">
        <v>3</v>
      </c>
      <c r="DK50" t="s">
        <v>3</v>
      </c>
      <c r="DL50" t="s">
        <v>3</v>
      </c>
      <c r="DM50" t="s">
        <v>3</v>
      </c>
      <c r="DN50">
        <v>0</v>
      </c>
      <c r="DO50">
        <v>0</v>
      </c>
      <c r="DP50">
        <v>1</v>
      </c>
      <c r="DQ50">
        <v>1</v>
      </c>
      <c r="DU50">
        <v>1009</v>
      </c>
      <c r="DV50" t="s">
        <v>101</v>
      </c>
      <c r="DW50" t="s">
        <v>101</v>
      </c>
      <c r="DX50">
        <v>1000</v>
      </c>
      <c r="EE50">
        <v>52362078</v>
      </c>
      <c r="EF50">
        <v>1</v>
      </c>
      <c r="EG50" t="s">
        <v>22</v>
      </c>
      <c r="EH50">
        <v>0</v>
      </c>
      <c r="EI50" t="s">
        <v>3</v>
      </c>
      <c r="EJ50">
        <v>4</v>
      </c>
      <c r="EK50">
        <v>0</v>
      </c>
      <c r="EL50" t="s">
        <v>23</v>
      </c>
      <c r="EM50" t="s">
        <v>24</v>
      </c>
      <c r="EO50" t="s">
        <v>3</v>
      </c>
      <c r="EQ50">
        <v>0</v>
      </c>
      <c r="ER50">
        <v>110781.14</v>
      </c>
      <c r="ES50">
        <v>110781.14</v>
      </c>
      <c r="ET50">
        <v>0</v>
      </c>
      <c r="EU50">
        <v>0</v>
      </c>
      <c r="EV50">
        <v>0</v>
      </c>
      <c r="EW50">
        <v>0</v>
      </c>
      <c r="EX50">
        <v>0</v>
      </c>
      <c r="FQ50">
        <v>0</v>
      </c>
      <c r="FR50">
        <f t="shared" si="59"/>
        <v>0</v>
      </c>
      <c r="FS50">
        <v>0</v>
      </c>
      <c r="FX50">
        <v>70</v>
      </c>
      <c r="FY50">
        <v>10</v>
      </c>
      <c r="GA50" t="s">
        <v>3</v>
      </c>
      <c r="GD50">
        <v>0</v>
      </c>
      <c r="GF50">
        <v>-672771621</v>
      </c>
      <c r="GG50">
        <v>2</v>
      </c>
      <c r="GH50">
        <v>1</v>
      </c>
      <c r="GI50">
        <v>-2</v>
      </c>
      <c r="GJ50">
        <v>0</v>
      </c>
      <c r="GK50">
        <f>ROUND(R50*(R12)/100,2)</f>
        <v>0</v>
      </c>
      <c r="GL50">
        <f t="shared" si="60"/>
        <v>0</v>
      </c>
      <c r="GM50">
        <f t="shared" si="61"/>
        <v>-88.62</v>
      </c>
      <c r="GN50">
        <f t="shared" si="62"/>
        <v>0</v>
      </c>
      <c r="GO50">
        <f t="shared" si="63"/>
        <v>0</v>
      </c>
      <c r="GP50">
        <f t="shared" si="64"/>
        <v>-88.62</v>
      </c>
      <c r="GR50">
        <v>0</v>
      </c>
      <c r="GS50">
        <v>3</v>
      </c>
      <c r="GT50">
        <v>0</v>
      </c>
      <c r="GU50" t="s">
        <v>3</v>
      </c>
      <c r="GV50">
        <f t="shared" si="65"/>
        <v>0</v>
      </c>
      <c r="GW50">
        <v>1</v>
      </c>
      <c r="GX50">
        <f t="shared" si="66"/>
        <v>0</v>
      </c>
      <c r="HA50">
        <v>0</v>
      </c>
      <c r="HB50">
        <v>0</v>
      </c>
      <c r="HC50">
        <f t="shared" si="67"/>
        <v>0</v>
      </c>
      <c r="HE50" t="s">
        <v>3</v>
      </c>
      <c r="HF50" t="s">
        <v>3</v>
      </c>
      <c r="IK50">
        <v>0</v>
      </c>
    </row>
    <row r="51" spans="1:245" x14ac:dyDescent="0.2">
      <c r="A51">
        <v>18</v>
      </c>
      <c r="B51">
        <v>1</v>
      </c>
      <c r="C51">
        <v>61</v>
      </c>
      <c r="E51" t="s">
        <v>103</v>
      </c>
      <c r="F51" t="s">
        <v>104</v>
      </c>
      <c r="G51" t="s">
        <v>105</v>
      </c>
      <c r="H51" t="s">
        <v>106</v>
      </c>
      <c r="I51">
        <f>I44*J51</f>
        <v>1</v>
      </c>
      <c r="J51">
        <v>25</v>
      </c>
      <c r="O51">
        <f t="shared" si="28"/>
        <v>17250</v>
      </c>
      <c r="P51">
        <f t="shared" si="29"/>
        <v>17250</v>
      </c>
      <c r="Q51">
        <f t="shared" si="30"/>
        <v>0</v>
      </c>
      <c r="R51">
        <f t="shared" si="31"/>
        <v>0</v>
      </c>
      <c r="S51">
        <f t="shared" si="32"/>
        <v>0</v>
      </c>
      <c r="T51">
        <f t="shared" si="33"/>
        <v>0</v>
      </c>
      <c r="U51">
        <f t="shared" si="34"/>
        <v>0</v>
      </c>
      <c r="V51">
        <f t="shared" si="35"/>
        <v>0</v>
      </c>
      <c r="W51">
        <f t="shared" si="36"/>
        <v>0</v>
      </c>
      <c r="X51">
        <f t="shared" si="37"/>
        <v>0</v>
      </c>
      <c r="Y51">
        <f t="shared" si="38"/>
        <v>0</v>
      </c>
      <c r="AA51">
        <v>52430918</v>
      </c>
      <c r="AB51">
        <f t="shared" si="39"/>
        <v>17250</v>
      </c>
      <c r="AC51">
        <f t="shared" si="40"/>
        <v>17250</v>
      </c>
      <c r="AD51">
        <f t="shared" si="41"/>
        <v>0</v>
      </c>
      <c r="AE51">
        <f t="shared" si="42"/>
        <v>0</v>
      </c>
      <c r="AF51">
        <f t="shared" si="43"/>
        <v>0</v>
      </c>
      <c r="AG51">
        <f t="shared" si="44"/>
        <v>0</v>
      </c>
      <c r="AH51">
        <f t="shared" si="45"/>
        <v>0</v>
      </c>
      <c r="AI51">
        <f t="shared" si="46"/>
        <v>0</v>
      </c>
      <c r="AJ51">
        <f t="shared" si="47"/>
        <v>0</v>
      </c>
      <c r="AK51">
        <v>17250</v>
      </c>
      <c r="AL51">
        <v>17250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70</v>
      </c>
      <c r="AU51">
        <v>10</v>
      </c>
      <c r="AV51">
        <v>1</v>
      </c>
      <c r="AW51">
        <v>1</v>
      </c>
      <c r="AZ51">
        <v>1</v>
      </c>
      <c r="BA51">
        <v>1</v>
      </c>
      <c r="BB51">
        <v>1</v>
      </c>
      <c r="BC51">
        <v>1</v>
      </c>
      <c r="BD51" t="s">
        <v>3</v>
      </c>
      <c r="BE51" t="s">
        <v>3</v>
      </c>
      <c r="BF51" t="s">
        <v>3</v>
      </c>
      <c r="BG51" t="s">
        <v>3</v>
      </c>
      <c r="BH51">
        <v>3</v>
      </c>
      <c r="BI51">
        <v>4</v>
      </c>
      <c r="BJ51" t="s">
        <v>3</v>
      </c>
      <c r="BM51">
        <v>0</v>
      </c>
      <c r="BN51">
        <v>0</v>
      </c>
      <c r="BO51" t="s">
        <v>3</v>
      </c>
      <c r="BP51">
        <v>0</v>
      </c>
      <c r="BQ51">
        <v>1</v>
      </c>
      <c r="BR51">
        <v>0</v>
      </c>
      <c r="BS51">
        <v>1</v>
      </c>
      <c r="BT51">
        <v>1</v>
      </c>
      <c r="BU51">
        <v>1</v>
      </c>
      <c r="BV51">
        <v>1</v>
      </c>
      <c r="BW51">
        <v>1</v>
      </c>
      <c r="BX51">
        <v>1</v>
      </c>
      <c r="BY51" t="s">
        <v>3</v>
      </c>
      <c r="BZ51">
        <v>70</v>
      </c>
      <c r="CA51">
        <v>10</v>
      </c>
      <c r="CE51">
        <v>0</v>
      </c>
      <c r="CF51">
        <v>0</v>
      </c>
      <c r="CG51">
        <v>0</v>
      </c>
      <c r="CM51">
        <v>0</v>
      </c>
      <c r="CN51" t="s">
        <v>3</v>
      </c>
      <c r="CO51">
        <v>0</v>
      </c>
      <c r="CP51">
        <f t="shared" si="48"/>
        <v>17250</v>
      </c>
      <c r="CQ51">
        <f t="shared" si="49"/>
        <v>17250</v>
      </c>
      <c r="CR51">
        <f t="shared" si="50"/>
        <v>0</v>
      </c>
      <c r="CS51">
        <f t="shared" si="51"/>
        <v>0</v>
      </c>
      <c r="CT51">
        <f t="shared" si="52"/>
        <v>0</v>
      </c>
      <c r="CU51">
        <f t="shared" si="53"/>
        <v>0</v>
      </c>
      <c r="CV51">
        <f t="shared" si="54"/>
        <v>0</v>
      </c>
      <c r="CW51">
        <f t="shared" si="55"/>
        <v>0</v>
      </c>
      <c r="CX51">
        <f t="shared" si="56"/>
        <v>0</v>
      </c>
      <c r="CY51">
        <f t="shared" si="57"/>
        <v>0</v>
      </c>
      <c r="CZ51">
        <f t="shared" si="58"/>
        <v>0</v>
      </c>
      <c r="DC51" t="s">
        <v>3</v>
      </c>
      <c r="DD51" t="s">
        <v>3</v>
      </c>
      <c r="DE51" t="s">
        <v>3</v>
      </c>
      <c r="DF51" t="s">
        <v>3</v>
      </c>
      <c r="DG51" t="s">
        <v>3</v>
      </c>
      <c r="DH51" t="s">
        <v>3</v>
      </c>
      <c r="DI51" t="s">
        <v>3</v>
      </c>
      <c r="DJ51" t="s">
        <v>3</v>
      </c>
      <c r="DK51" t="s">
        <v>3</v>
      </c>
      <c r="DL51" t="s">
        <v>3</v>
      </c>
      <c r="DM51" t="s">
        <v>3</v>
      </c>
      <c r="DN51">
        <v>0</v>
      </c>
      <c r="DO51">
        <v>0</v>
      </c>
      <c r="DP51">
        <v>1</v>
      </c>
      <c r="DQ51">
        <v>1</v>
      </c>
      <c r="DU51">
        <v>1010</v>
      </c>
      <c r="DV51" t="s">
        <v>106</v>
      </c>
      <c r="DW51" t="s">
        <v>106</v>
      </c>
      <c r="DX51">
        <v>1</v>
      </c>
      <c r="EE51">
        <v>52362078</v>
      </c>
      <c r="EF51">
        <v>1</v>
      </c>
      <c r="EG51" t="s">
        <v>22</v>
      </c>
      <c r="EH51">
        <v>0</v>
      </c>
      <c r="EI51" t="s">
        <v>3</v>
      </c>
      <c r="EJ51">
        <v>4</v>
      </c>
      <c r="EK51">
        <v>0</v>
      </c>
      <c r="EL51" t="s">
        <v>23</v>
      </c>
      <c r="EM51" t="s">
        <v>24</v>
      </c>
      <c r="EO51" t="s">
        <v>3</v>
      </c>
      <c r="EQ51">
        <v>0</v>
      </c>
      <c r="ER51">
        <v>17250</v>
      </c>
      <c r="ES51">
        <v>17250</v>
      </c>
      <c r="ET51">
        <v>0</v>
      </c>
      <c r="EU51">
        <v>0</v>
      </c>
      <c r="EV51">
        <v>0</v>
      </c>
      <c r="EW51">
        <v>0</v>
      </c>
      <c r="EX51">
        <v>0</v>
      </c>
      <c r="EZ51">
        <v>5</v>
      </c>
      <c r="FC51">
        <v>1</v>
      </c>
      <c r="FD51">
        <v>18</v>
      </c>
      <c r="FF51">
        <v>20700</v>
      </c>
      <c r="FQ51">
        <v>0</v>
      </c>
      <c r="FR51">
        <f t="shared" si="59"/>
        <v>0</v>
      </c>
      <c r="FS51">
        <v>0</v>
      </c>
      <c r="FX51">
        <v>70</v>
      </c>
      <c r="FY51">
        <v>10</v>
      </c>
      <c r="GA51" t="s">
        <v>107</v>
      </c>
      <c r="GD51">
        <v>0</v>
      </c>
      <c r="GF51">
        <v>-292158938</v>
      </c>
      <c r="GG51">
        <v>2</v>
      </c>
      <c r="GH51">
        <v>3</v>
      </c>
      <c r="GI51">
        <v>-2</v>
      </c>
      <c r="GJ51">
        <v>0</v>
      </c>
      <c r="GK51">
        <f>ROUND(R51*(R12)/100,2)</f>
        <v>0</v>
      </c>
      <c r="GL51">
        <f t="shared" si="60"/>
        <v>0</v>
      </c>
      <c r="GM51">
        <f t="shared" si="61"/>
        <v>17250</v>
      </c>
      <c r="GN51">
        <f t="shared" si="62"/>
        <v>0</v>
      </c>
      <c r="GO51">
        <f t="shared" si="63"/>
        <v>0</v>
      </c>
      <c r="GP51">
        <f t="shared" si="64"/>
        <v>17250</v>
      </c>
      <c r="GR51">
        <v>1</v>
      </c>
      <c r="GS51">
        <v>1</v>
      </c>
      <c r="GT51">
        <v>0</v>
      </c>
      <c r="GU51" t="s">
        <v>3</v>
      </c>
      <c r="GV51">
        <f t="shared" si="65"/>
        <v>0</v>
      </c>
      <c r="GW51">
        <v>1</v>
      </c>
      <c r="GX51">
        <f t="shared" si="66"/>
        <v>0</v>
      </c>
      <c r="HA51">
        <v>0</v>
      </c>
      <c r="HB51">
        <v>0</v>
      </c>
      <c r="HC51">
        <f t="shared" si="67"/>
        <v>0</v>
      </c>
      <c r="HE51" t="s">
        <v>108</v>
      </c>
      <c r="HF51" t="s">
        <v>108</v>
      </c>
      <c r="IK51">
        <v>0</v>
      </c>
    </row>
    <row r="52" spans="1:245" x14ac:dyDescent="0.2">
      <c r="A52">
        <v>18</v>
      </c>
      <c r="B52">
        <v>1</v>
      </c>
      <c r="C52">
        <v>62</v>
      </c>
      <c r="E52" t="s">
        <v>109</v>
      </c>
      <c r="F52" t="s">
        <v>104</v>
      </c>
      <c r="G52" t="s">
        <v>110</v>
      </c>
      <c r="H52" t="s">
        <v>106</v>
      </c>
      <c r="I52">
        <f>I44*J52</f>
        <v>1</v>
      </c>
      <c r="J52">
        <v>25</v>
      </c>
      <c r="O52">
        <f t="shared" si="28"/>
        <v>44166.67</v>
      </c>
      <c r="P52">
        <f t="shared" si="29"/>
        <v>44166.67</v>
      </c>
      <c r="Q52">
        <f t="shared" si="30"/>
        <v>0</v>
      </c>
      <c r="R52">
        <f t="shared" si="31"/>
        <v>0</v>
      </c>
      <c r="S52">
        <f t="shared" si="32"/>
        <v>0</v>
      </c>
      <c r="T52">
        <f t="shared" si="33"/>
        <v>0</v>
      </c>
      <c r="U52">
        <f t="shared" si="34"/>
        <v>0</v>
      </c>
      <c r="V52">
        <f t="shared" si="35"/>
        <v>0</v>
      </c>
      <c r="W52">
        <f t="shared" si="36"/>
        <v>0</v>
      </c>
      <c r="X52">
        <f t="shared" si="37"/>
        <v>0</v>
      </c>
      <c r="Y52">
        <f t="shared" si="38"/>
        <v>0</v>
      </c>
      <c r="AA52">
        <v>52430918</v>
      </c>
      <c r="AB52">
        <f t="shared" si="39"/>
        <v>44166.67</v>
      </c>
      <c r="AC52">
        <f t="shared" si="40"/>
        <v>44166.67</v>
      </c>
      <c r="AD52">
        <f t="shared" si="41"/>
        <v>0</v>
      </c>
      <c r="AE52">
        <f t="shared" si="42"/>
        <v>0</v>
      </c>
      <c r="AF52">
        <f t="shared" si="43"/>
        <v>0</v>
      </c>
      <c r="AG52">
        <f t="shared" si="44"/>
        <v>0</v>
      </c>
      <c r="AH52">
        <f t="shared" si="45"/>
        <v>0</v>
      </c>
      <c r="AI52">
        <f t="shared" si="46"/>
        <v>0</v>
      </c>
      <c r="AJ52">
        <f t="shared" si="47"/>
        <v>0</v>
      </c>
      <c r="AK52">
        <v>44166.67</v>
      </c>
      <c r="AL52">
        <v>44166.67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70</v>
      </c>
      <c r="AU52">
        <v>10</v>
      </c>
      <c r="AV52">
        <v>1</v>
      </c>
      <c r="AW52">
        <v>1</v>
      </c>
      <c r="AZ52">
        <v>1</v>
      </c>
      <c r="BA52">
        <v>1</v>
      </c>
      <c r="BB52">
        <v>1</v>
      </c>
      <c r="BC52">
        <v>1</v>
      </c>
      <c r="BD52" t="s">
        <v>3</v>
      </c>
      <c r="BE52" t="s">
        <v>3</v>
      </c>
      <c r="BF52" t="s">
        <v>3</v>
      </c>
      <c r="BG52" t="s">
        <v>3</v>
      </c>
      <c r="BH52">
        <v>3</v>
      </c>
      <c r="BI52">
        <v>4</v>
      </c>
      <c r="BJ52" t="s">
        <v>3</v>
      </c>
      <c r="BM52">
        <v>0</v>
      </c>
      <c r="BN52">
        <v>0</v>
      </c>
      <c r="BO52" t="s">
        <v>3</v>
      </c>
      <c r="BP52">
        <v>0</v>
      </c>
      <c r="BQ52">
        <v>1</v>
      </c>
      <c r="BR52">
        <v>0</v>
      </c>
      <c r="BS52">
        <v>1</v>
      </c>
      <c r="BT52">
        <v>1</v>
      </c>
      <c r="BU52">
        <v>1</v>
      </c>
      <c r="BV52">
        <v>1</v>
      </c>
      <c r="BW52">
        <v>1</v>
      </c>
      <c r="BX52">
        <v>1</v>
      </c>
      <c r="BY52" t="s">
        <v>3</v>
      </c>
      <c r="BZ52">
        <v>70</v>
      </c>
      <c r="CA52">
        <v>10</v>
      </c>
      <c r="CE52">
        <v>0</v>
      </c>
      <c r="CF52">
        <v>0</v>
      </c>
      <c r="CG52">
        <v>0</v>
      </c>
      <c r="CM52">
        <v>0</v>
      </c>
      <c r="CN52" t="s">
        <v>3</v>
      </c>
      <c r="CO52">
        <v>0</v>
      </c>
      <c r="CP52">
        <f t="shared" si="48"/>
        <v>44166.67</v>
      </c>
      <c r="CQ52">
        <f t="shared" si="49"/>
        <v>44166.67</v>
      </c>
      <c r="CR52">
        <f t="shared" si="50"/>
        <v>0</v>
      </c>
      <c r="CS52">
        <f t="shared" si="51"/>
        <v>0</v>
      </c>
      <c r="CT52">
        <f t="shared" si="52"/>
        <v>0</v>
      </c>
      <c r="CU52">
        <f t="shared" si="53"/>
        <v>0</v>
      </c>
      <c r="CV52">
        <f t="shared" si="54"/>
        <v>0</v>
      </c>
      <c r="CW52">
        <f t="shared" si="55"/>
        <v>0</v>
      </c>
      <c r="CX52">
        <f t="shared" si="56"/>
        <v>0</v>
      </c>
      <c r="CY52">
        <f t="shared" si="57"/>
        <v>0</v>
      </c>
      <c r="CZ52">
        <f t="shared" si="58"/>
        <v>0</v>
      </c>
      <c r="DC52" t="s">
        <v>3</v>
      </c>
      <c r="DD52" t="s">
        <v>3</v>
      </c>
      <c r="DE52" t="s">
        <v>3</v>
      </c>
      <c r="DF52" t="s">
        <v>3</v>
      </c>
      <c r="DG52" t="s">
        <v>3</v>
      </c>
      <c r="DH52" t="s">
        <v>3</v>
      </c>
      <c r="DI52" t="s">
        <v>3</v>
      </c>
      <c r="DJ52" t="s">
        <v>3</v>
      </c>
      <c r="DK52" t="s">
        <v>3</v>
      </c>
      <c r="DL52" t="s">
        <v>3</v>
      </c>
      <c r="DM52" t="s">
        <v>3</v>
      </c>
      <c r="DN52">
        <v>0</v>
      </c>
      <c r="DO52">
        <v>0</v>
      </c>
      <c r="DP52">
        <v>1</v>
      </c>
      <c r="DQ52">
        <v>1</v>
      </c>
      <c r="DU52">
        <v>1010</v>
      </c>
      <c r="DV52" t="s">
        <v>106</v>
      </c>
      <c r="DW52" t="s">
        <v>106</v>
      </c>
      <c r="DX52">
        <v>1</v>
      </c>
      <c r="EE52">
        <v>52362078</v>
      </c>
      <c r="EF52">
        <v>1</v>
      </c>
      <c r="EG52" t="s">
        <v>22</v>
      </c>
      <c r="EH52">
        <v>0</v>
      </c>
      <c r="EI52" t="s">
        <v>3</v>
      </c>
      <c r="EJ52">
        <v>4</v>
      </c>
      <c r="EK52">
        <v>0</v>
      </c>
      <c r="EL52" t="s">
        <v>23</v>
      </c>
      <c r="EM52" t="s">
        <v>24</v>
      </c>
      <c r="EO52" t="s">
        <v>3</v>
      </c>
      <c r="EQ52">
        <v>0</v>
      </c>
      <c r="ER52">
        <v>44166.67</v>
      </c>
      <c r="ES52">
        <v>44166.67</v>
      </c>
      <c r="ET52">
        <v>0</v>
      </c>
      <c r="EU52">
        <v>0</v>
      </c>
      <c r="EV52">
        <v>0</v>
      </c>
      <c r="EW52">
        <v>0</v>
      </c>
      <c r="EX52">
        <v>0</v>
      </c>
      <c r="EZ52">
        <v>5</v>
      </c>
      <c r="FC52">
        <v>1</v>
      </c>
      <c r="FD52">
        <v>18</v>
      </c>
      <c r="FF52">
        <v>53000</v>
      </c>
      <c r="FQ52">
        <v>0</v>
      </c>
      <c r="FR52">
        <f t="shared" si="59"/>
        <v>0</v>
      </c>
      <c r="FS52">
        <v>0</v>
      </c>
      <c r="FX52">
        <v>70</v>
      </c>
      <c r="FY52">
        <v>10</v>
      </c>
      <c r="GA52" t="s">
        <v>111</v>
      </c>
      <c r="GD52">
        <v>0</v>
      </c>
      <c r="GF52">
        <v>774189156</v>
      </c>
      <c r="GG52">
        <v>2</v>
      </c>
      <c r="GH52">
        <v>3</v>
      </c>
      <c r="GI52">
        <v>-2</v>
      </c>
      <c r="GJ52">
        <v>0</v>
      </c>
      <c r="GK52">
        <f>ROUND(R52*(R12)/100,2)</f>
        <v>0</v>
      </c>
      <c r="GL52">
        <f t="shared" si="60"/>
        <v>0</v>
      </c>
      <c r="GM52">
        <f t="shared" si="61"/>
        <v>44166.67</v>
      </c>
      <c r="GN52">
        <f t="shared" si="62"/>
        <v>0</v>
      </c>
      <c r="GO52">
        <f t="shared" si="63"/>
        <v>0</v>
      </c>
      <c r="GP52">
        <f t="shared" si="64"/>
        <v>44166.67</v>
      </c>
      <c r="GR52">
        <v>1</v>
      </c>
      <c r="GS52">
        <v>1</v>
      </c>
      <c r="GT52">
        <v>0</v>
      </c>
      <c r="GU52" t="s">
        <v>3</v>
      </c>
      <c r="GV52">
        <f t="shared" si="65"/>
        <v>0</v>
      </c>
      <c r="GW52">
        <v>1</v>
      </c>
      <c r="GX52">
        <f t="shared" si="66"/>
        <v>0</v>
      </c>
      <c r="HA52">
        <v>0</v>
      </c>
      <c r="HB52">
        <v>0</v>
      </c>
      <c r="HC52">
        <f t="shared" si="67"/>
        <v>0</v>
      </c>
      <c r="HE52" t="s">
        <v>108</v>
      </c>
      <c r="HF52" t="s">
        <v>108</v>
      </c>
      <c r="IK52">
        <v>0</v>
      </c>
    </row>
    <row r="53" spans="1:245" x14ac:dyDescent="0.2">
      <c r="A53">
        <v>18</v>
      </c>
      <c r="B53">
        <v>1</v>
      </c>
      <c r="C53">
        <v>63</v>
      </c>
      <c r="E53" t="s">
        <v>112</v>
      </c>
      <c r="F53" t="s">
        <v>104</v>
      </c>
      <c r="G53" t="s">
        <v>113</v>
      </c>
      <c r="H53" t="s">
        <v>106</v>
      </c>
      <c r="I53">
        <f>I44*J53</f>
        <v>1</v>
      </c>
      <c r="J53">
        <v>25</v>
      </c>
      <c r="O53">
        <f t="shared" si="28"/>
        <v>62333.33</v>
      </c>
      <c r="P53">
        <f t="shared" si="29"/>
        <v>62333.33</v>
      </c>
      <c r="Q53">
        <f t="shared" si="30"/>
        <v>0</v>
      </c>
      <c r="R53">
        <f t="shared" si="31"/>
        <v>0</v>
      </c>
      <c r="S53">
        <f t="shared" si="32"/>
        <v>0</v>
      </c>
      <c r="T53">
        <f t="shared" si="33"/>
        <v>0</v>
      </c>
      <c r="U53">
        <f t="shared" si="34"/>
        <v>0</v>
      </c>
      <c r="V53">
        <f t="shared" si="35"/>
        <v>0</v>
      </c>
      <c r="W53">
        <f t="shared" si="36"/>
        <v>0</v>
      </c>
      <c r="X53">
        <f t="shared" si="37"/>
        <v>0</v>
      </c>
      <c r="Y53">
        <f t="shared" si="38"/>
        <v>0</v>
      </c>
      <c r="AA53">
        <v>52430918</v>
      </c>
      <c r="AB53">
        <f t="shared" si="39"/>
        <v>62333.33</v>
      </c>
      <c r="AC53">
        <f t="shared" si="40"/>
        <v>62333.33</v>
      </c>
      <c r="AD53">
        <f t="shared" si="41"/>
        <v>0</v>
      </c>
      <c r="AE53">
        <f t="shared" si="42"/>
        <v>0</v>
      </c>
      <c r="AF53">
        <f t="shared" si="43"/>
        <v>0</v>
      </c>
      <c r="AG53">
        <f t="shared" si="44"/>
        <v>0</v>
      </c>
      <c r="AH53">
        <f t="shared" si="45"/>
        <v>0</v>
      </c>
      <c r="AI53">
        <f t="shared" si="46"/>
        <v>0</v>
      </c>
      <c r="AJ53">
        <f t="shared" si="47"/>
        <v>0</v>
      </c>
      <c r="AK53">
        <v>62333.33</v>
      </c>
      <c r="AL53">
        <v>62333.33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70</v>
      </c>
      <c r="AU53">
        <v>10</v>
      </c>
      <c r="AV53">
        <v>1</v>
      </c>
      <c r="AW53">
        <v>1</v>
      </c>
      <c r="AZ53">
        <v>1</v>
      </c>
      <c r="BA53">
        <v>1</v>
      </c>
      <c r="BB53">
        <v>1</v>
      </c>
      <c r="BC53">
        <v>1</v>
      </c>
      <c r="BD53" t="s">
        <v>3</v>
      </c>
      <c r="BE53" t="s">
        <v>3</v>
      </c>
      <c r="BF53" t="s">
        <v>3</v>
      </c>
      <c r="BG53" t="s">
        <v>3</v>
      </c>
      <c r="BH53">
        <v>3</v>
      </c>
      <c r="BI53">
        <v>4</v>
      </c>
      <c r="BJ53" t="s">
        <v>3</v>
      </c>
      <c r="BM53">
        <v>0</v>
      </c>
      <c r="BN53">
        <v>0</v>
      </c>
      <c r="BO53" t="s">
        <v>3</v>
      </c>
      <c r="BP53">
        <v>0</v>
      </c>
      <c r="BQ53">
        <v>1</v>
      </c>
      <c r="BR53">
        <v>0</v>
      </c>
      <c r="BS53">
        <v>1</v>
      </c>
      <c r="BT53">
        <v>1</v>
      </c>
      <c r="BU53">
        <v>1</v>
      </c>
      <c r="BV53">
        <v>1</v>
      </c>
      <c r="BW53">
        <v>1</v>
      </c>
      <c r="BX53">
        <v>1</v>
      </c>
      <c r="BY53" t="s">
        <v>3</v>
      </c>
      <c r="BZ53">
        <v>70</v>
      </c>
      <c r="CA53">
        <v>10</v>
      </c>
      <c r="CE53">
        <v>0</v>
      </c>
      <c r="CF53">
        <v>0</v>
      </c>
      <c r="CG53">
        <v>0</v>
      </c>
      <c r="CM53">
        <v>0</v>
      </c>
      <c r="CN53" t="s">
        <v>3</v>
      </c>
      <c r="CO53">
        <v>0</v>
      </c>
      <c r="CP53">
        <f t="shared" si="48"/>
        <v>62333.33</v>
      </c>
      <c r="CQ53">
        <f t="shared" si="49"/>
        <v>62333.33</v>
      </c>
      <c r="CR53">
        <f t="shared" si="50"/>
        <v>0</v>
      </c>
      <c r="CS53">
        <f t="shared" si="51"/>
        <v>0</v>
      </c>
      <c r="CT53">
        <f t="shared" si="52"/>
        <v>0</v>
      </c>
      <c r="CU53">
        <f t="shared" si="53"/>
        <v>0</v>
      </c>
      <c r="CV53">
        <f t="shared" si="54"/>
        <v>0</v>
      </c>
      <c r="CW53">
        <f t="shared" si="55"/>
        <v>0</v>
      </c>
      <c r="CX53">
        <f t="shared" si="56"/>
        <v>0</v>
      </c>
      <c r="CY53">
        <f t="shared" si="57"/>
        <v>0</v>
      </c>
      <c r="CZ53">
        <f t="shared" si="58"/>
        <v>0</v>
      </c>
      <c r="DC53" t="s">
        <v>3</v>
      </c>
      <c r="DD53" t="s">
        <v>3</v>
      </c>
      <c r="DE53" t="s">
        <v>3</v>
      </c>
      <c r="DF53" t="s">
        <v>3</v>
      </c>
      <c r="DG53" t="s">
        <v>3</v>
      </c>
      <c r="DH53" t="s">
        <v>3</v>
      </c>
      <c r="DI53" t="s">
        <v>3</v>
      </c>
      <c r="DJ53" t="s">
        <v>3</v>
      </c>
      <c r="DK53" t="s">
        <v>3</v>
      </c>
      <c r="DL53" t="s">
        <v>3</v>
      </c>
      <c r="DM53" t="s">
        <v>3</v>
      </c>
      <c r="DN53">
        <v>0</v>
      </c>
      <c r="DO53">
        <v>0</v>
      </c>
      <c r="DP53">
        <v>1</v>
      </c>
      <c r="DQ53">
        <v>1</v>
      </c>
      <c r="DU53">
        <v>1010</v>
      </c>
      <c r="DV53" t="s">
        <v>106</v>
      </c>
      <c r="DW53" t="s">
        <v>106</v>
      </c>
      <c r="DX53">
        <v>1</v>
      </c>
      <c r="EE53">
        <v>52362078</v>
      </c>
      <c r="EF53">
        <v>1</v>
      </c>
      <c r="EG53" t="s">
        <v>22</v>
      </c>
      <c r="EH53">
        <v>0</v>
      </c>
      <c r="EI53" t="s">
        <v>3</v>
      </c>
      <c r="EJ53">
        <v>4</v>
      </c>
      <c r="EK53">
        <v>0</v>
      </c>
      <c r="EL53" t="s">
        <v>23</v>
      </c>
      <c r="EM53" t="s">
        <v>24</v>
      </c>
      <c r="EO53" t="s">
        <v>3</v>
      </c>
      <c r="EQ53">
        <v>0</v>
      </c>
      <c r="ER53">
        <v>62333.33</v>
      </c>
      <c r="ES53">
        <v>62333.33</v>
      </c>
      <c r="ET53">
        <v>0</v>
      </c>
      <c r="EU53">
        <v>0</v>
      </c>
      <c r="EV53">
        <v>0</v>
      </c>
      <c r="EW53">
        <v>0</v>
      </c>
      <c r="EX53">
        <v>0</v>
      </c>
      <c r="EZ53">
        <v>5</v>
      </c>
      <c r="FC53">
        <v>1</v>
      </c>
      <c r="FD53">
        <v>18</v>
      </c>
      <c r="FF53">
        <v>74800</v>
      </c>
      <c r="FQ53">
        <v>0</v>
      </c>
      <c r="FR53">
        <f t="shared" si="59"/>
        <v>0</v>
      </c>
      <c r="FS53">
        <v>0</v>
      </c>
      <c r="FX53">
        <v>70</v>
      </c>
      <c r="FY53">
        <v>10</v>
      </c>
      <c r="GA53" t="s">
        <v>114</v>
      </c>
      <c r="GD53">
        <v>0</v>
      </c>
      <c r="GF53">
        <v>1794000053</v>
      </c>
      <c r="GG53">
        <v>2</v>
      </c>
      <c r="GH53">
        <v>3</v>
      </c>
      <c r="GI53">
        <v>-2</v>
      </c>
      <c r="GJ53">
        <v>0</v>
      </c>
      <c r="GK53">
        <f>ROUND(R53*(R12)/100,2)</f>
        <v>0</v>
      </c>
      <c r="GL53">
        <f t="shared" si="60"/>
        <v>0</v>
      </c>
      <c r="GM53">
        <f t="shared" si="61"/>
        <v>62333.33</v>
      </c>
      <c r="GN53">
        <f t="shared" si="62"/>
        <v>0</v>
      </c>
      <c r="GO53">
        <f t="shared" si="63"/>
        <v>0</v>
      </c>
      <c r="GP53">
        <f t="shared" si="64"/>
        <v>62333.33</v>
      </c>
      <c r="GR53">
        <v>1</v>
      </c>
      <c r="GS53">
        <v>1</v>
      </c>
      <c r="GT53">
        <v>0</v>
      </c>
      <c r="GU53" t="s">
        <v>3</v>
      </c>
      <c r="GV53">
        <f t="shared" si="65"/>
        <v>0</v>
      </c>
      <c r="GW53">
        <v>1</v>
      </c>
      <c r="GX53">
        <f t="shared" si="66"/>
        <v>0</v>
      </c>
      <c r="HA53">
        <v>0</v>
      </c>
      <c r="HB53">
        <v>0</v>
      </c>
      <c r="HC53">
        <f t="shared" si="67"/>
        <v>0</v>
      </c>
      <c r="HE53" t="s">
        <v>108</v>
      </c>
      <c r="HF53" t="s">
        <v>108</v>
      </c>
      <c r="IK53">
        <v>0</v>
      </c>
    </row>
    <row r="54" spans="1:245" x14ac:dyDescent="0.2">
      <c r="A54">
        <v>18</v>
      </c>
      <c r="B54">
        <v>1</v>
      </c>
      <c r="C54">
        <v>64</v>
      </c>
      <c r="E54" t="s">
        <v>115</v>
      </c>
      <c r="F54" t="s">
        <v>104</v>
      </c>
      <c r="G54" t="s">
        <v>116</v>
      </c>
      <c r="H54" t="s">
        <v>106</v>
      </c>
      <c r="I54">
        <f>I44*J54</f>
        <v>1</v>
      </c>
      <c r="J54">
        <v>25</v>
      </c>
      <c r="O54">
        <f t="shared" si="28"/>
        <v>12391.67</v>
      </c>
      <c r="P54">
        <f t="shared" si="29"/>
        <v>12391.67</v>
      </c>
      <c r="Q54">
        <f t="shared" si="30"/>
        <v>0</v>
      </c>
      <c r="R54">
        <f t="shared" si="31"/>
        <v>0</v>
      </c>
      <c r="S54">
        <f t="shared" si="32"/>
        <v>0</v>
      </c>
      <c r="T54">
        <f t="shared" si="33"/>
        <v>0</v>
      </c>
      <c r="U54">
        <f t="shared" si="34"/>
        <v>0</v>
      </c>
      <c r="V54">
        <f t="shared" si="35"/>
        <v>0</v>
      </c>
      <c r="W54">
        <f t="shared" si="36"/>
        <v>0</v>
      </c>
      <c r="X54">
        <f t="shared" si="37"/>
        <v>0</v>
      </c>
      <c r="Y54">
        <f t="shared" si="38"/>
        <v>0</v>
      </c>
      <c r="AA54">
        <v>52430918</v>
      </c>
      <c r="AB54">
        <f t="shared" si="39"/>
        <v>12391.67</v>
      </c>
      <c r="AC54">
        <f t="shared" si="40"/>
        <v>12391.67</v>
      </c>
      <c r="AD54">
        <f t="shared" si="41"/>
        <v>0</v>
      </c>
      <c r="AE54">
        <f t="shared" si="42"/>
        <v>0</v>
      </c>
      <c r="AF54">
        <f t="shared" si="43"/>
        <v>0</v>
      </c>
      <c r="AG54">
        <f t="shared" si="44"/>
        <v>0</v>
      </c>
      <c r="AH54">
        <f t="shared" si="45"/>
        <v>0</v>
      </c>
      <c r="AI54">
        <f t="shared" si="46"/>
        <v>0</v>
      </c>
      <c r="AJ54">
        <f t="shared" si="47"/>
        <v>0</v>
      </c>
      <c r="AK54">
        <v>12391.67</v>
      </c>
      <c r="AL54">
        <v>12391.67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70</v>
      </c>
      <c r="AU54">
        <v>10</v>
      </c>
      <c r="AV54">
        <v>1</v>
      </c>
      <c r="AW54">
        <v>1</v>
      </c>
      <c r="AZ54">
        <v>1</v>
      </c>
      <c r="BA54">
        <v>1</v>
      </c>
      <c r="BB54">
        <v>1</v>
      </c>
      <c r="BC54">
        <v>1</v>
      </c>
      <c r="BD54" t="s">
        <v>3</v>
      </c>
      <c r="BE54" t="s">
        <v>3</v>
      </c>
      <c r="BF54" t="s">
        <v>3</v>
      </c>
      <c r="BG54" t="s">
        <v>3</v>
      </c>
      <c r="BH54">
        <v>3</v>
      </c>
      <c r="BI54">
        <v>4</v>
      </c>
      <c r="BJ54" t="s">
        <v>3</v>
      </c>
      <c r="BM54">
        <v>0</v>
      </c>
      <c r="BN54">
        <v>0</v>
      </c>
      <c r="BO54" t="s">
        <v>3</v>
      </c>
      <c r="BP54">
        <v>0</v>
      </c>
      <c r="BQ54">
        <v>1</v>
      </c>
      <c r="BR54">
        <v>0</v>
      </c>
      <c r="BS54">
        <v>1</v>
      </c>
      <c r="BT54">
        <v>1</v>
      </c>
      <c r="BU54">
        <v>1</v>
      </c>
      <c r="BV54">
        <v>1</v>
      </c>
      <c r="BW54">
        <v>1</v>
      </c>
      <c r="BX54">
        <v>1</v>
      </c>
      <c r="BY54" t="s">
        <v>3</v>
      </c>
      <c r="BZ54">
        <v>70</v>
      </c>
      <c r="CA54">
        <v>10</v>
      </c>
      <c r="CE54">
        <v>0</v>
      </c>
      <c r="CF54">
        <v>0</v>
      </c>
      <c r="CG54">
        <v>0</v>
      </c>
      <c r="CM54">
        <v>0</v>
      </c>
      <c r="CN54" t="s">
        <v>3</v>
      </c>
      <c r="CO54">
        <v>0</v>
      </c>
      <c r="CP54">
        <f t="shared" si="48"/>
        <v>12391.67</v>
      </c>
      <c r="CQ54">
        <f t="shared" si="49"/>
        <v>12391.67</v>
      </c>
      <c r="CR54">
        <f t="shared" si="50"/>
        <v>0</v>
      </c>
      <c r="CS54">
        <f t="shared" si="51"/>
        <v>0</v>
      </c>
      <c r="CT54">
        <f t="shared" si="52"/>
        <v>0</v>
      </c>
      <c r="CU54">
        <f t="shared" si="53"/>
        <v>0</v>
      </c>
      <c r="CV54">
        <f t="shared" si="54"/>
        <v>0</v>
      </c>
      <c r="CW54">
        <f t="shared" si="55"/>
        <v>0</v>
      </c>
      <c r="CX54">
        <f t="shared" si="56"/>
        <v>0</v>
      </c>
      <c r="CY54">
        <f t="shared" si="57"/>
        <v>0</v>
      </c>
      <c r="CZ54">
        <f t="shared" si="58"/>
        <v>0</v>
      </c>
      <c r="DC54" t="s">
        <v>3</v>
      </c>
      <c r="DD54" t="s">
        <v>3</v>
      </c>
      <c r="DE54" t="s">
        <v>3</v>
      </c>
      <c r="DF54" t="s">
        <v>3</v>
      </c>
      <c r="DG54" t="s">
        <v>3</v>
      </c>
      <c r="DH54" t="s">
        <v>3</v>
      </c>
      <c r="DI54" t="s">
        <v>3</v>
      </c>
      <c r="DJ54" t="s">
        <v>3</v>
      </c>
      <c r="DK54" t="s">
        <v>3</v>
      </c>
      <c r="DL54" t="s">
        <v>3</v>
      </c>
      <c r="DM54" t="s">
        <v>3</v>
      </c>
      <c r="DN54">
        <v>0</v>
      </c>
      <c r="DO54">
        <v>0</v>
      </c>
      <c r="DP54">
        <v>1</v>
      </c>
      <c r="DQ54">
        <v>1</v>
      </c>
      <c r="DU54">
        <v>1010</v>
      </c>
      <c r="DV54" t="s">
        <v>106</v>
      </c>
      <c r="DW54" t="s">
        <v>106</v>
      </c>
      <c r="DX54">
        <v>1</v>
      </c>
      <c r="EE54">
        <v>52362078</v>
      </c>
      <c r="EF54">
        <v>1</v>
      </c>
      <c r="EG54" t="s">
        <v>22</v>
      </c>
      <c r="EH54">
        <v>0</v>
      </c>
      <c r="EI54" t="s">
        <v>3</v>
      </c>
      <c r="EJ54">
        <v>4</v>
      </c>
      <c r="EK54">
        <v>0</v>
      </c>
      <c r="EL54" t="s">
        <v>23</v>
      </c>
      <c r="EM54" t="s">
        <v>24</v>
      </c>
      <c r="EO54" t="s">
        <v>3</v>
      </c>
      <c r="EQ54">
        <v>0</v>
      </c>
      <c r="ER54">
        <v>12391.67</v>
      </c>
      <c r="ES54">
        <v>12391.67</v>
      </c>
      <c r="ET54">
        <v>0</v>
      </c>
      <c r="EU54">
        <v>0</v>
      </c>
      <c r="EV54">
        <v>0</v>
      </c>
      <c r="EW54">
        <v>0</v>
      </c>
      <c r="EX54">
        <v>0</v>
      </c>
      <c r="EZ54">
        <v>5</v>
      </c>
      <c r="FC54">
        <v>1</v>
      </c>
      <c r="FD54">
        <v>18</v>
      </c>
      <c r="FF54">
        <v>14870</v>
      </c>
      <c r="FQ54">
        <v>0</v>
      </c>
      <c r="FR54">
        <f t="shared" si="59"/>
        <v>0</v>
      </c>
      <c r="FS54">
        <v>0</v>
      </c>
      <c r="FX54">
        <v>70</v>
      </c>
      <c r="FY54">
        <v>10</v>
      </c>
      <c r="GA54" t="s">
        <v>117</v>
      </c>
      <c r="GD54">
        <v>0</v>
      </c>
      <c r="GF54">
        <v>-106681237</v>
      </c>
      <c r="GG54">
        <v>2</v>
      </c>
      <c r="GH54">
        <v>3</v>
      </c>
      <c r="GI54">
        <v>-2</v>
      </c>
      <c r="GJ54">
        <v>0</v>
      </c>
      <c r="GK54">
        <f>ROUND(R54*(R12)/100,2)</f>
        <v>0</v>
      </c>
      <c r="GL54">
        <f t="shared" si="60"/>
        <v>0</v>
      </c>
      <c r="GM54">
        <f t="shared" si="61"/>
        <v>12391.67</v>
      </c>
      <c r="GN54">
        <f t="shared" si="62"/>
        <v>0</v>
      </c>
      <c r="GO54">
        <f t="shared" si="63"/>
        <v>0</v>
      </c>
      <c r="GP54">
        <f t="shared" si="64"/>
        <v>12391.67</v>
      </c>
      <c r="GR54">
        <v>1</v>
      </c>
      <c r="GS54">
        <v>1</v>
      </c>
      <c r="GT54">
        <v>0</v>
      </c>
      <c r="GU54" t="s">
        <v>3</v>
      </c>
      <c r="GV54">
        <f t="shared" si="65"/>
        <v>0</v>
      </c>
      <c r="GW54">
        <v>1</v>
      </c>
      <c r="GX54">
        <f t="shared" si="66"/>
        <v>0</v>
      </c>
      <c r="HA54">
        <v>0</v>
      </c>
      <c r="HB54">
        <v>0</v>
      </c>
      <c r="HC54">
        <f t="shared" si="67"/>
        <v>0</v>
      </c>
      <c r="HE54" t="s">
        <v>108</v>
      </c>
      <c r="HF54" t="s">
        <v>108</v>
      </c>
      <c r="IK54">
        <v>0</v>
      </c>
    </row>
    <row r="56" spans="1:245" x14ac:dyDescent="0.2">
      <c r="A56" s="2">
        <v>51</v>
      </c>
      <c r="B56" s="2">
        <f>B28</f>
        <v>1</v>
      </c>
      <c r="C56" s="2">
        <f>A28</f>
        <v>5</v>
      </c>
      <c r="D56" s="2">
        <f>ROW(A28)</f>
        <v>28</v>
      </c>
      <c r="E56" s="2"/>
      <c r="F56" s="2" t="str">
        <f>IF(F28&lt;&gt;"",F28,"")</f>
        <v>Новый подраздел</v>
      </c>
      <c r="G56" s="2" t="str">
        <f>IF(G28&lt;&gt;"",G28,"")</f>
        <v>группа № 6</v>
      </c>
      <c r="H56" s="2">
        <v>0</v>
      </c>
      <c r="I56" s="2"/>
      <c r="J56" s="2"/>
      <c r="K56" s="2"/>
      <c r="L56" s="2"/>
      <c r="M56" s="2"/>
      <c r="N56" s="2"/>
      <c r="O56" s="2">
        <f t="shared" ref="O56:T56" si="68">ROUND(AB56,2)</f>
        <v>459179.87</v>
      </c>
      <c r="P56" s="2">
        <f t="shared" si="68"/>
        <v>394091.81</v>
      </c>
      <c r="Q56" s="2">
        <f t="shared" si="68"/>
        <v>11217.19</v>
      </c>
      <c r="R56" s="2">
        <f t="shared" si="68"/>
        <v>5916.08</v>
      </c>
      <c r="S56" s="2">
        <f t="shared" si="68"/>
        <v>53870.87</v>
      </c>
      <c r="T56" s="2">
        <f t="shared" si="68"/>
        <v>0</v>
      </c>
      <c r="U56" s="2">
        <f>AH56</f>
        <v>256.83423999999997</v>
      </c>
      <c r="V56" s="2">
        <f>AI56</f>
        <v>0</v>
      </c>
      <c r="W56" s="2">
        <f>ROUND(AJ56,2)</f>
        <v>0</v>
      </c>
      <c r="X56" s="2">
        <f>ROUND(AK56,2)</f>
        <v>37709.61</v>
      </c>
      <c r="Y56" s="2">
        <f>ROUND(AL56,2)</f>
        <v>5387.09</v>
      </c>
      <c r="Z56" s="2"/>
      <c r="AA56" s="2"/>
      <c r="AB56" s="2">
        <f>ROUND(SUMIF(AA32:AA54,"=52430918",O32:O54),2)</f>
        <v>459179.87</v>
      </c>
      <c r="AC56" s="2">
        <f>ROUND(SUMIF(AA32:AA54,"=52430918",P32:P54),2)</f>
        <v>394091.81</v>
      </c>
      <c r="AD56" s="2">
        <f>ROUND(SUMIF(AA32:AA54,"=52430918",Q32:Q54),2)</f>
        <v>11217.19</v>
      </c>
      <c r="AE56" s="2">
        <f>ROUND(SUMIF(AA32:AA54,"=52430918",R32:R54),2)</f>
        <v>5916.08</v>
      </c>
      <c r="AF56" s="2">
        <f>ROUND(SUMIF(AA32:AA54,"=52430918",S32:S54),2)</f>
        <v>53870.87</v>
      </c>
      <c r="AG56" s="2">
        <f>ROUND(SUMIF(AA32:AA54,"=52430918",T32:T54),2)</f>
        <v>0</v>
      </c>
      <c r="AH56" s="2">
        <f>SUMIF(AA32:AA54,"=52430918",U32:U54)</f>
        <v>256.83423999999997</v>
      </c>
      <c r="AI56" s="2">
        <f>SUMIF(AA32:AA54,"=52430918",V32:V54)</f>
        <v>0</v>
      </c>
      <c r="AJ56" s="2">
        <f>ROUND(SUMIF(AA32:AA54,"=52430918",W32:W54),2)</f>
        <v>0</v>
      </c>
      <c r="AK56" s="2">
        <f>ROUND(SUMIF(AA32:AA54,"=52430918",X32:X54),2)</f>
        <v>37709.61</v>
      </c>
      <c r="AL56" s="2">
        <f>ROUND(SUMIF(AA32:AA54,"=52430918",Y32:Y54),2)</f>
        <v>5387.09</v>
      </c>
      <c r="AM56" s="2"/>
      <c r="AN56" s="2"/>
      <c r="AO56" s="2">
        <f t="shared" ref="AO56:BD56" si="69">ROUND(BX56,2)</f>
        <v>0</v>
      </c>
      <c r="AP56" s="2">
        <f t="shared" si="69"/>
        <v>0</v>
      </c>
      <c r="AQ56" s="2">
        <f t="shared" si="69"/>
        <v>0</v>
      </c>
      <c r="AR56" s="2">
        <f t="shared" si="69"/>
        <v>508665.94</v>
      </c>
      <c r="AS56" s="2">
        <f t="shared" si="69"/>
        <v>0</v>
      </c>
      <c r="AT56" s="2">
        <f t="shared" si="69"/>
        <v>0</v>
      </c>
      <c r="AU56" s="2">
        <f t="shared" si="69"/>
        <v>508665.94</v>
      </c>
      <c r="AV56" s="2">
        <f t="shared" si="69"/>
        <v>394091.81</v>
      </c>
      <c r="AW56" s="2">
        <f t="shared" si="69"/>
        <v>394091.81</v>
      </c>
      <c r="AX56" s="2">
        <f t="shared" si="69"/>
        <v>0</v>
      </c>
      <c r="AY56" s="2">
        <f t="shared" si="69"/>
        <v>394091.81</v>
      </c>
      <c r="AZ56" s="2">
        <f t="shared" si="69"/>
        <v>0</v>
      </c>
      <c r="BA56" s="2">
        <f t="shared" si="69"/>
        <v>0</v>
      </c>
      <c r="BB56" s="2">
        <f t="shared" si="69"/>
        <v>0</v>
      </c>
      <c r="BC56" s="2">
        <f t="shared" si="69"/>
        <v>0</v>
      </c>
      <c r="BD56" s="2">
        <f t="shared" si="69"/>
        <v>0</v>
      </c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>
        <f>ROUND(SUMIF(AA32:AA54,"=52430918",FQ32:FQ54),2)</f>
        <v>0</v>
      </c>
      <c r="BY56" s="2">
        <f>ROUND(SUMIF(AA32:AA54,"=52430918",FR32:FR54),2)</f>
        <v>0</v>
      </c>
      <c r="BZ56" s="2">
        <f>ROUND(SUMIF(AA32:AA54,"=52430918",GL32:GL54),2)</f>
        <v>0</v>
      </c>
      <c r="CA56" s="2">
        <f>ROUND(SUMIF(AA32:AA54,"=52430918",GM32:GM54),2)</f>
        <v>508665.94</v>
      </c>
      <c r="CB56" s="2">
        <f>ROUND(SUMIF(AA32:AA54,"=52430918",GN32:GN54),2)</f>
        <v>0</v>
      </c>
      <c r="CC56" s="2">
        <f>ROUND(SUMIF(AA32:AA54,"=52430918",GO32:GO54),2)</f>
        <v>0</v>
      </c>
      <c r="CD56" s="2">
        <f>ROUND(SUMIF(AA32:AA54,"=52430918",GP32:GP54),2)</f>
        <v>508665.94</v>
      </c>
      <c r="CE56" s="2">
        <f>AC56-BX56</f>
        <v>394091.81</v>
      </c>
      <c r="CF56" s="2">
        <f>AC56-BY56</f>
        <v>394091.81</v>
      </c>
      <c r="CG56" s="2">
        <f>BX56-BZ56</f>
        <v>0</v>
      </c>
      <c r="CH56" s="2">
        <f>AC56-BX56-BY56+BZ56</f>
        <v>394091.81</v>
      </c>
      <c r="CI56" s="2">
        <f>BY56-BZ56</f>
        <v>0</v>
      </c>
      <c r="CJ56" s="2">
        <f>ROUND(SUMIF(AA32:AA54,"=52430918",GX32:GX54),2)</f>
        <v>0</v>
      </c>
      <c r="CK56" s="2">
        <f>ROUND(SUMIF(AA32:AA54,"=52430918",GY32:GY54),2)</f>
        <v>0</v>
      </c>
      <c r="CL56" s="2">
        <f>ROUND(SUMIF(AA32:AA54,"=52430918",GZ32:GZ54),2)</f>
        <v>0</v>
      </c>
      <c r="CM56" s="2">
        <f>ROUND(SUMIF(AA32:AA54,"=52430918",HD32:HD54),2)</f>
        <v>0</v>
      </c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3"/>
      <c r="DH56" s="3"/>
      <c r="DI56" s="3"/>
      <c r="DJ56" s="3"/>
      <c r="DK56" s="3"/>
      <c r="DL56" s="3"/>
      <c r="DM56" s="3"/>
      <c r="DN56" s="3"/>
      <c r="DO56" s="3"/>
      <c r="DP56" s="3"/>
      <c r="DQ56" s="3"/>
      <c r="DR56" s="3"/>
      <c r="DS56" s="3"/>
      <c r="DT56" s="3"/>
      <c r="DU56" s="3"/>
      <c r="DV56" s="3"/>
      <c r="DW56" s="3"/>
      <c r="DX56" s="3"/>
      <c r="DY56" s="3"/>
      <c r="DZ56" s="3"/>
      <c r="EA56" s="3"/>
      <c r="EB56" s="3"/>
      <c r="EC56" s="3"/>
      <c r="ED56" s="3"/>
      <c r="EE56" s="3"/>
      <c r="EF56" s="3"/>
      <c r="EG56" s="3"/>
      <c r="EH56" s="3"/>
      <c r="EI56" s="3"/>
      <c r="EJ56" s="3"/>
      <c r="EK56" s="3"/>
      <c r="EL56" s="3"/>
      <c r="EM56" s="3"/>
      <c r="EN56" s="3"/>
      <c r="EO56" s="3"/>
      <c r="EP56" s="3"/>
      <c r="EQ56" s="3"/>
      <c r="ER56" s="3"/>
      <c r="ES56" s="3"/>
      <c r="ET56" s="3"/>
      <c r="EU56" s="3"/>
      <c r="EV56" s="3"/>
      <c r="EW56" s="3"/>
      <c r="EX56" s="3"/>
      <c r="EY56" s="3"/>
      <c r="EZ56" s="3"/>
      <c r="FA56" s="3"/>
      <c r="FB56" s="3"/>
      <c r="FC56" s="3"/>
      <c r="FD56" s="3"/>
      <c r="FE56" s="3"/>
      <c r="FF56" s="3"/>
      <c r="FG56" s="3"/>
      <c r="FH56" s="3"/>
      <c r="FI56" s="3"/>
      <c r="FJ56" s="3"/>
      <c r="FK56" s="3"/>
      <c r="FL56" s="3"/>
      <c r="FM56" s="3"/>
      <c r="FN56" s="3"/>
      <c r="FO56" s="3"/>
      <c r="FP56" s="3"/>
      <c r="FQ56" s="3"/>
      <c r="FR56" s="3"/>
      <c r="FS56" s="3"/>
      <c r="FT56" s="3"/>
      <c r="FU56" s="3"/>
      <c r="FV56" s="3"/>
      <c r="FW56" s="3"/>
      <c r="FX56" s="3"/>
      <c r="FY56" s="3"/>
      <c r="FZ56" s="3"/>
      <c r="GA56" s="3"/>
      <c r="GB56" s="3"/>
      <c r="GC56" s="3"/>
      <c r="GD56" s="3"/>
      <c r="GE56" s="3"/>
      <c r="GF56" s="3"/>
      <c r="GG56" s="3"/>
      <c r="GH56" s="3"/>
      <c r="GI56" s="3"/>
      <c r="GJ56" s="3"/>
      <c r="GK56" s="3"/>
      <c r="GL56" s="3"/>
      <c r="GM56" s="3"/>
      <c r="GN56" s="3"/>
      <c r="GO56" s="3"/>
      <c r="GP56" s="3"/>
      <c r="GQ56" s="3"/>
      <c r="GR56" s="3"/>
      <c r="GS56" s="3"/>
      <c r="GT56" s="3"/>
      <c r="GU56" s="3"/>
      <c r="GV56" s="3"/>
      <c r="GW56" s="3"/>
      <c r="GX56" s="3">
        <v>0</v>
      </c>
    </row>
    <row r="58" spans="1:245" x14ac:dyDescent="0.2">
      <c r="A58" s="4">
        <v>50</v>
      </c>
      <c r="B58" s="4">
        <v>0</v>
      </c>
      <c r="C58" s="4">
        <v>0</v>
      </c>
      <c r="D58" s="4">
        <v>1</v>
      </c>
      <c r="E58" s="4">
        <v>201</v>
      </c>
      <c r="F58" s="4">
        <f>ROUND(Source!O56,O58)</f>
        <v>459179.87</v>
      </c>
      <c r="G58" s="4" t="s">
        <v>118</v>
      </c>
      <c r="H58" s="4" t="s">
        <v>119</v>
      </c>
      <c r="I58" s="4"/>
      <c r="J58" s="4"/>
      <c r="K58" s="4">
        <v>201</v>
      </c>
      <c r="L58" s="4">
        <v>1</v>
      </c>
      <c r="M58" s="4">
        <v>3</v>
      </c>
      <c r="N58" s="4" t="s">
        <v>3</v>
      </c>
      <c r="O58" s="4">
        <v>2</v>
      </c>
      <c r="P58" s="4"/>
      <c r="Q58" s="4"/>
      <c r="R58" s="4"/>
      <c r="S58" s="4"/>
      <c r="T58" s="4"/>
      <c r="U58" s="4"/>
      <c r="V58" s="4"/>
      <c r="W58" s="4"/>
    </row>
    <row r="59" spans="1:245" x14ac:dyDescent="0.2">
      <c r="A59" s="4">
        <v>50</v>
      </c>
      <c r="B59" s="4">
        <v>0</v>
      </c>
      <c r="C59" s="4">
        <v>0</v>
      </c>
      <c r="D59" s="4">
        <v>1</v>
      </c>
      <c r="E59" s="4">
        <v>202</v>
      </c>
      <c r="F59" s="4">
        <f>ROUND(Source!P56,O59)</f>
        <v>394091.81</v>
      </c>
      <c r="G59" s="4" t="s">
        <v>120</v>
      </c>
      <c r="H59" s="4" t="s">
        <v>121</v>
      </c>
      <c r="I59" s="4"/>
      <c r="J59" s="4"/>
      <c r="K59" s="4">
        <v>202</v>
      </c>
      <c r="L59" s="4">
        <v>2</v>
      </c>
      <c r="M59" s="4">
        <v>3</v>
      </c>
      <c r="N59" s="4" t="s">
        <v>3</v>
      </c>
      <c r="O59" s="4">
        <v>2</v>
      </c>
      <c r="P59" s="4"/>
      <c r="Q59" s="4"/>
      <c r="R59" s="4"/>
      <c r="S59" s="4"/>
      <c r="T59" s="4"/>
      <c r="U59" s="4"/>
      <c r="V59" s="4"/>
      <c r="W59" s="4"/>
    </row>
    <row r="60" spans="1:245" x14ac:dyDescent="0.2">
      <c r="A60" s="4">
        <v>50</v>
      </c>
      <c r="B60" s="4">
        <v>0</v>
      </c>
      <c r="C60" s="4">
        <v>0</v>
      </c>
      <c r="D60" s="4">
        <v>1</v>
      </c>
      <c r="E60" s="4">
        <v>222</v>
      </c>
      <c r="F60" s="4">
        <f>ROUND(Source!AO56,O60)</f>
        <v>0</v>
      </c>
      <c r="G60" s="4" t="s">
        <v>122</v>
      </c>
      <c r="H60" s="4" t="s">
        <v>123</v>
      </c>
      <c r="I60" s="4"/>
      <c r="J60" s="4"/>
      <c r="K60" s="4">
        <v>222</v>
      </c>
      <c r="L60" s="4">
        <v>3</v>
      </c>
      <c r="M60" s="4">
        <v>3</v>
      </c>
      <c r="N60" s="4" t="s">
        <v>3</v>
      </c>
      <c r="O60" s="4">
        <v>2</v>
      </c>
      <c r="P60" s="4"/>
      <c r="Q60" s="4"/>
      <c r="R60" s="4"/>
      <c r="S60" s="4"/>
      <c r="T60" s="4"/>
      <c r="U60" s="4"/>
      <c r="V60" s="4"/>
      <c r="W60" s="4"/>
    </row>
    <row r="61" spans="1:245" x14ac:dyDescent="0.2">
      <c r="A61" s="4">
        <v>50</v>
      </c>
      <c r="B61" s="4">
        <v>0</v>
      </c>
      <c r="C61" s="4">
        <v>0</v>
      </c>
      <c r="D61" s="4">
        <v>1</v>
      </c>
      <c r="E61" s="4">
        <v>225</v>
      </c>
      <c r="F61" s="4">
        <f>ROUND(Source!AV56,O61)</f>
        <v>394091.81</v>
      </c>
      <c r="G61" s="4" t="s">
        <v>124</v>
      </c>
      <c r="H61" s="4" t="s">
        <v>125</v>
      </c>
      <c r="I61" s="4"/>
      <c r="J61" s="4"/>
      <c r="K61" s="4">
        <v>225</v>
      </c>
      <c r="L61" s="4">
        <v>4</v>
      </c>
      <c r="M61" s="4">
        <v>3</v>
      </c>
      <c r="N61" s="4" t="s">
        <v>3</v>
      </c>
      <c r="O61" s="4">
        <v>2</v>
      </c>
      <c r="P61" s="4"/>
      <c r="Q61" s="4"/>
      <c r="R61" s="4"/>
      <c r="S61" s="4"/>
      <c r="T61" s="4"/>
      <c r="U61" s="4"/>
      <c r="V61" s="4"/>
      <c r="W61" s="4"/>
    </row>
    <row r="62" spans="1:245" x14ac:dyDescent="0.2">
      <c r="A62" s="4">
        <v>50</v>
      </c>
      <c r="B62" s="4">
        <v>0</v>
      </c>
      <c r="C62" s="4">
        <v>0</v>
      </c>
      <c r="D62" s="4">
        <v>1</v>
      </c>
      <c r="E62" s="4">
        <v>226</v>
      </c>
      <c r="F62" s="4">
        <f>ROUND(Source!AW56,O62)</f>
        <v>394091.81</v>
      </c>
      <c r="G62" s="4" t="s">
        <v>126</v>
      </c>
      <c r="H62" s="4" t="s">
        <v>127</v>
      </c>
      <c r="I62" s="4"/>
      <c r="J62" s="4"/>
      <c r="K62" s="4">
        <v>226</v>
      </c>
      <c r="L62" s="4">
        <v>5</v>
      </c>
      <c r="M62" s="4">
        <v>3</v>
      </c>
      <c r="N62" s="4" t="s">
        <v>3</v>
      </c>
      <c r="O62" s="4">
        <v>2</v>
      </c>
      <c r="P62" s="4"/>
      <c r="Q62" s="4"/>
      <c r="R62" s="4"/>
      <c r="S62" s="4"/>
      <c r="T62" s="4"/>
      <c r="U62" s="4"/>
      <c r="V62" s="4"/>
      <c r="W62" s="4"/>
    </row>
    <row r="63" spans="1:245" x14ac:dyDescent="0.2">
      <c r="A63" s="4">
        <v>50</v>
      </c>
      <c r="B63" s="4">
        <v>0</v>
      </c>
      <c r="C63" s="4">
        <v>0</v>
      </c>
      <c r="D63" s="4">
        <v>1</v>
      </c>
      <c r="E63" s="4">
        <v>227</v>
      </c>
      <c r="F63" s="4">
        <f>ROUND(Source!AX56,O63)</f>
        <v>0</v>
      </c>
      <c r="G63" s="4" t="s">
        <v>128</v>
      </c>
      <c r="H63" s="4" t="s">
        <v>129</v>
      </c>
      <c r="I63" s="4"/>
      <c r="J63" s="4"/>
      <c r="K63" s="4">
        <v>227</v>
      </c>
      <c r="L63" s="4">
        <v>6</v>
      </c>
      <c r="M63" s="4">
        <v>3</v>
      </c>
      <c r="N63" s="4" t="s">
        <v>3</v>
      </c>
      <c r="O63" s="4">
        <v>2</v>
      </c>
      <c r="P63" s="4"/>
      <c r="Q63" s="4"/>
      <c r="R63" s="4"/>
      <c r="S63" s="4"/>
      <c r="T63" s="4"/>
      <c r="U63" s="4"/>
      <c r="V63" s="4"/>
      <c r="W63" s="4"/>
    </row>
    <row r="64" spans="1:245" x14ac:dyDescent="0.2">
      <c r="A64" s="4">
        <v>50</v>
      </c>
      <c r="B64" s="4">
        <v>0</v>
      </c>
      <c r="C64" s="4">
        <v>0</v>
      </c>
      <c r="D64" s="4">
        <v>1</v>
      </c>
      <c r="E64" s="4">
        <v>228</v>
      </c>
      <c r="F64" s="4">
        <f>ROUND(Source!AY56,O64)</f>
        <v>394091.81</v>
      </c>
      <c r="G64" s="4" t="s">
        <v>130</v>
      </c>
      <c r="H64" s="4" t="s">
        <v>131</v>
      </c>
      <c r="I64" s="4"/>
      <c r="J64" s="4"/>
      <c r="K64" s="4">
        <v>228</v>
      </c>
      <c r="L64" s="4">
        <v>7</v>
      </c>
      <c r="M64" s="4">
        <v>3</v>
      </c>
      <c r="N64" s="4" t="s">
        <v>3</v>
      </c>
      <c r="O64" s="4">
        <v>2</v>
      </c>
      <c r="P64" s="4"/>
      <c r="Q64" s="4"/>
      <c r="R64" s="4"/>
      <c r="S64" s="4"/>
      <c r="T64" s="4"/>
      <c r="U64" s="4"/>
      <c r="V64" s="4"/>
      <c r="W64" s="4"/>
    </row>
    <row r="65" spans="1:23" x14ac:dyDescent="0.2">
      <c r="A65" s="4">
        <v>50</v>
      </c>
      <c r="B65" s="4">
        <v>0</v>
      </c>
      <c r="C65" s="4">
        <v>0</v>
      </c>
      <c r="D65" s="4">
        <v>1</v>
      </c>
      <c r="E65" s="4">
        <v>216</v>
      </c>
      <c r="F65" s="4">
        <f>ROUND(Source!AP56,O65)</f>
        <v>0</v>
      </c>
      <c r="G65" s="4" t="s">
        <v>132</v>
      </c>
      <c r="H65" s="4" t="s">
        <v>133</v>
      </c>
      <c r="I65" s="4"/>
      <c r="J65" s="4"/>
      <c r="K65" s="4">
        <v>216</v>
      </c>
      <c r="L65" s="4">
        <v>8</v>
      </c>
      <c r="M65" s="4">
        <v>3</v>
      </c>
      <c r="N65" s="4" t="s">
        <v>3</v>
      </c>
      <c r="O65" s="4">
        <v>2</v>
      </c>
      <c r="P65" s="4"/>
      <c r="Q65" s="4"/>
      <c r="R65" s="4"/>
      <c r="S65" s="4"/>
      <c r="T65" s="4"/>
      <c r="U65" s="4"/>
      <c r="V65" s="4"/>
      <c r="W65" s="4"/>
    </row>
    <row r="66" spans="1:23" x14ac:dyDescent="0.2">
      <c r="A66" s="4">
        <v>50</v>
      </c>
      <c r="B66" s="4">
        <v>0</v>
      </c>
      <c r="C66" s="4">
        <v>0</v>
      </c>
      <c r="D66" s="4">
        <v>1</v>
      </c>
      <c r="E66" s="4">
        <v>223</v>
      </c>
      <c r="F66" s="4">
        <f>ROUND(Source!AQ56,O66)</f>
        <v>0</v>
      </c>
      <c r="G66" s="4" t="s">
        <v>134</v>
      </c>
      <c r="H66" s="4" t="s">
        <v>135</v>
      </c>
      <c r="I66" s="4"/>
      <c r="J66" s="4"/>
      <c r="K66" s="4">
        <v>223</v>
      </c>
      <c r="L66" s="4">
        <v>9</v>
      </c>
      <c r="M66" s="4">
        <v>3</v>
      </c>
      <c r="N66" s="4" t="s">
        <v>3</v>
      </c>
      <c r="O66" s="4">
        <v>2</v>
      </c>
      <c r="P66" s="4"/>
      <c r="Q66" s="4"/>
      <c r="R66" s="4"/>
      <c r="S66" s="4"/>
      <c r="T66" s="4"/>
      <c r="U66" s="4"/>
      <c r="V66" s="4"/>
      <c r="W66" s="4"/>
    </row>
    <row r="67" spans="1:23" x14ac:dyDescent="0.2">
      <c r="A67" s="4">
        <v>50</v>
      </c>
      <c r="B67" s="4">
        <v>0</v>
      </c>
      <c r="C67" s="4">
        <v>0</v>
      </c>
      <c r="D67" s="4">
        <v>1</v>
      </c>
      <c r="E67" s="4">
        <v>229</v>
      </c>
      <c r="F67" s="4">
        <f>ROUND(Source!AZ56,O67)</f>
        <v>0</v>
      </c>
      <c r="G67" s="4" t="s">
        <v>136</v>
      </c>
      <c r="H67" s="4" t="s">
        <v>137</v>
      </c>
      <c r="I67" s="4"/>
      <c r="J67" s="4"/>
      <c r="K67" s="4">
        <v>229</v>
      </c>
      <c r="L67" s="4">
        <v>10</v>
      </c>
      <c r="M67" s="4">
        <v>3</v>
      </c>
      <c r="N67" s="4" t="s">
        <v>3</v>
      </c>
      <c r="O67" s="4">
        <v>2</v>
      </c>
      <c r="P67" s="4"/>
      <c r="Q67" s="4"/>
      <c r="R67" s="4"/>
      <c r="S67" s="4"/>
      <c r="T67" s="4"/>
      <c r="U67" s="4"/>
      <c r="V67" s="4"/>
      <c r="W67" s="4"/>
    </row>
    <row r="68" spans="1:23" x14ac:dyDescent="0.2">
      <c r="A68" s="4">
        <v>50</v>
      </c>
      <c r="B68" s="4">
        <v>0</v>
      </c>
      <c r="C68" s="4">
        <v>0</v>
      </c>
      <c r="D68" s="4">
        <v>1</v>
      </c>
      <c r="E68" s="4">
        <v>203</v>
      </c>
      <c r="F68" s="4">
        <f>ROUND(Source!Q56,O68)</f>
        <v>11217.19</v>
      </c>
      <c r="G68" s="4" t="s">
        <v>138</v>
      </c>
      <c r="H68" s="4" t="s">
        <v>139</v>
      </c>
      <c r="I68" s="4"/>
      <c r="J68" s="4"/>
      <c r="K68" s="4">
        <v>203</v>
      </c>
      <c r="L68" s="4">
        <v>11</v>
      </c>
      <c r="M68" s="4">
        <v>3</v>
      </c>
      <c r="N68" s="4" t="s">
        <v>3</v>
      </c>
      <c r="O68" s="4">
        <v>2</v>
      </c>
      <c r="P68" s="4"/>
      <c r="Q68" s="4"/>
      <c r="R68" s="4"/>
      <c r="S68" s="4"/>
      <c r="T68" s="4"/>
      <c r="U68" s="4"/>
      <c r="V68" s="4"/>
      <c r="W68" s="4"/>
    </row>
    <row r="69" spans="1:23" x14ac:dyDescent="0.2">
      <c r="A69" s="4">
        <v>50</v>
      </c>
      <c r="B69" s="4">
        <v>0</v>
      </c>
      <c r="C69" s="4">
        <v>0</v>
      </c>
      <c r="D69" s="4">
        <v>1</v>
      </c>
      <c r="E69" s="4">
        <v>231</v>
      </c>
      <c r="F69" s="4">
        <f>ROUND(Source!BB56,O69)</f>
        <v>0</v>
      </c>
      <c r="G69" s="4" t="s">
        <v>140</v>
      </c>
      <c r="H69" s="4" t="s">
        <v>141</v>
      </c>
      <c r="I69" s="4"/>
      <c r="J69" s="4"/>
      <c r="K69" s="4">
        <v>231</v>
      </c>
      <c r="L69" s="4">
        <v>12</v>
      </c>
      <c r="M69" s="4">
        <v>3</v>
      </c>
      <c r="N69" s="4" t="s">
        <v>3</v>
      </c>
      <c r="O69" s="4">
        <v>2</v>
      </c>
      <c r="P69" s="4"/>
      <c r="Q69" s="4"/>
      <c r="R69" s="4"/>
      <c r="S69" s="4"/>
      <c r="T69" s="4"/>
      <c r="U69" s="4"/>
      <c r="V69" s="4"/>
      <c r="W69" s="4"/>
    </row>
    <row r="70" spans="1:23" x14ac:dyDescent="0.2">
      <c r="A70" s="4">
        <v>50</v>
      </c>
      <c r="B70" s="4">
        <v>0</v>
      </c>
      <c r="C70" s="4">
        <v>0</v>
      </c>
      <c r="D70" s="4">
        <v>1</v>
      </c>
      <c r="E70" s="4">
        <v>204</v>
      </c>
      <c r="F70" s="4">
        <f>ROUND(Source!R56,O70)</f>
        <v>5916.08</v>
      </c>
      <c r="G70" s="4" t="s">
        <v>142</v>
      </c>
      <c r="H70" s="4" t="s">
        <v>143</v>
      </c>
      <c r="I70" s="4"/>
      <c r="J70" s="4"/>
      <c r="K70" s="4">
        <v>204</v>
      </c>
      <c r="L70" s="4">
        <v>13</v>
      </c>
      <c r="M70" s="4">
        <v>3</v>
      </c>
      <c r="N70" s="4" t="s">
        <v>3</v>
      </c>
      <c r="O70" s="4">
        <v>2</v>
      </c>
      <c r="P70" s="4"/>
      <c r="Q70" s="4"/>
      <c r="R70" s="4"/>
      <c r="S70" s="4"/>
      <c r="T70" s="4"/>
      <c r="U70" s="4"/>
      <c r="V70" s="4"/>
      <c r="W70" s="4"/>
    </row>
    <row r="71" spans="1:23" x14ac:dyDescent="0.2">
      <c r="A71" s="4">
        <v>50</v>
      </c>
      <c r="B71" s="4">
        <v>0</v>
      </c>
      <c r="C71" s="4">
        <v>0</v>
      </c>
      <c r="D71" s="4">
        <v>1</v>
      </c>
      <c r="E71" s="4">
        <v>205</v>
      </c>
      <c r="F71" s="4">
        <f>ROUND(Source!S56,O71)</f>
        <v>53870.87</v>
      </c>
      <c r="G71" s="4" t="s">
        <v>144</v>
      </c>
      <c r="H71" s="4" t="s">
        <v>145</v>
      </c>
      <c r="I71" s="4"/>
      <c r="J71" s="4"/>
      <c r="K71" s="4">
        <v>205</v>
      </c>
      <c r="L71" s="4">
        <v>14</v>
      </c>
      <c r="M71" s="4">
        <v>3</v>
      </c>
      <c r="N71" s="4" t="s">
        <v>3</v>
      </c>
      <c r="O71" s="4">
        <v>2</v>
      </c>
      <c r="P71" s="4"/>
      <c r="Q71" s="4"/>
      <c r="R71" s="4"/>
      <c r="S71" s="4"/>
      <c r="T71" s="4"/>
      <c r="U71" s="4"/>
      <c r="V71" s="4"/>
      <c r="W71" s="4"/>
    </row>
    <row r="72" spans="1:23" x14ac:dyDescent="0.2">
      <c r="A72" s="4">
        <v>50</v>
      </c>
      <c r="B72" s="4">
        <v>0</v>
      </c>
      <c r="C72" s="4">
        <v>0</v>
      </c>
      <c r="D72" s="4">
        <v>1</v>
      </c>
      <c r="E72" s="4">
        <v>232</v>
      </c>
      <c r="F72" s="4">
        <f>ROUND(Source!BC56,O72)</f>
        <v>0</v>
      </c>
      <c r="G72" s="4" t="s">
        <v>146</v>
      </c>
      <c r="H72" s="4" t="s">
        <v>147</v>
      </c>
      <c r="I72" s="4"/>
      <c r="J72" s="4"/>
      <c r="K72" s="4">
        <v>232</v>
      </c>
      <c r="L72" s="4">
        <v>15</v>
      </c>
      <c r="M72" s="4">
        <v>3</v>
      </c>
      <c r="N72" s="4" t="s">
        <v>3</v>
      </c>
      <c r="O72" s="4">
        <v>2</v>
      </c>
      <c r="P72" s="4"/>
      <c r="Q72" s="4"/>
      <c r="R72" s="4"/>
      <c r="S72" s="4"/>
      <c r="T72" s="4"/>
      <c r="U72" s="4"/>
      <c r="V72" s="4"/>
      <c r="W72" s="4"/>
    </row>
    <row r="73" spans="1:23" x14ac:dyDescent="0.2">
      <c r="A73" s="4">
        <v>50</v>
      </c>
      <c r="B73" s="4">
        <v>0</v>
      </c>
      <c r="C73" s="4">
        <v>0</v>
      </c>
      <c r="D73" s="4">
        <v>1</v>
      </c>
      <c r="E73" s="4">
        <v>214</v>
      </c>
      <c r="F73" s="4">
        <f>ROUND(Source!AS56,O73)</f>
        <v>0</v>
      </c>
      <c r="G73" s="4" t="s">
        <v>148</v>
      </c>
      <c r="H73" s="4" t="s">
        <v>149</v>
      </c>
      <c r="I73" s="4"/>
      <c r="J73" s="4"/>
      <c r="K73" s="4">
        <v>214</v>
      </c>
      <c r="L73" s="4">
        <v>16</v>
      </c>
      <c r="M73" s="4">
        <v>3</v>
      </c>
      <c r="N73" s="4" t="s">
        <v>3</v>
      </c>
      <c r="O73" s="4">
        <v>2</v>
      </c>
      <c r="P73" s="4"/>
      <c r="Q73" s="4"/>
      <c r="R73" s="4"/>
      <c r="S73" s="4"/>
      <c r="T73" s="4"/>
      <c r="U73" s="4"/>
      <c r="V73" s="4"/>
      <c r="W73" s="4"/>
    </row>
    <row r="74" spans="1:23" x14ac:dyDescent="0.2">
      <c r="A74" s="4">
        <v>50</v>
      </c>
      <c r="B74" s="4">
        <v>0</v>
      </c>
      <c r="C74" s="4">
        <v>0</v>
      </c>
      <c r="D74" s="4">
        <v>1</v>
      </c>
      <c r="E74" s="4">
        <v>215</v>
      </c>
      <c r="F74" s="4">
        <f>ROUND(Source!AT56,O74)</f>
        <v>0</v>
      </c>
      <c r="G74" s="4" t="s">
        <v>150</v>
      </c>
      <c r="H74" s="4" t="s">
        <v>151</v>
      </c>
      <c r="I74" s="4"/>
      <c r="J74" s="4"/>
      <c r="K74" s="4">
        <v>215</v>
      </c>
      <c r="L74" s="4">
        <v>17</v>
      </c>
      <c r="M74" s="4">
        <v>3</v>
      </c>
      <c r="N74" s="4" t="s">
        <v>3</v>
      </c>
      <c r="O74" s="4">
        <v>2</v>
      </c>
      <c r="P74" s="4"/>
      <c r="Q74" s="4"/>
      <c r="R74" s="4"/>
      <c r="S74" s="4"/>
      <c r="T74" s="4"/>
      <c r="U74" s="4"/>
      <c r="V74" s="4"/>
      <c r="W74" s="4"/>
    </row>
    <row r="75" spans="1:23" x14ac:dyDescent="0.2">
      <c r="A75" s="4">
        <v>50</v>
      </c>
      <c r="B75" s="4">
        <v>0</v>
      </c>
      <c r="C75" s="4">
        <v>0</v>
      </c>
      <c r="D75" s="4">
        <v>1</v>
      </c>
      <c r="E75" s="4">
        <v>217</v>
      </c>
      <c r="F75" s="4">
        <f>ROUND(Source!AU56,O75)</f>
        <v>508665.94</v>
      </c>
      <c r="G75" s="4" t="s">
        <v>152</v>
      </c>
      <c r="H75" s="4" t="s">
        <v>153</v>
      </c>
      <c r="I75" s="4"/>
      <c r="J75" s="4"/>
      <c r="K75" s="4">
        <v>217</v>
      </c>
      <c r="L75" s="4">
        <v>18</v>
      </c>
      <c r="M75" s="4">
        <v>3</v>
      </c>
      <c r="N75" s="4" t="s">
        <v>3</v>
      </c>
      <c r="O75" s="4">
        <v>2</v>
      </c>
      <c r="P75" s="4"/>
      <c r="Q75" s="4"/>
      <c r="R75" s="4"/>
      <c r="S75" s="4"/>
      <c r="T75" s="4"/>
      <c r="U75" s="4"/>
      <c r="V75" s="4"/>
      <c r="W75" s="4"/>
    </row>
    <row r="76" spans="1:23" x14ac:dyDescent="0.2">
      <c r="A76" s="4">
        <v>50</v>
      </c>
      <c r="B76" s="4">
        <v>0</v>
      </c>
      <c r="C76" s="4">
        <v>0</v>
      </c>
      <c r="D76" s="4">
        <v>1</v>
      </c>
      <c r="E76" s="4">
        <v>230</v>
      </c>
      <c r="F76" s="4">
        <f>ROUND(Source!BA56,O76)</f>
        <v>0</v>
      </c>
      <c r="G76" s="4" t="s">
        <v>154</v>
      </c>
      <c r="H76" s="4" t="s">
        <v>155</v>
      </c>
      <c r="I76" s="4"/>
      <c r="J76" s="4"/>
      <c r="K76" s="4">
        <v>230</v>
      </c>
      <c r="L76" s="4">
        <v>19</v>
      </c>
      <c r="M76" s="4">
        <v>3</v>
      </c>
      <c r="N76" s="4" t="s">
        <v>3</v>
      </c>
      <c r="O76" s="4">
        <v>2</v>
      </c>
      <c r="P76" s="4"/>
      <c r="Q76" s="4"/>
      <c r="R76" s="4"/>
      <c r="S76" s="4"/>
      <c r="T76" s="4"/>
      <c r="U76" s="4"/>
      <c r="V76" s="4"/>
      <c r="W76" s="4"/>
    </row>
    <row r="77" spans="1:23" x14ac:dyDescent="0.2">
      <c r="A77" s="4">
        <v>50</v>
      </c>
      <c r="B77" s="4">
        <v>0</v>
      </c>
      <c r="C77" s="4">
        <v>0</v>
      </c>
      <c r="D77" s="4">
        <v>1</v>
      </c>
      <c r="E77" s="4">
        <v>206</v>
      </c>
      <c r="F77" s="4">
        <f>ROUND(Source!T56,O77)</f>
        <v>0</v>
      </c>
      <c r="G77" s="4" t="s">
        <v>156</v>
      </c>
      <c r="H77" s="4" t="s">
        <v>157</v>
      </c>
      <c r="I77" s="4"/>
      <c r="J77" s="4"/>
      <c r="K77" s="4">
        <v>206</v>
      </c>
      <c r="L77" s="4">
        <v>20</v>
      </c>
      <c r="M77" s="4">
        <v>3</v>
      </c>
      <c r="N77" s="4" t="s">
        <v>3</v>
      </c>
      <c r="O77" s="4">
        <v>2</v>
      </c>
      <c r="P77" s="4"/>
      <c r="Q77" s="4"/>
      <c r="R77" s="4"/>
      <c r="S77" s="4"/>
      <c r="T77" s="4"/>
      <c r="U77" s="4"/>
      <c r="V77" s="4"/>
      <c r="W77" s="4"/>
    </row>
    <row r="78" spans="1:23" x14ac:dyDescent="0.2">
      <c r="A78" s="4">
        <v>50</v>
      </c>
      <c r="B78" s="4">
        <v>0</v>
      </c>
      <c r="C78" s="4">
        <v>0</v>
      </c>
      <c r="D78" s="4">
        <v>1</v>
      </c>
      <c r="E78" s="4">
        <v>207</v>
      </c>
      <c r="F78" s="4">
        <f>Source!U56</f>
        <v>256.83423999999997</v>
      </c>
      <c r="G78" s="4" t="s">
        <v>158</v>
      </c>
      <c r="H78" s="4" t="s">
        <v>159</v>
      </c>
      <c r="I78" s="4"/>
      <c r="J78" s="4"/>
      <c r="K78" s="4">
        <v>207</v>
      </c>
      <c r="L78" s="4">
        <v>21</v>
      </c>
      <c r="M78" s="4">
        <v>3</v>
      </c>
      <c r="N78" s="4" t="s">
        <v>3</v>
      </c>
      <c r="O78" s="4">
        <v>-1</v>
      </c>
      <c r="P78" s="4"/>
      <c r="Q78" s="4"/>
      <c r="R78" s="4"/>
      <c r="S78" s="4"/>
      <c r="T78" s="4"/>
      <c r="U78" s="4"/>
      <c r="V78" s="4"/>
      <c r="W78" s="4"/>
    </row>
    <row r="79" spans="1:23" x14ac:dyDescent="0.2">
      <c r="A79" s="4">
        <v>50</v>
      </c>
      <c r="B79" s="4">
        <v>0</v>
      </c>
      <c r="C79" s="4">
        <v>0</v>
      </c>
      <c r="D79" s="4">
        <v>1</v>
      </c>
      <c r="E79" s="4">
        <v>208</v>
      </c>
      <c r="F79" s="4">
        <f>Source!V56</f>
        <v>0</v>
      </c>
      <c r="G79" s="4" t="s">
        <v>160</v>
      </c>
      <c r="H79" s="4" t="s">
        <v>161</v>
      </c>
      <c r="I79" s="4"/>
      <c r="J79" s="4"/>
      <c r="K79" s="4">
        <v>208</v>
      </c>
      <c r="L79" s="4">
        <v>22</v>
      </c>
      <c r="M79" s="4">
        <v>3</v>
      </c>
      <c r="N79" s="4" t="s">
        <v>3</v>
      </c>
      <c r="O79" s="4">
        <v>-1</v>
      </c>
      <c r="P79" s="4"/>
      <c r="Q79" s="4"/>
      <c r="R79" s="4"/>
      <c r="S79" s="4"/>
      <c r="T79" s="4"/>
      <c r="U79" s="4"/>
      <c r="V79" s="4"/>
      <c r="W79" s="4"/>
    </row>
    <row r="80" spans="1:23" x14ac:dyDescent="0.2">
      <c r="A80" s="4">
        <v>50</v>
      </c>
      <c r="B80" s="4">
        <v>0</v>
      </c>
      <c r="C80" s="4">
        <v>0</v>
      </c>
      <c r="D80" s="4">
        <v>1</v>
      </c>
      <c r="E80" s="4">
        <v>209</v>
      </c>
      <c r="F80" s="4">
        <f>ROUND(Source!W56,O80)</f>
        <v>0</v>
      </c>
      <c r="G80" s="4" t="s">
        <v>162</v>
      </c>
      <c r="H80" s="4" t="s">
        <v>163</v>
      </c>
      <c r="I80" s="4"/>
      <c r="J80" s="4"/>
      <c r="K80" s="4">
        <v>209</v>
      </c>
      <c r="L80" s="4">
        <v>23</v>
      </c>
      <c r="M80" s="4">
        <v>3</v>
      </c>
      <c r="N80" s="4" t="s">
        <v>3</v>
      </c>
      <c r="O80" s="4">
        <v>2</v>
      </c>
      <c r="P80" s="4"/>
      <c r="Q80" s="4"/>
      <c r="R80" s="4"/>
      <c r="S80" s="4"/>
      <c r="T80" s="4"/>
      <c r="U80" s="4"/>
      <c r="V80" s="4"/>
      <c r="W80" s="4"/>
    </row>
    <row r="81" spans="1:245" x14ac:dyDescent="0.2">
      <c r="A81" s="4">
        <v>50</v>
      </c>
      <c r="B81" s="4">
        <v>0</v>
      </c>
      <c r="C81" s="4">
        <v>0</v>
      </c>
      <c r="D81" s="4">
        <v>1</v>
      </c>
      <c r="E81" s="4">
        <v>233</v>
      </c>
      <c r="F81" s="4">
        <f>ROUND(Source!BD56,O81)</f>
        <v>0</v>
      </c>
      <c r="G81" s="4" t="s">
        <v>164</v>
      </c>
      <c r="H81" s="4" t="s">
        <v>165</v>
      </c>
      <c r="I81" s="4"/>
      <c r="J81" s="4"/>
      <c r="K81" s="4">
        <v>233</v>
      </c>
      <c r="L81" s="4">
        <v>24</v>
      </c>
      <c r="M81" s="4">
        <v>3</v>
      </c>
      <c r="N81" s="4" t="s">
        <v>3</v>
      </c>
      <c r="O81" s="4">
        <v>2</v>
      </c>
      <c r="P81" s="4"/>
      <c r="Q81" s="4"/>
      <c r="R81" s="4"/>
      <c r="S81" s="4"/>
      <c r="T81" s="4"/>
      <c r="U81" s="4"/>
      <c r="V81" s="4"/>
      <c r="W81" s="4"/>
    </row>
    <row r="82" spans="1:245" x14ac:dyDescent="0.2">
      <c r="A82" s="4">
        <v>50</v>
      </c>
      <c r="B82" s="4">
        <v>0</v>
      </c>
      <c r="C82" s="4">
        <v>0</v>
      </c>
      <c r="D82" s="4">
        <v>1</v>
      </c>
      <c r="E82" s="4">
        <v>210</v>
      </c>
      <c r="F82" s="4">
        <f>ROUND(Source!X56,O82)</f>
        <v>37709.61</v>
      </c>
      <c r="G82" s="4" t="s">
        <v>166</v>
      </c>
      <c r="H82" s="4" t="s">
        <v>167</v>
      </c>
      <c r="I82" s="4"/>
      <c r="J82" s="4"/>
      <c r="K82" s="4">
        <v>210</v>
      </c>
      <c r="L82" s="4">
        <v>25</v>
      </c>
      <c r="M82" s="4">
        <v>3</v>
      </c>
      <c r="N82" s="4" t="s">
        <v>3</v>
      </c>
      <c r="O82" s="4">
        <v>2</v>
      </c>
      <c r="P82" s="4"/>
      <c r="Q82" s="4"/>
      <c r="R82" s="4"/>
      <c r="S82" s="4"/>
      <c r="T82" s="4"/>
      <c r="U82" s="4"/>
      <c r="V82" s="4"/>
      <c r="W82" s="4"/>
    </row>
    <row r="83" spans="1:245" x14ac:dyDescent="0.2">
      <c r="A83" s="4">
        <v>50</v>
      </c>
      <c r="B83" s="4">
        <v>0</v>
      </c>
      <c r="C83" s="4">
        <v>0</v>
      </c>
      <c r="D83" s="4">
        <v>1</v>
      </c>
      <c r="E83" s="4">
        <v>211</v>
      </c>
      <c r="F83" s="4">
        <f>ROUND(Source!Y56,O83)</f>
        <v>5387.09</v>
      </c>
      <c r="G83" s="4" t="s">
        <v>168</v>
      </c>
      <c r="H83" s="4" t="s">
        <v>169</v>
      </c>
      <c r="I83" s="4"/>
      <c r="J83" s="4"/>
      <c r="K83" s="4">
        <v>211</v>
      </c>
      <c r="L83" s="4">
        <v>26</v>
      </c>
      <c r="M83" s="4">
        <v>3</v>
      </c>
      <c r="N83" s="4" t="s">
        <v>3</v>
      </c>
      <c r="O83" s="4">
        <v>2</v>
      </c>
      <c r="P83" s="4"/>
      <c r="Q83" s="4"/>
      <c r="R83" s="4"/>
      <c r="S83" s="4"/>
      <c r="T83" s="4"/>
      <c r="U83" s="4"/>
      <c r="V83" s="4"/>
      <c r="W83" s="4"/>
    </row>
    <row r="84" spans="1:245" x14ac:dyDescent="0.2">
      <c r="A84" s="4">
        <v>50</v>
      </c>
      <c r="B84" s="4">
        <v>0</v>
      </c>
      <c r="C84" s="4">
        <v>0</v>
      </c>
      <c r="D84" s="4">
        <v>1</v>
      </c>
      <c r="E84" s="4">
        <v>224</v>
      </c>
      <c r="F84" s="4">
        <f>ROUND(Source!AR56,O84)</f>
        <v>508665.94</v>
      </c>
      <c r="G84" s="4" t="s">
        <v>170</v>
      </c>
      <c r="H84" s="4" t="s">
        <v>171</v>
      </c>
      <c r="I84" s="4"/>
      <c r="J84" s="4"/>
      <c r="K84" s="4">
        <v>224</v>
      </c>
      <c r="L84" s="4">
        <v>27</v>
      </c>
      <c r="M84" s="4">
        <v>3</v>
      </c>
      <c r="N84" s="4" t="s">
        <v>3</v>
      </c>
      <c r="O84" s="4">
        <v>2</v>
      </c>
      <c r="P84" s="4"/>
      <c r="Q84" s="4"/>
      <c r="R84" s="4"/>
      <c r="S84" s="4"/>
      <c r="T84" s="4"/>
      <c r="U84" s="4"/>
      <c r="V84" s="4"/>
      <c r="W84" s="4"/>
    </row>
    <row r="85" spans="1:245" x14ac:dyDescent="0.2">
      <c r="A85" s="4">
        <v>50</v>
      </c>
      <c r="B85" s="4">
        <v>1</v>
      </c>
      <c r="C85" s="4">
        <v>0</v>
      </c>
      <c r="D85" s="4">
        <v>2</v>
      </c>
      <c r="E85" s="4">
        <v>0</v>
      </c>
      <c r="F85" s="4">
        <f>ROUND(F84,O85)</f>
        <v>508665.94</v>
      </c>
      <c r="G85" s="4" t="s">
        <v>172</v>
      </c>
      <c r="H85" s="4" t="s">
        <v>173</v>
      </c>
      <c r="I85" s="4"/>
      <c r="J85" s="4"/>
      <c r="K85" s="4">
        <v>212</v>
      </c>
      <c r="L85" s="4">
        <v>28</v>
      </c>
      <c r="M85" s="4">
        <v>0</v>
      </c>
      <c r="N85" s="4" t="s">
        <v>3</v>
      </c>
      <c r="O85" s="4">
        <v>2</v>
      </c>
      <c r="P85" s="4"/>
      <c r="Q85" s="4"/>
      <c r="R85" s="4"/>
      <c r="S85" s="4"/>
      <c r="T85" s="4"/>
      <c r="U85" s="4"/>
      <c r="V85" s="4"/>
      <c r="W85" s="4"/>
    </row>
    <row r="86" spans="1:245" x14ac:dyDescent="0.2">
      <c r="A86" s="4">
        <v>50</v>
      </c>
      <c r="B86" s="4">
        <v>1</v>
      </c>
      <c r="C86" s="4">
        <v>0</v>
      </c>
      <c r="D86" s="4">
        <v>2</v>
      </c>
      <c r="E86" s="4">
        <v>0</v>
      </c>
      <c r="F86" s="4">
        <f>ROUND(F85*0.2,O86)</f>
        <v>101733.19</v>
      </c>
      <c r="G86" s="4" t="s">
        <v>174</v>
      </c>
      <c r="H86" s="4" t="s">
        <v>175</v>
      </c>
      <c r="I86" s="4"/>
      <c r="J86" s="4"/>
      <c r="K86" s="4">
        <v>212</v>
      </c>
      <c r="L86" s="4">
        <v>29</v>
      </c>
      <c r="M86" s="4">
        <v>0</v>
      </c>
      <c r="N86" s="4" t="s">
        <v>3</v>
      </c>
      <c r="O86" s="4">
        <v>2</v>
      </c>
      <c r="P86" s="4"/>
      <c r="Q86" s="4"/>
      <c r="R86" s="4"/>
      <c r="S86" s="4"/>
      <c r="T86" s="4"/>
      <c r="U86" s="4"/>
      <c r="V86" s="4"/>
      <c r="W86" s="4"/>
    </row>
    <row r="87" spans="1:245" x14ac:dyDescent="0.2">
      <c r="A87" s="4">
        <v>50</v>
      </c>
      <c r="B87" s="4">
        <v>1</v>
      </c>
      <c r="C87" s="4">
        <v>0</v>
      </c>
      <c r="D87" s="4">
        <v>2</v>
      </c>
      <c r="E87" s="4">
        <v>213</v>
      </c>
      <c r="F87" s="4">
        <f>ROUND(F85+F86,O87)</f>
        <v>610399.13</v>
      </c>
      <c r="G87" s="4" t="s">
        <v>176</v>
      </c>
      <c r="H87" s="4" t="s">
        <v>170</v>
      </c>
      <c r="I87" s="4"/>
      <c r="J87" s="4"/>
      <c r="K87" s="4">
        <v>212</v>
      </c>
      <c r="L87" s="4">
        <v>30</v>
      </c>
      <c r="M87" s="4">
        <v>0</v>
      </c>
      <c r="N87" s="4" t="s">
        <v>3</v>
      </c>
      <c r="O87" s="4">
        <v>2</v>
      </c>
      <c r="P87" s="4"/>
      <c r="Q87" s="4"/>
      <c r="R87" s="4"/>
      <c r="S87" s="4"/>
      <c r="T87" s="4"/>
      <c r="U87" s="4"/>
      <c r="V87" s="4"/>
      <c r="W87" s="4"/>
    </row>
    <row r="89" spans="1:245" x14ac:dyDescent="0.2">
      <c r="A89" s="1">
        <v>5</v>
      </c>
      <c r="B89" s="1">
        <v>1</v>
      </c>
      <c r="C89" s="1"/>
      <c r="D89" s="1">
        <f>ROW(A117)</f>
        <v>117</v>
      </c>
      <c r="E89" s="1"/>
      <c r="F89" s="1" t="s">
        <v>15</v>
      </c>
      <c r="G89" s="1" t="s">
        <v>177</v>
      </c>
      <c r="H89" s="1" t="s">
        <v>3</v>
      </c>
      <c r="I89" s="1">
        <v>0</v>
      </c>
      <c r="J89" s="1"/>
      <c r="K89" s="1">
        <v>-1</v>
      </c>
      <c r="L89" s="1"/>
      <c r="M89" s="1"/>
      <c r="N89" s="1"/>
      <c r="O89" s="1"/>
      <c r="P89" s="1"/>
      <c r="Q89" s="1"/>
      <c r="R89" s="1"/>
      <c r="S89" s="1"/>
      <c r="T89" s="1"/>
      <c r="U89" s="1" t="s">
        <v>3</v>
      </c>
      <c r="V89" s="1">
        <v>0</v>
      </c>
      <c r="W89" s="1"/>
      <c r="X89" s="1"/>
      <c r="Y89" s="1"/>
      <c r="Z89" s="1"/>
      <c r="AA89" s="1"/>
      <c r="AB89" s="1" t="s">
        <v>3</v>
      </c>
      <c r="AC89" s="1" t="s">
        <v>3</v>
      </c>
      <c r="AD89" s="1" t="s">
        <v>3</v>
      </c>
      <c r="AE89" s="1" t="s">
        <v>3</v>
      </c>
      <c r="AF89" s="1" t="s">
        <v>3</v>
      </c>
      <c r="AG89" s="1" t="s">
        <v>3</v>
      </c>
      <c r="AH89" s="1"/>
      <c r="AI89" s="1"/>
      <c r="AJ89" s="1"/>
      <c r="AK89" s="1"/>
      <c r="AL89" s="1"/>
      <c r="AM89" s="1"/>
      <c r="AN89" s="1"/>
      <c r="AO89" s="1"/>
      <c r="AP89" s="1" t="s">
        <v>3</v>
      </c>
      <c r="AQ89" s="1" t="s">
        <v>3</v>
      </c>
      <c r="AR89" s="1" t="s">
        <v>3</v>
      </c>
      <c r="AS89" s="1"/>
      <c r="AT89" s="1"/>
      <c r="AU89" s="1"/>
      <c r="AV89" s="1"/>
      <c r="AW89" s="1"/>
      <c r="AX89" s="1"/>
      <c r="AY89" s="1"/>
      <c r="AZ89" s="1" t="s">
        <v>3</v>
      </c>
      <c r="BA89" s="1"/>
      <c r="BB89" s="1" t="s">
        <v>3</v>
      </c>
      <c r="BC89" s="1" t="s">
        <v>3</v>
      </c>
      <c r="BD89" s="1" t="s">
        <v>3</v>
      </c>
      <c r="BE89" s="1" t="s">
        <v>3</v>
      </c>
      <c r="BF89" s="1" t="s">
        <v>3</v>
      </c>
      <c r="BG89" s="1" t="s">
        <v>3</v>
      </c>
      <c r="BH89" s="1" t="s">
        <v>3</v>
      </c>
      <c r="BI89" s="1" t="s">
        <v>3</v>
      </c>
      <c r="BJ89" s="1" t="s">
        <v>3</v>
      </c>
      <c r="BK89" s="1" t="s">
        <v>3</v>
      </c>
      <c r="BL89" s="1" t="s">
        <v>3</v>
      </c>
      <c r="BM89" s="1" t="s">
        <v>3</v>
      </c>
      <c r="BN89" s="1" t="s">
        <v>3</v>
      </c>
      <c r="BO89" s="1" t="s">
        <v>3</v>
      </c>
      <c r="BP89" s="1" t="s">
        <v>3</v>
      </c>
      <c r="BQ89" s="1"/>
      <c r="BR89" s="1"/>
      <c r="BS89" s="1"/>
      <c r="BT89" s="1"/>
      <c r="BU89" s="1"/>
      <c r="BV89" s="1"/>
      <c r="BW89" s="1"/>
      <c r="BX89" s="1">
        <v>0</v>
      </c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>
        <v>0</v>
      </c>
    </row>
    <row r="91" spans="1:245" x14ac:dyDescent="0.2">
      <c r="A91" s="2">
        <v>52</v>
      </c>
      <c r="B91" s="2">
        <f t="shared" ref="B91:G91" si="70">B117</f>
        <v>1</v>
      </c>
      <c r="C91" s="2">
        <f t="shared" si="70"/>
        <v>5</v>
      </c>
      <c r="D91" s="2">
        <f t="shared" si="70"/>
        <v>89</v>
      </c>
      <c r="E91" s="2">
        <f t="shared" si="70"/>
        <v>0</v>
      </c>
      <c r="F91" s="2" t="str">
        <f t="shared" si="70"/>
        <v>Новый подраздел</v>
      </c>
      <c r="G91" s="2" t="str">
        <f t="shared" si="70"/>
        <v>Игровая площадка группы №12</v>
      </c>
      <c r="H91" s="2"/>
      <c r="I91" s="2"/>
      <c r="J91" s="2"/>
      <c r="K91" s="2"/>
      <c r="L91" s="2"/>
      <c r="M91" s="2"/>
      <c r="N91" s="2"/>
      <c r="O91" s="2">
        <f t="shared" ref="O91:AT91" si="71">O117</f>
        <v>370296.35</v>
      </c>
      <c r="P91" s="2">
        <f t="shared" si="71"/>
        <v>323403.34000000003</v>
      </c>
      <c r="Q91" s="2">
        <f t="shared" si="71"/>
        <v>6978.44</v>
      </c>
      <c r="R91" s="2">
        <f t="shared" si="71"/>
        <v>3711.6</v>
      </c>
      <c r="S91" s="2">
        <f t="shared" si="71"/>
        <v>39914.57</v>
      </c>
      <c r="T91" s="2">
        <f t="shared" si="71"/>
        <v>0</v>
      </c>
      <c r="U91" s="2">
        <f t="shared" si="71"/>
        <v>185.77454</v>
      </c>
      <c r="V91" s="2">
        <f t="shared" si="71"/>
        <v>0</v>
      </c>
      <c r="W91" s="2">
        <f t="shared" si="71"/>
        <v>0</v>
      </c>
      <c r="X91" s="2">
        <f t="shared" si="71"/>
        <v>27940.19</v>
      </c>
      <c r="Y91" s="2">
        <f t="shared" si="71"/>
        <v>3991.46</v>
      </c>
      <c r="Z91" s="2">
        <f t="shared" si="71"/>
        <v>0</v>
      </c>
      <c r="AA91" s="2">
        <f t="shared" si="71"/>
        <v>0</v>
      </c>
      <c r="AB91" s="2">
        <f t="shared" si="71"/>
        <v>370296.35</v>
      </c>
      <c r="AC91" s="2">
        <f t="shared" si="71"/>
        <v>323403.34000000003</v>
      </c>
      <c r="AD91" s="2">
        <f t="shared" si="71"/>
        <v>6978.44</v>
      </c>
      <c r="AE91" s="2">
        <f t="shared" si="71"/>
        <v>3711.6</v>
      </c>
      <c r="AF91" s="2">
        <f t="shared" si="71"/>
        <v>39914.57</v>
      </c>
      <c r="AG91" s="2">
        <f t="shared" si="71"/>
        <v>0</v>
      </c>
      <c r="AH91" s="2">
        <f t="shared" si="71"/>
        <v>185.77454</v>
      </c>
      <c r="AI91" s="2">
        <f t="shared" si="71"/>
        <v>0</v>
      </c>
      <c r="AJ91" s="2">
        <f t="shared" si="71"/>
        <v>0</v>
      </c>
      <c r="AK91" s="2">
        <f t="shared" si="71"/>
        <v>27940.19</v>
      </c>
      <c r="AL91" s="2">
        <f t="shared" si="71"/>
        <v>3991.46</v>
      </c>
      <c r="AM91" s="2">
        <f t="shared" si="71"/>
        <v>0</v>
      </c>
      <c r="AN91" s="2">
        <f t="shared" si="71"/>
        <v>0</v>
      </c>
      <c r="AO91" s="2">
        <f t="shared" si="71"/>
        <v>0</v>
      </c>
      <c r="AP91" s="2">
        <f t="shared" si="71"/>
        <v>0</v>
      </c>
      <c r="AQ91" s="2">
        <f t="shared" si="71"/>
        <v>0</v>
      </c>
      <c r="AR91" s="2">
        <f t="shared" si="71"/>
        <v>406236.52</v>
      </c>
      <c r="AS91" s="2">
        <f t="shared" si="71"/>
        <v>0</v>
      </c>
      <c r="AT91" s="2">
        <f t="shared" si="71"/>
        <v>0</v>
      </c>
      <c r="AU91" s="2">
        <f t="shared" ref="AU91:BZ91" si="72">AU117</f>
        <v>406236.52</v>
      </c>
      <c r="AV91" s="2">
        <f t="shared" si="72"/>
        <v>323403.34000000003</v>
      </c>
      <c r="AW91" s="2">
        <f t="shared" si="72"/>
        <v>323403.34000000003</v>
      </c>
      <c r="AX91" s="2">
        <f t="shared" si="72"/>
        <v>0</v>
      </c>
      <c r="AY91" s="2">
        <f t="shared" si="72"/>
        <v>323403.34000000003</v>
      </c>
      <c r="AZ91" s="2">
        <f t="shared" si="72"/>
        <v>0</v>
      </c>
      <c r="BA91" s="2">
        <f t="shared" si="72"/>
        <v>0</v>
      </c>
      <c r="BB91" s="2">
        <f t="shared" si="72"/>
        <v>0</v>
      </c>
      <c r="BC91" s="2">
        <f t="shared" si="72"/>
        <v>0</v>
      </c>
      <c r="BD91" s="2">
        <f t="shared" si="72"/>
        <v>0</v>
      </c>
      <c r="BE91" s="2">
        <f t="shared" si="72"/>
        <v>0</v>
      </c>
      <c r="BF91" s="2">
        <f t="shared" si="72"/>
        <v>0</v>
      </c>
      <c r="BG91" s="2">
        <f t="shared" si="72"/>
        <v>0</v>
      </c>
      <c r="BH91" s="2">
        <f t="shared" si="72"/>
        <v>0</v>
      </c>
      <c r="BI91" s="2">
        <f t="shared" si="72"/>
        <v>0</v>
      </c>
      <c r="BJ91" s="2">
        <f t="shared" si="72"/>
        <v>0</v>
      </c>
      <c r="BK91" s="2">
        <f t="shared" si="72"/>
        <v>0</v>
      </c>
      <c r="BL91" s="2">
        <f t="shared" si="72"/>
        <v>0</v>
      </c>
      <c r="BM91" s="2">
        <f t="shared" si="72"/>
        <v>0</v>
      </c>
      <c r="BN91" s="2">
        <f t="shared" si="72"/>
        <v>0</v>
      </c>
      <c r="BO91" s="2">
        <f t="shared" si="72"/>
        <v>0</v>
      </c>
      <c r="BP91" s="2">
        <f t="shared" si="72"/>
        <v>0</v>
      </c>
      <c r="BQ91" s="2">
        <f t="shared" si="72"/>
        <v>0</v>
      </c>
      <c r="BR91" s="2">
        <f t="shared" si="72"/>
        <v>0</v>
      </c>
      <c r="BS91" s="2">
        <f t="shared" si="72"/>
        <v>0</v>
      </c>
      <c r="BT91" s="2">
        <f t="shared" si="72"/>
        <v>0</v>
      </c>
      <c r="BU91" s="2">
        <f t="shared" si="72"/>
        <v>0</v>
      </c>
      <c r="BV91" s="2">
        <f t="shared" si="72"/>
        <v>0</v>
      </c>
      <c r="BW91" s="2">
        <f t="shared" si="72"/>
        <v>0</v>
      </c>
      <c r="BX91" s="2">
        <f t="shared" si="72"/>
        <v>0</v>
      </c>
      <c r="BY91" s="2">
        <f t="shared" si="72"/>
        <v>0</v>
      </c>
      <c r="BZ91" s="2">
        <f t="shared" si="72"/>
        <v>0</v>
      </c>
      <c r="CA91" s="2">
        <f t="shared" ref="CA91:DF91" si="73">CA117</f>
        <v>406236.52</v>
      </c>
      <c r="CB91" s="2">
        <f t="shared" si="73"/>
        <v>0</v>
      </c>
      <c r="CC91" s="2">
        <f t="shared" si="73"/>
        <v>0</v>
      </c>
      <c r="CD91" s="2">
        <f t="shared" si="73"/>
        <v>406236.52</v>
      </c>
      <c r="CE91" s="2">
        <f t="shared" si="73"/>
        <v>323403.34000000003</v>
      </c>
      <c r="CF91" s="2">
        <f t="shared" si="73"/>
        <v>323403.34000000003</v>
      </c>
      <c r="CG91" s="2">
        <f t="shared" si="73"/>
        <v>0</v>
      </c>
      <c r="CH91" s="2">
        <f t="shared" si="73"/>
        <v>323403.34000000003</v>
      </c>
      <c r="CI91" s="2">
        <f t="shared" si="73"/>
        <v>0</v>
      </c>
      <c r="CJ91" s="2">
        <f t="shared" si="73"/>
        <v>0</v>
      </c>
      <c r="CK91" s="2">
        <f t="shared" si="73"/>
        <v>0</v>
      </c>
      <c r="CL91" s="2">
        <f t="shared" si="73"/>
        <v>0</v>
      </c>
      <c r="CM91" s="2">
        <f t="shared" si="73"/>
        <v>0</v>
      </c>
      <c r="CN91" s="2">
        <f t="shared" si="73"/>
        <v>0</v>
      </c>
      <c r="CO91" s="2">
        <f t="shared" si="73"/>
        <v>0</v>
      </c>
      <c r="CP91" s="2">
        <f t="shared" si="73"/>
        <v>0</v>
      </c>
      <c r="CQ91" s="2">
        <f t="shared" si="73"/>
        <v>0</v>
      </c>
      <c r="CR91" s="2">
        <f t="shared" si="73"/>
        <v>0</v>
      </c>
      <c r="CS91" s="2">
        <f t="shared" si="73"/>
        <v>0</v>
      </c>
      <c r="CT91" s="2">
        <f t="shared" si="73"/>
        <v>0</v>
      </c>
      <c r="CU91" s="2">
        <f t="shared" si="73"/>
        <v>0</v>
      </c>
      <c r="CV91" s="2">
        <f t="shared" si="73"/>
        <v>0</v>
      </c>
      <c r="CW91" s="2">
        <f t="shared" si="73"/>
        <v>0</v>
      </c>
      <c r="CX91" s="2">
        <f t="shared" si="73"/>
        <v>0</v>
      </c>
      <c r="CY91" s="2">
        <f t="shared" si="73"/>
        <v>0</v>
      </c>
      <c r="CZ91" s="2">
        <f t="shared" si="73"/>
        <v>0</v>
      </c>
      <c r="DA91" s="2">
        <f t="shared" si="73"/>
        <v>0</v>
      </c>
      <c r="DB91" s="2">
        <f t="shared" si="73"/>
        <v>0</v>
      </c>
      <c r="DC91" s="2">
        <f t="shared" si="73"/>
        <v>0</v>
      </c>
      <c r="DD91" s="2">
        <f t="shared" si="73"/>
        <v>0</v>
      </c>
      <c r="DE91" s="2">
        <f t="shared" si="73"/>
        <v>0</v>
      </c>
      <c r="DF91" s="2">
        <f t="shared" si="73"/>
        <v>0</v>
      </c>
      <c r="DG91" s="3">
        <f t="shared" ref="DG91:EL91" si="74">DG117</f>
        <v>0</v>
      </c>
      <c r="DH91" s="3">
        <f t="shared" si="74"/>
        <v>0</v>
      </c>
      <c r="DI91" s="3">
        <f t="shared" si="74"/>
        <v>0</v>
      </c>
      <c r="DJ91" s="3">
        <f t="shared" si="74"/>
        <v>0</v>
      </c>
      <c r="DK91" s="3">
        <f t="shared" si="74"/>
        <v>0</v>
      </c>
      <c r="DL91" s="3">
        <f t="shared" si="74"/>
        <v>0</v>
      </c>
      <c r="DM91" s="3">
        <f t="shared" si="74"/>
        <v>0</v>
      </c>
      <c r="DN91" s="3">
        <f t="shared" si="74"/>
        <v>0</v>
      </c>
      <c r="DO91" s="3">
        <f t="shared" si="74"/>
        <v>0</v>
      </c>
      <c r="DP91" s="3">
        <f t="shared" si="74"/>
        <v>0</v>
      </c>
      <c r="DQ91" s="3">
        <f t="shared" si="74"/>
        <v>0</v>
      </c>
      <c r="DR91" s="3">
        <f t="shared" si="74"/>
        <v>0</v>
      </c>
      <c r="DS91" s="3">
        <f t="shared" si="74"/>
        <v>0</v>
      </c>
      <c r="DT91" s="3">
        <f t="shared" si="74"/>
        <v>0</v>
      </c>
      <c r="DU91" s="3">
        <f t="shared" si="74"/>
        <v>0</v>
      </c>
      <c r="DV91" s="3">
        <f t="shared" si="74"/>
        <v>0</v>
      </c>
      <c r="DW91" s="3">
        <f t="shared" si="74"/>
        <v>0</v>
      </c>
      <c r="DX91" s="3">
        <f t="shared" si="74"/>
        <v>0</v>
      </c>
      <c r="DY91" s="3">
        <f t="shared" si="74"/>
        <v>0</v>
      </c>
      <c r="DZ91" s="3">
        <f t="shared" si="74"/>
        <v>0</v>
      </c>
      <c r="EA91" s="3">
        <f t="shared" si="74"/>
        <v>0</v>
      </c>
      <c r="EB91" s="3">
        <f t="shared" si="74"/>
        <v>0</v>
      </c>
      <c r="EC91" s="3">
        <f t="shared" si="74"/>
        <v>0</v>
      </c>
      <c r="ED91" s="3">
        <f t="shared" si="74"/>
        <v>0</v>
      </c>
      <c r="EE91" s="3">
        <f t="shared" si="74"/>
        <v>0</v>
      </c>
      <c r="EF91" s="3">
        <f t="shared" si="74"/>
        <v>0</v>
      </c>
      <c r="EG91" s="3">
        <f t="shared" si="74"/>
        <v>0</v>
      </c>
      <c r="EH91" s="3">
        <f t="shared" si="74"/>
        <v>0</v>
      </c>
      <c r="EI91" s="3">
        <f t="shared" si="74"/>
        <v>0</v>
      </c>
      <c r="EJ91" s="3">
        <f t="shared" si="74"/>
        <v>0</v>
      </c>
      <c r="EK91" s="3">
        <f t="shared" si="74"/>
        <v>0</v>
      </c>
      <c r="EL91" s="3">
        <f t="shared" si="74"/>
        <v>0</v>
      </c>
      <c r="EM91" s="3">
        <f t="shared" ref="EM91:FR91" si="75">EM117</f>
        <v>0</v>
      </c>
      <c r="EN91" s="3">
        <f t="shared" si="75"/>
        <v>0</v>
      </c>
      <c r="EO91" s="3">
        <f t="shared" si="75"/>
        <v>0</v>
      </c>
      <c r="EP91" s="3">
        <f t="shared" si="75"/>
        <v>0</v>
      </c>
      <c r="EQ91" s="3">
        <f t="shared" si="75"/>
        <v>0</v>
      </c>
      <c r="ER91" s="3">
        <f t="shared" si="75"/>
        <v>0</v>
      </c>
      <c r="ES91" s="3">
        <f t="shared" si="75"/>
        <v>0</v>
      </c>
      <c r="ET91" s="3">
        <f t="shared" si="75"/>
        <v>0</v>
      </c>
      <c r="EU91" s="3">
        <f t="shared" si="75"/>
        <v>0</v>
      </c>
      <c r="EV91" s="3">
        <f t="shared" si="75"/>
        <v>0</v>
      </c>
      <c r="EW91" s="3">
        <f t="shared" si="75"/>
        <v>0</v>
      </c>
      <c r="EX91" s="3">
        <f t="shared" si="75"/>
        <v>0</v>
      </c>
      <c r="EY91" s="3">
        <f t="shared" si="75"/>
        <v>0</v>
      </c>
      <c r="EZ91" s="3">
        <f t="shared" si="75"/>
        <v>0</v>
      </c>
      <c r="FA91" s="3">
        <f t="shared" si="75"/>
        <v>0</v>
      </c>
      <c r="FB91" s="3">
        <f t="shared" si="75"/>
        <v>0</v>
      </c>
      <c r="FC91" s="3">
        <f t="shared" si="75"/>
        <v>0</v>
      </c>
      <c r="FD91" s="3">
        <f t="shared" si="75"/>
        <v>0</v>
      </c>
      <c r="FE91" s="3">
        <f t="shared" si="75"/>
        <v>0</v>
      </c>
      <c r="FF91" s="3">
        <f t="shared" si="75"/>
        <v>0</v>
      </c>
      <c r="FG91" s="3">
        <f t="shared" si="75"/>
        <v>0</v>
      </c>
      <c r="FH91" s="3">
        <f t="shared" si="75"/>
        <v>0</v>
      </c>
      <c r="FI91" s="3">
        <f t="shared" si="75"/>
        <v>0</v>
      </c>
      <c r="FJ91" s="3">
        <f t="shared" si="75"/>
        <v>0</v>
      </c>
      <c r="FK91" s="3">
        <f t="shared" si="75"/>
        <v>0</v>
      </c>
      <c r="FL91" s="3">
        <f t="shared" si="75"/>
        <v>0</v>
      </c>
      <c r="FM91" s="3">
        <f t="shared" si="75"/>
        <v>0</v>
      </c>
      <c r="FN91" s="3">
        <f t="shared" si="75"/>
        <v>0</v>
      </c>
      <c r="FO91" s="3">
        <f t="shared" si="75"/>
        <v>0</v>
      </c>
      <c r="FP91" s="3">
        <f t="shared" si="75"/>
        <v>0</v>
      </c>
      <c r="FQ91" s="3">
        <f t="shared" si="75"/>
        <v>0</v>
      </c>
      <c r="FR91" s="3">
        <f t="shared" si="75"/>
        <v>0</v>
      </c>
      <c r="FS91" s="3">
        <f t="shared" ref="FS91:GX91" si="76">FS117</f>
        <v>0</v>
      </c>
      <c r="FT91" s="3">
        <f t="shared" si="76"/>
        <v>0</v>
      </c>
      <c r="FU91" s="3">
        <f t="shared" si="76"/>
        <v>0</v>
      </c>
      <c r="FV91" s="3">
        <f t="shared" si="76"/>
        <v>0</v>
      </c>
      <c r="FW91" s="3">
        <f t="shared" si="76"/>
        <v>0</v>
      </c>
      <c r="FX91" s="3">
        <f t="shared" si="76"/>
        <v>0</v>
      </c>
      <c r="FY91" s="3">
        <f t="shared" si="76"/>
        <v>0</v>
      </c>
      <c r="FZ91" s="3">
        <f t="shared" si="76"/>
        <v>0</v>
      </c>
      <c r="GA91" s="3">
        <f t="shared" si="76"/>
        <v>0</v>
      </c>
      <c r="GB91" s="3">
        <f t="shared" si="76"/>
        <v>0</v>
      </c>
      <c r="GC91" s="3">
        <f t="shared" si="76"/>
        <v>0</v>
      </c>
      <c r="GD91" s="3">
        <f t="shared" si="76"/>
        <v>0</v>
      </c>
      <c r="GE91" s="3">
        <f t="shared" si="76"/>
        <v>0</v>
      </c>
      <c r="GF91" s="3">
        <f t="shared" si="76"/>
        <v>0</v>
      </c>
      <c r="GG91" s="3">
        <f t="shared" si="76"/>
        <v>0</v>
      </c>
      <c r="GH91" s="3">
        <f t="shared" si="76"/>
        <v>0</v>
      </c>
      <c r="GI91" s="3">
        <f t="shared" si="76"/>
        <v>0</v>
      </c>
      <c r="GJ91" s="3">
        <f t="shared" si="76"/>
        <v>0</v>
      </c>
      <c r="GK91" s="3">
        <f t="shared" si="76"/>
        <v>0</v>
      </c>
      <c r="GL91" s="3">
        <f t="shared" si="76"/>
        <v>0</v>
      </c>
      <c r="GM91" s="3">
        <f t="shared" si="76"/>
        <v>0</v>
      </c>
      <c r="GN91" s="3">
        <f t="shared" si="76"/>
        <v>0</v>
      </c>
      <c r="GO91" s="3">
        <f t="shared" si="76"/>
        <v>0</v>
      </c>
      <c r="GP91" s="3">
        <f t="shared" si="76"/>
        <v>0</v>
      </c>
      <c r="GQ91" s="3">
        <f t="shared" si="76"/>
        <v>0</v>
      </c>
      <c r="GR91" s="3">
        <f t="shared" si="76"/>
        <v>0</v>
      </c>
      <c r="GS91" s="3">
        <f t="shared" si="76"/>
        <v>0</v>
      </c>
      <c r="GT91" s="3">
        <f t="shared" si="76"/>
        <v>0</v>
      </c>
      <c r="GU91" s="3">
        <f t="shared" si="76"/>
        <v>0</v>
      </c>
      <c r="GV91" s="3">
        <f t="shared" si="76"/>
        <v>0</v>
      </c>
      <c r="GW91" s="3">
        <f t="shared" si="76"/>
        <v>0</v>
      </c>
      <c r="GX91" s="3">
        <f t="shared" si="76"/>
        <v>0</v>
      </c>
    </row>
    <row r="93" spans="1:245" x14ac:dyDescent="0.2">
      <c r="A93">
        <v>17</v>
      </c>
      <c r="B93">
        <v>1</v>
      </c>
      <c r="C93">
        <f>ROW(SmtRes!A65)</f>
        <v>65</v>
      </c>
      <c r="D93">
        <f>ROW(EtalonRes!A62)</f>
        <v>62</v>
      </c>
      <c r="E93" t="s">
        <v>178</v>
      </c>
      <c r="F93" t="s">
        <v>26</v>
      </c>
      <c r="G93" t="s">
        <v>27</v>
      </c>
      <c r="H93" t="s">
        <v>28</v>
      </c>
      <c r="I93">
        <v>23.52</v>
      </c>
      <c r="J93">
        <v>0</v>
      </c>
      <c r="O93">
        <f t="shared" ref="O93:O115" si="77">ROUND(CP93,2)</f>
        <v>12111.62</v>
      </c>
      <c r="P93">
        <f t="shared" ref="P93:P115" si="78">ROUND(CQ93*I93,2)</f>
        <v>0</v>
      </c>
      <c r="Q93">
        <f t="shared" ref="Q93:Q115" si="79">ROUND(CR93*I93,2)</f>
        <v>0</v>
      </c>
      <c r="R93">
        <f t="shared" ref="R93:R115" si="80">ROUND(CS93*I93,2)</f>
        <v>0</v>
      </c>
      <c r="S93">
        <f t="shared" ref="S93:S115" si="81">ROUND(CT93*I93,2)</f>
        <v>12111.62</v>
      </c>
      <c r="T93">
        <f t="shared" ref="T93:T115" si="82">ROUND(CU93*I93,2)</f>
        <v>0</v>
      </c>
      <c r="U93">
        <f t="shared" ref="U93:U115" si="83">CV93*I93</f>
        <v>62.563200000000002</v>
      </c>
      <c r="V93">
        <f t="shared" ref="V93:V115" si="84">CW93*I93</f>
        <v>0</v>
      </c>
      <c r="W93">
        <f t="shared" ref="W93:W115" si="85">ROUND(CX93*I93,2)</f>
        <v>0</v>
      </c>
      <c r="X93">
        <f t="shared" ref="X93:X115" si="86">ROUND(CY93,2)</f>
        <v>8478.1299999999992</v>
      </c>
      <c r="Y93">
        <f t="shared" ref="Y93:Y115" si="87">ROUND(CZ93,2)</f>
        <v>1211.1600000000001</v>
      </c>
      <c r="AA93">
        <v>52430918</v>
      </c>
      <c r="AB93">
        <f t="shared" ref="AB93:AB115" si="88">ROUND((AC93+AD93+AF93),6)</f>
        <v>514.95000000000005</v>
      </c>
      <c r="AC93">
        <f t="shared" ref="AC93:AC115" si="89">ROUND((ES93),6)</f>
        <v>0</v>
      </c>
      <c r="AD93">
        <f t="shared" ref="AD93:AD115" si="90">ROUND((((ET93)-(EU93))+AE93),6)</f>
        <v>0</v>
      </c>
      <c r="AE93">
        <f t="shared" ref="AE93:AE115" si="91">ROUND((EU93),6)</f>
        <v>0</v>
      </c>
      <c r="AF93">
        <f t="shared" ref="AF93:AF115" si="92">ROUND((EV93),6)</f>
        <v>514.95000000000005</v>
      </c>
      <c r="AG93">
        <f t="shared" ref="AG93:AG115" si="93">ROUND((AP93),6)</f>
        <v>0</v>
      </c>
      <c r="AH93">
        <f t="shared" ref="AH93:AH115" si="94">(EW93)</f>
        <v>2.66</v>
      </c>
      <c r="AI93">
        <f t="shared" ref="AI93:AI115" si="95">(EX93)</f>
        <v>0</v>
      </c>
      <c r="AJ93">
        <f t="shared" ref="AJ93:AJ115" si="96">(AS93)</f>
        <v>0</v>
      </c>
      <c r="AK93">
        <v>514.95000000000005</v>
      </c>
      <c r="AL93">
        <v>0</v>
      </c>
      <c r="AM93">
        <v>0</v>
      </c>
      <c r="AN93">
        <v>0</v>
      </c>
      <c r="AO93">
        <v>514.95000000000005</v>
      </c>
      <c r="AP93">
        <v>0</v>
      </c>
      <c r="AQ93">
        <v>2.66</v>
      </c>
      <c r="AR93">
        <v>0</v>
      </c>
      <c r="AS93">
        <v>0</v>
      </c>
      <c r="AT93">
        <v>70</v>
      </c>
      <c r="AU93">
        <v>10</v>
      </c>
      <c r="AV93">
        <v>1</v>
      </c>
      <c r="AW93">
        <v>1</v>
      </c>
      <c r="AZ93">
        <v>1</v>
      </c>
      <c r="BA93">
        <v>1</v>
      </c>
      <c r="BB93">
        <v>1</v>
      </c>
      <c r="BC93">
        <v>1</v>
      </c>
      <c r="BD93" t="s">
        <v>3</v>
      </c>
      <c r="BE93" t="s">
        <v>3</v>
      </c>
      <c r="BF93" t="s">
        <v>3</v>
      </c>
      <c r="BG93" t="s">
        <v>3</v>
      </c>
      <c r="BH93">
        <v>0</v>
      </c>
      <c r="BI93">
        <v>4</v>
      </c>
      <c r="BJ93" t="s">
        <v>29</v>
      </c>
      <c r="BM93">
        <v>0</v>
      </c>
      <c r="BN93">
        <v>0</v>
      </c>
      <c r="BO93" t="s">
        <v>3</v>
      </c>
      <c r="BP93">
        <v>0</v>
      </c>
      <c r="BQ93">
        <v>1</v>
      </c>
      <c r="BR93">
        <v>0</v>
      </c>
      <c r="BS93">
        <v>1</v>
      </c>
      <c r="BT93">
        <v>1</v>
      </c>
      <c r="BU93">
        <v>1</v>
      </c>
      <c r="BV93">
        <v>1</v>
      </c>
      <c r="BW93">
        <v>1</v>
      </c>
      <c r="BX93">
        <v>1</v>
      </c>
      <c r="BY93" t="s">
        <v>3</v>
      </c>
      <c r="BZ93">
        <v>70</v>
      </c>
      <c r="CA93">
        <v>10</v>
      </c>
      <c r="CE93">
        <v>0</v>
      </c>
      <c r="CF93">
        <v>0</v>
      </c>
      <c r="CG93">
        <v>0</v>
      </c>
      <c r="CM93">
        <v>0</v>
      </c>
      <c r="CN93" t="s">
        <v>3</v>
      </c>
      <c r="CO93">
        <v>0</v>
      </c>
      <c r="CP93">
        <f t="shared" ref="CP93:CP115" si="97">(P93+Q93+S93)</f>
        <v>12111.62</v>
      </c>
      <c r="CQ93">
        <f t="shared" ref="CQ93:CQ115" si="98">(AC93*BC93*AW93)</f>
        <v>0</v>
      </c>
      <c r="CR93">
        <f t="shared" ref="CR93:CR115" si="99">((((ET93)*BB93-(EU93)*BS93)+AE93*BS93)*AV93)</f>
        <v>0</v>
      </c>
      <c r="CS93">
        <f t="shared" ref="CS93:CS115" si="100">(AE93*BS93*AV93)</f>
        <v>0</v>
      </c>
      <c r="CT93">
        <f t="shared" ref="CT93:CT115" si="101">(AF93*BA93*AV93)</f>
        <v>514.95000000000005</v>
      </c>
      <c r="CU93">
        <f t="shared" ref="CU93:CU115" si="102">AG93</f>
        <v>0</v>
      </c>
      <c r="CV93">
        <f t="shared" ref="CV93:CV115" si="103">(AH93*AV93)</f>
        <v>2.66</v>
      </c>
      <c r="CW93">
        <f t="shared" ref="CW93:CW115" si="104">AI93</f>
        <v>0</v>
      </c>
      <c r="CX93">
        <f t="shared" ref="CX93:CX115" si="105">AJ93</f>
        <v>0</v>
      </c>
      <c r="CY93">
        <f t="shared" ref="CY93:CY115" si="106">((S93*BZ93)/100)</f>
        <v>8478.134</v>
      </c>
      <c r="CZ93">
        <f t="shared" ref="CZ93:CZ115" si="107">((S93*CA93)/100)</f>
        <v>1211.162</v>
      </c>
      <c r="DC93" t="s">
        <v>3</v>
      </c>
      <c r="DD93" t="s">
        <v>3</v>
      </c>
      <c r="DE93" t="s">
        <v>3</v>
      </c>
      <c r="DF93" t="s">
        <v>3</v>
      </c>
      <c r="DG93" t="s">
        <v>3</v>
      </c>
      <c r="DH93" t="s">
        <v>3</v>
      </c>
      <c r="DI93" t="s">
        <v>3</v>
      </c>
      <c r="DJ93" t="s">
        <v>3</v>
      </c>
      <c r="DK93" t="s">
        <v>3</v>
      </c>
      <c r="DL93" t="s">
        <v>3</v>
      </c>
      <c r="DM93" t="s">
        <v>3</v>
      </c>
      <c r="DN93">
        <v>0</v>
      </c>
      <c r="DO93">
        <v>0</v>
      </c>
      <c r="DP93">
        <v>1</v>
      </c>
      <c r="DQ93">
        <v>1</v>
      </c>
      <c r="DU93">
        <v>1007</v>
      </c>
      <c r="DV93" t="s">
        <v>28</v>
      </c>
      <c r="DW93" t="s">
        <v>28</v>
      </c>
      <c r="DX93">
        <v>1</v>
      </c>
      <c r="EE93">
        <v>52362078</v>
      </c>
      <c r="EF93">
        <v>1</v>
      </c>
      <c r="EG93" t="s">
        <v>22</v>
      </c>
      <c r="EH93">
        <v>0</v>
      </c>
      <c r="EI93" t="s">
        <v>3</v>
      </c>
      <c r="EJ93">
        <v>4</v>
      </c>
      <c r="EK93">
        <v>0</v>
      </c>
      <c r="EL93" t="s">
        <v>23</v>
      </c>
      <c r="EM93" t="s">
        <v>24</v>
      </c>
      <c r="EO93" t="s">
        <v>3</v>
      </c>
      <c r="EQ93">
        <v>131072</v>
      </c>
      <c r="ER93">
        <v>514.95000000000005</v>
      </c>
      <c r="ES93">
        <v>0</v>
      </c>
      <c r="ET93">
        <v>0</v>
      </c>
      <c r="EU93">
        <v>0</v>
      </c>
      <c r="EV93">
        <v>514.95000000000005</v>
      </c>
      <c r="EW93">
        <v>2.66</v>
      </c>
      <c r="EX93">
        <v>0</v>
      </c>
      <c r="EY93">
        <v>0</v>
      </c>
      <c r="FQ93">
        <v>0</v>
      </c>
      <c r="FR93">
        <f t="shared" ref="FR93:FR115" si="108">ROUND(IF(AND(BH93=3,BI93=3),P93,0),2)</f>
        <v>0</v>
      </c>
      <c r="FS93">
        <v>0</v>
      </c>
      <c r="FX93">
        <v>70</v>
      </c>
      <c r="FY93">
        <v>10</v>
      </c>
      <c r="GA93" t="s">
        <v>3</v>
      </c>
      <c r="GD93">
        <v>0</v>
      </c>
      <c r="GF93">
        <v>-559256742</v>
      </c>
      <c r="GG93">
        <v>2</v>
      </c>
      <c r="GH93">
        <v>1</v>
      </c>
      <c r="GI93">
        <v>-2</v>
      </c>
      <c r="GJ93">
        <v>0</v>
      </c>
      <c r="GK93">
        <f>ROUND(R93*(R12)/100,2)</f>
        <v>0</v>
      </c>
      <c r="GL93">
        <f t="shared" ref="GL93:GL115" si="109">ROUND(IF(AND(BH93=3,BI93=3,FS93&lt;&gt;0),P93,0),2)</f>
        <v>0</v>
      </c>
      <c r="GM93">
        <f t="shared" ref="GM93:GM115" si="110">ROUND(O93+X93+Y93+GK93,2)+GX93</f>
        <v>21800.91</v>
      </c>
      <c r="GN93">
        <f t="shared" ref="GN93:GN115" si="111">IF(OR(BI93=0,BI93=1),ROUND(O93+X93+Y93+GK93,2),0)</f>
        <v>0</v>
      </c>
      <c r="GO93">
        <f t="shared" ref="GO93:GO115" si="112">IF(BI93=2,ROUND(O93+X93+Y93+GK93,2),0)</f>
        <v>0</v>
      </c>
      <c r="GP93">
        <f t="shared" ref="GP93:GP115" si="113">IF(BI93=4,ROUND(O93+X93+Y93+GK93,2)+GX93,0)</f>
        <v>21800.91</v>
      </c>
      <c r="GR93">
        <v>0</v>
      </c>
      <c r="GS93">
        <v>3</v>
      </c>
      <c r="GT93">
        <v>0</v>
      </c>
      <c r="GU93" t="s">
        <v>3</v>
      </c>
      <c r="GV93">
        <f t="shared" ref="GV93:GV115" si="114">ROUND((GT93),6)</f>
        <v>0</v>
      </c>
      <c r="GW93">
        <v>1</v>
      </c>
      <c r="GX93">
        <f t="shared" ref="GX93:GX115" si="115">ROUND(HC93*I93,2)</f>
        <v>0</v>
      </c>
      <c r="HA93">
        <v>0</v>
      </c>
      <c r="HB93">
        <v>0</v>
      </c>
      <c r="HC93">
        <f t="shared" ref="HC93:HC115" si="116">GV93*GW93</f>
        <v>0</v>
      </c>
      <c r="HE93" t="s">
        <v>3</v>
      </c>
      <c r="HF93" t="s">
        <v>3</v>
      </c>
      <c r="IK93">
        <v>0</v>
      </c>
    </row>
    <row r="94" spans="1:245" x14ac:dyDescent="0.2">
      <c r="A94">
        <v>17</v>
      </c>
      <c r="B94">
        <v>1</v>
      </c>
      <c r="C94">
        <f>ROW(SmtRes!A73)</f>
        <v>73</v>
      </c>
      <c r="D94">
        <f>ROW(EtalonRes!A70)</f>
        <v>70</v>
      </c>
      <c r="E94" t="s">
        <v>179</v>
      </c>
      <c r="F94" t="s">
        <v>31</v>
      </c>
      <c r="G94" t="s">
        <v>180</v>
      </c>
      <c r="H94" t="s">
        <v>33</v>
      </c>
      <c r="I94">
        <f>ROUND(8.4/100,9)</f>
        <v>8.4000000000000005E-2</v>
      </c>
      <c r="J94">
        <v>0</v>
      </c>
      <c r="O94">
        <f t="shared" si="77"/>
        <v>6372.56</v>
      </c>
      <c r="P94">
        <f t="shared" si="78"/>
        <v>5473.61</v>
      </c>
      <c r="Q94">
        <f t="shared" si="79"/>
        <v>638.59</v>
      </c>
      <c r="R94">
        <f t="shared" si="80"/>
        <v>270.73</v>
      </c>
      <c r="S94">
        <f t="shared" si="81"/>
        <v>260.36</v>
      </c>
      <c r="T94">
        <f t="shared" si="82"/>
        <v>0</v>
      </c>
      <c r="U94">
        <f t="shared" si="83"/>
        <v>1.3910400000000001</v>
      </c>
      <c r="V94">
        <f t="shared" si="84"/>
        <v>0</v>
      </c>
      <c r="W94">
        <f t="shared" si="85"/>
        <v>0</v>
      </c>
      <c r="X94">
        <f t="shared" si="86"/>
        <v>182.25</v>
      </c>
      <c r="Y94">
        <f t="shared" si="87"/>
        <v>26.04</v>
      </c>
      <c r="AA94">
        <v>52430918</v>
      </c>
      <c r="AB94">
        <f t="shared" si="88"/>
        <v>75863.820000000007</v>
      </c>
      <c r="AC94">
        <f t="shared" si="89"/>
        <v>65162.05</v>
      </c>
      <c r="AD94">
        <f t="shared" si="90"/>
        <v>7602.23</v>
      </c>
      <c r="AE94">
        <f t="shared" si="91"/>
        <v>3222.98</v>
      </c>
      <c r="AF94">
        <f t="shared" si="92"/>
        <v>3099.54</v>
      </c>
      <c r="AG94">
        <f t="shared" si="93"/>
        <v>0</v>
      </c>
      <c r="AH94">
        <f t="shared" si="94"/>
        <v>16.559999999999999</v>
      </c>
      <c r="AI94">
        <f t="shared" si="95"/>
        <v>0</v>
      </c>
      <c r="AJ94">
        <f t="shared" si="96"/>
        <v>0</v>
      </c>
      <c r="AK94">
        <v>75863.820000000007</v>
      </c>
      <c r="AL94">
        <v>65162.05</v>
      </c>
      <c r="AM94">
        <v>7602.23</v>
      </c>
      <c r="AN94">
        <v>3222.98</v>
      </c>
      <c r="AO94">
        <v>3099.54</v>
      </c>
      <c r="AP94">
        <v>0</v>
      </c>
      <c r="AQ94">
        <v>16.559999999999999</v>
      </c>
      <c r="AR94">
        <v>0</v>
      </c>
      <c r="AS94">
        <v>0</v>
      </c>
      <c r="AT94">
        <v>70</v>
      </c>
      <c r="AU94">
        <v>10</v>
      </c>
      <c r="AV94">
        <v>1</v>
      </c>
      <c r="AW94">
        <v>1</v>
      </c>
      <c r="AZ94">
        <v>1</v>
      </c>
      <c r="BA94">
        <v>1</v>
      </c>
      <c r="BB94">
        <v>1</v>
      </c>
      <c r="BC94">
        <v>1</v>
      </c>
      <c r="BD94" t="s">
        <v>3</v>
      </c>
      <c r="BE94" t="s">
        <v>3</v>
      </c>
      <c r="BF94" t="s">
        <v>3</v>
      </c>
      <c r="BG94" t="s">
        <v>3</v>
      </c>
      <c r="BH94">
        <v>0</v>
      </c>
      <c r="BI94">
        <v>4</v>
      </c>
      <c r="BJ94" t="s">
        <v>34</v>
      </c>
      <c r="BM94">
        <v>0</v>
      </c>
      <c r="BN94">
        <v>0</v>
      </c>
      <c r="BO94" t="s">
        <v>3</v>
      </c>
      <c r="BP94">
        <v>0</v>
      </c>
      <c r="BQ94">
        <v>1</v>
      </c>
      <c r="BR94">
        <v>0</v>
      </c>
      <c r="BS94">
        <v>1</v>
      </c>
      <c r="BT94">
        <v>1</v>
      </c>
      <c r="BU94">
        <v>1</v>
      </c>
      <c r="BV94">
        <v>1</v>
      </c>
      <c r="BW94">
        <v>1</v>
      </c>
      <c r="BX94">
        <v>1</v>
      </c>
      <c r="BY94" t="s">
        <v>3</v>
      </c>
      <c r="BZ94">
        <v>70</v>
      </c>
      <c r="CA94">
        <v>10</v>
      </c>
      <c r="CE94">
        <v>0</v>
      </c>
      <c r="CF94">
        <v>0</v>
      </c>
      <c r="CG94">
        <v>0</v>
      </c>
      <c r="CM94">
        <v>0</v>
      </c>
      <c r="CN94" t="s">
        <v>3</v>
      </c>
      <c r="CO94">
        <v>0</v>
      </c>
      <c r="CP94">
        <f t="shared" si="97"/>
        <v>6372.5599999999995</v>
      </c>
      <c r="CQ94">
        <f t="shared" si="98"/>
        <v>65162.05</v>
      </c>
      <c r="CR94">
        <f t="shared" si="99"/>
        <v>7602.23</v>
      </c>
      <c r="CS94">
        <f t="shared" si="100"/>
        <v>3222.98</v>
      </c>
      <c r="CT94">
        <f t="shared" si="101"/>
        <v>3099.54</v>
      </c>
      <c r="CU94">
        <f t="shared" si="102"/>
        <v>0</v>
      </c>
      <c r="CV94">
        <f t="shared" si="103"/>
        <v>16.559999999999999</v>
      </c>
      <c r="CW94">
        <f t="shared" si="104"/>
        <v>0</v>
      </c>
      <c r="CX94">
        <f t="shared" si="105"/>
        <v>0</v>
      </c>
      <c r="CY94">
        <f t="shared" si="106"/>
        <v>182.25200000000001</v>
      </c>
      <c r="CZ94">
        <f t="shared" si="107"/>
        <v>26.036000000000005</v>
      </c>
      <c r="DC94" t="s">
        <v>3</v>
      </c>
      <c r="DD94" t="s">
        <v>3</v>
      </c>
      <c r="DE94" t="s">
        <v>3</v>
      </c>
      <c r="DF94" t="s">
        <v>3</v>
      </c>
      <c r="DG94" t="s">
        <v>3</v>
      </c>
      <c r="DH94" t="s">
        <v>3</v>
      </c>
      <c r="DI94" t="s">
        <v>3</v>
      </c>
      <c r="DJ94" t="s">
        <v>3</v>
      </c>
      <c r="DK94" t="s">
        <v>3</v>
      </c>
      <c r="DL94" t="s">
        <v>3</v>
      </c>
      <c r="DM94" t="s">
        <v>3</v>
      </c>
      <c r="DN94">
        <v>0</v>
      </c>
      <c r="DO94">
        <v>0</v>
      </c>
      <c r="DP94">
        <v>1</v>
      </c>
      <c r="DQ94">
        <v>1</v>
      </c>
      <c r="DU94">
        <v>1007</v>
      </c>
      <c r="DV94" t="s">
        <v>33</v>
      </c>
      <c r="DW94" t="s">
        <v>33</v>
      </c>
      <c r="DX94">
        <v>100</v>
      </c>
      <c r="EE94">
        <v>52362078</v>
      </c>
      <c r="EF94">
        <v>1</v>
      </c>
      <c r="EG94" t="s">
        <v>22</v>
      </c>
      <c r="EH94">
        <v>0</v>
      </c>
      <c r="EI94" t="s">
        <v>3</v>
      </c>
      <c r="EJ94">
        <v>4</v>
      </c>
      <c r="EK94">
        <v>0</v>
      </c>
      <c r="EL94" t="s">
        <v>23</v>
      </c>
      <c r="EM94" t="s">
        <v>24</v>
      </c>
      <c r="EO94" t="s">
        <v>3</v>
      </c>
      <c r="EQ94">
        <v>131072</v>
      </c>
      <c r="ER94">
        <v>75863.820000000007</v>
      </c>
      <c r="ES94">
        <v>65162.05</v>
      </c>
      <c r="ET94">
        <v>7602.23</v>
      </c>
      <c r="EU94">
        <v>3222.98</v>
      </c>
      <c r="EV94">
        <v>3099.54</v>
      </c>
      <c r="EW94">
        <v>16.559999999999999</v>
      </c>
      <c r="EX94">
        <v>0</v>
      </c>
      <c r="EY94">
        <v>0</v>
      </c>
      <c r="FQ94">
        <v>0</v>
      </c>
      <c r="FR94">
        <f t="shared" si="108"/>
        <v>0</v>
      </c>
      <c r="FS94">
        <v>0</v>
      </c>
      <c r="FX94">
        <v>70</v>
      </c>
      <c r="FY94">
        <v>10</v>
      </c>
      <c r="GA94" t="s">
        <v>3</v>
      </c>
      <c r="GD94">
        <v>0</v>
      </c>
      <c r="GF94">
        <v>-831871559</v>
      </c>
      <c r="GG94">
        <v>2</v>
      </c>
      <c r="GH94">
        <v>1</v>
      </c>
      <c r="GI94">
        <v>-2</v>
      </c>
      <c r="GJ94">
        <v>0</v>
      </c>
      <c r="GK94">
        <f>ROUND(R94*(R12)/100,2)</f>
        <v>292.39</v>
      </c>
      <c r="GL94">
        <f t="shared" si="109"/>
        <v>0</v>
      </c>
      <c r="GM94">
        <f t="shared" si="110"/>
        <v>6873.24</v>
      </c>
      <c r="GN94">
        <f t="shared" si="111"/>
        <v>0</v>
      </c>
      <c r="GO94">
        <f t="shared" si="112"/>
        <v>0</v>
      </c>
      <c r="GP94">
        <f t="shared" si="113"/>
        <v>6873.24</v>
      </c>
      <c r="GR94">
        <v>0</v>
      </c>
      <c r="GS94">
        <v>3</v>
      </c>
      <c r="GT94">
        <v>0</v>
      </c>
      <c r="GU94" t="s">
        <v>3</v>
      </c>
      <c r="GV94">
        <f t="shared" si="114"/>
        <v>0</v>
      </c>
      <c r="GW94">
        <v>1</v>
      </c>
      <c r="GX94">
        <f t="shared" si="115"/>
        <v>0</v>
      </c>
      <c r="HA94">
        <v>0</v>
      </c>
      <c r="HB94">
        <v>0</v>
      </c>
      <c r="HC94">
        <f t="shared" si="116"/>
        <v>0</v>
      </c>
      <c r="HE94" t="s">
        <v>3</v>
      </c>
      <c r="HF94" t="s">
        <v>3</v>
      </c>
      <c r="IK94">
        <v>0</v>
      </c>
    </row>
    <row r="95" spans="1:245" x14ac:dyDescent="0.2">
      <c r="A95">
        <v>17</v>
      </c>
      <c r="B95">
        <v>1</v>
      </c>
      <c r="C95">
        <f>ROW(SmtRes!A79)</f>
        <v>79</v>
      </c>
      <c r="D95">
        <f>ROW(EtalonRes!A75)</f>
        <v>75</v>
      </c>
      <c r="E95" t="s">
        <v>181</v>
      </c>
      <c r="F95" t="s">
        <v>36</v>
      </c>
      <c r="G95" t="s">
        <v>37</v>
      </c>
      <c r="H95" t="s">
        <v>38</v>
      </c>
      <c r="I95">
        <f>ROUND(84/100,9)</f>
        <v>0.84</v>
      </c>
      <c r="J95">
        <v>0</v>
      </c>
      <c r="O95">
        <f t="shared" si="77"/>
        <v>28518.27</v>
      </c>
      <c r="P95">
        <f t="shared" si="78"/>
        <v>21055.1</v>
      </c>
      <c r="Q95">
        <f t="shared" si="79"/>
        <v>2718.56</v>
      </c>
      <c r="R95">
        <f t="shared" si="80"/>
        <v>948.51</v>
      </c>
      <c r="S95">
        <f t="shared" si="81"/>
        <v>4744.6099999999997</v>
      </c>
      <c r="T95">
        <f t="shared" si="82"/>
        <v>0</v>
      </c>
      <c r="U95">
        <f t="shared" si="83"/>
        <v>23.4696</v>
      </c>
      <c r="V95">
        <f t="shared" si="84"/>
        <v>0</v>
      </c>
      <c r="W95">
        <f t="shared" si="85"/>
        <v>0</v>
      </c>
      <c r="X95">
        <f t="shared" si="86"/>
        <v>3321.23</v>
      </c>
      <c r="Y95">
        <f t="shared" si="87"/>
        <v>474.46</v>
      </c>
      <c r="AA95">
        <v>52430918</v>
      </c>
      <c r="AB95">
        <f t="shared" si="88"/>
        <v>33950.33</v>
      </c>
      <c r="AC95">
        <f t="shared" si="89"/>
        <v>25065.599999999999</v>
      </c>
      <c r="AD95">
        <f t="shared" si="90"/>
        <v>3236.38</v>
      </c>
      <c r="AE95">
        <f t="shared" si="91"/>
        <v>1129.18</v>
      </c>
      <c r="AF95">
        <f t="shared" si="92"/>
        <v>5648.35</v>
      </c>
      <c r="AG95">
        <f t="shared" si="93"/>
        <v>0</v>
      </c>
      <c r="AH95">
        <f t="shared" si="94"/>
        <v>27.94</v>
      </c>
      <c r="AI95">
        <f t="shared" si="95"/>
        <v>0</v>
      </c>
      <c r="AJ95">
        <f t="shared" si="96"/>
        <v>0</v>
      </c>
      <c r="AK95">
        <v>33950.33</v>
      </c>
      <c r="AL95">
        <v>25065.599999999999</v>
      </c>
      <c r="AM95">
        <v>3236.38</v>
      </c>
      <c r="AN95">
        <v>1129.18</v>
      </c>
      <c r="AO95">
        <v>5648.35</v>
      </c>
      <c r="AP95">
        <v>0</v>
      </c>
      <c r="AQ95">
        <v>27.94</v>
      </c>
      <c r="AR95">
        <v>0</v>
      </c>
      <c r="AS95">
        <v>0</v>
      </c>
      <c r="AT95">
        <v>70</v>
      </c>
      <c r="AU95">
        <v>10</v>
      </c>
      <c r="AV95">
        <v>1</v>
      </c>
      <c r="AW95">
        <v>1</v>
      </c>
      <c r="AZ95">
        <v>1</v>
      </c>
      <c r="BA95">
        <v>1</v>
      </c>
      <c r="BB95">
        <v>1</v>
      </c>
      <c r="BC95">
        <v>1</v>
      </c>
      <c r="BD95" t="s">
        <v>3</v>
      </c>
      <c r="BE95" t="s">
        <v>3</v>
      </c>
      <c r="BF95" t="s">
        <v>3</v>
      </c>
      <c r="BG95" t="s">
        <v>3</v>
      </c>
      <c r="BH95">
        <v>0</v>
      </c>
      <c r="BI95">
        <v>4</v>
      </c>
      <c r="BJ95" t="s">
        <v>39</v>
      </c>
      <c r="BM95">
        <v>0</v>
      </c>
      <c r="BN95">
        <v>0</v>
      </c>
      <c r="BO95" t="s">
        <v>3</v>
      </c>
      <c r="BP95">
        <v>0</v>
      </c>
      <c r="BQ95">
        <v>1</v>
      </c>
      <c r="BR95">
        <v>0</v>
      </c>
      <c r="BS95">
        <v>1</v>
      </c>
      <c r="BT95">
        <v>1</v>
      </c>
      <c r="BU95">
        <v>1</v>
      </c>
      <c r="BV95">
        <v>1</v>
      </c>
      <c r="BW95">
        <v>1</v>
      </c>
      <c r="BX95">
        <v>1</v>
      </c>
      <c r="BY95" t="s">
        <v>3</v>
      </c>
      <c r="BZ95">
        <v>70</v>
      </c>
      <c r="CA95">
        <v>10</v>
      </c>
      <c r="CE95">
        <v>0</v>
      </c>
      <c r="CF95">
        <v>0</v>
      </c>
      <c r="CG95">
        <v>0</v>
      </c>
      <c r="CM95">
        <v>0</v>
      </c>
      <c r="CN95" t="s">
        <v>3</v>
      </c>
      <c r="CO95">
        <v>0</v>
      </c>
      <c r="CP95">
        <f t="shared" si="97"/>
        <v>28518.27</v>
      </c>
      <c r="CQ95">
        <f t="shared" si="98"/>
        <v>25065.599999999999</v>
      </c>
      <c r="CR95">
        <f t="shared" si="99"/>
        <v>3236.38</v>
      </c>
      <c r="CS95">
        <f t="shared" si="100"/>
        <v>1129.18</v>
      </c>
      <c r="CT95">
        <f t="shared" si="101"/>
        <v>5648.35</v>
      </c>
      <c r="CU95">
        <f t="shared" si="102"/>
        <v>0</v>
      </c>
      <c r="CV95">
        <f t="shared" si="103"/>
        <v>27.94</v>
      </c>
      <c r="CW95">
        <f t="shared" si="104"/>
        <v>0</v>
      </c>
      <c r="CX95">
        <f t="shared" si="105"/>
        <v>0</v>
      </c>
      <c r="CY95">
        <f t="shared" si="106"/>
        <v>3321.2269999999994</v>
      </c>
      <c r="CZ95">
        <f t="shared" si="107"/>
        <v>474.46100000000001</v>
      </c>
      <c r="DC95" t="s">
        <v>3</v>
      </c>
      <c r="DD95" t="s">
        <v>3</v>
      </c>
      <c r="DE95" t="s">
        <v>3</v>
      </c>
      <c r="DF95" t="s">
        <v>3</v>
      </c>
      <c r="DG95" t="s">
        <v>3</v>
      </c>
      <c r="DH95" t="s">
        <v>3</v>
      </c>
      <c r="DI95" t="s">
        <v>3</v>
      </c>
      <c r="DJ95" t="s">
        <v>3</v>
      </c>
      <c r="DK95" t="s">
        <v>3</v>
      </c>
      <c r="DL95" t="s">
        <v>3</v>
      </c>
      <c r="DM95" t="s">
        <v>3</v>
      </c>
      <c r="DN95">
        <v>0</v>
      </c>
      <c r="DO95">
        <v>0</v>
      </c>
      <c r="DP95">
        <v>1</v>
      </c>
      <c r="DQ95">
        <v>1</v>
      </c>
      <c r="DU95">
        <v>1005</v>
      </c>
      <c r="DV95" t="s">
        <v>38</v>
      </c>
      <c r="DW95" t="s">
        <v>38</v>
      </c>
      <c r="DX95">
        <v>100</v>
      </c>
      <c r="EE95">
        <v>52362078</v>
      </c>
      <c r="EF95">
        <v>1</v>
      </c>
      <c r="EG95" t="s">
        <v>22</v>
      </c>
      <c r="EH95">
        <v>0</v>
      </c>
      <c r="EI95" t="s">
        <v>3</v>
      </c>
      <c r="EJ95">
        <v>4</v>
      </c>
      <c r="EK95">
        <v>0</v>
      </c>
      <c r="EL95" t="s">
        <v>23</v>
      </c>
      <c r="EM95" t="s">
        <v>24</v>
      </c>
      <c r="EO95" t="s">
        <v>3</v>
      </c>
      <c r="EQ95">
        <v>131072</v>
      </c>
      <c r="ER95">
        <v>33950.33</v>
      </c>
      <c r="ES95">
        <v>25065.599999999999</v>
      </c>
      <c r="ET95">
        <v>3236.38</v>
      </c>
      <c r="EU95">
        <v>1129.18</v>
      </c>
      <c r="EV95">
        <v>5648.35</v>
      </c>
      <c r="EW95">
        <v>27.94</v>
      </c>
      <c r="EX95">
        <v>0</v>
      </c>
      <c r="EY95">
        <v>0</v>
      </c>
      <c r="FQ95">
        <v>0</v>
      </c>
      <c r="FR95">
        <f t="shared" si="108"/>
        <v>0</v>
      </c>
      <c r="FS95">
        <v>0</v>
      </c>
      <c r="FX95">
        <v>70</v>
      </c>
      <c r="FY95">
        <v>10</v>
      </c>
      <c r="GA95" t="s">
        <v>3</v>
      </c>
      <c r="GD95">
        <v>0</v>
      </c>
      <c r="GF95">
        <v>-1973864012</v>
      </c>
      <c r="GG95">
        <v>2</v>
      </c>
      <c r="GH95">
        <v>1</v>
      </c>
      <c r="GI95">
        <v>-2</v>
      </c>
      <c r="GJ95">
        <v>0</v>
      </c>
      <c r="GK95">
        <f>ROUND(R95*(R12)/100,2)</f>
        <v>1024.3900000000001</v>
      </c>
      <c r="GL95">
        <f t="shared" si="109"/>
        <v>0</v>
      </c>
      <c r="GM95">
        <f t="shared" si="110"/>
        <v>33338.35</v>
      </c>
      <c r="GN95">
        <f t="shared" si="111"/>
        <v>0</v>
      </c>
      <c r="GO95">
        <f t="shared" si="112"/>
        <v>0</v>
      </c>
      <c r="GP95">
        <f t="shared" si="113"/>
        <v>33338.35</v>
      </c>
      <c r="GR95">
        <v>0</v>
      </c>
      <c r="GS95">
        <v>3</v>
      </c>
      <c r="GT95">
        <v>0</v>
      </c>
      <c r="GU95" t="s">
        <v>3</v>
      </c>
      <c r="GV95">
        <f t="shared" si="114"/>
        <v>0</v>
      </c>
      <c r="GW95">
        <v>1</v>
      </c>
      <c r="GX95">
        <f t="shared" si="115"/>
        <v>0</v>
      </c>
      <c r="HA95">
        <v>0</v>
      </c>
      <c r="HB95">
        <v>0</v>
      </c>
      <c r="HC95">
        <f t="shared" si="116"/>
        <v>0</v>
      </c>
      <c r="HE95" t="s">
        <v>3</v>
      </c>
      <c r="HF95" t="s">
        <v>3</v>
      </c>
      <c r="IK95">
        <v>0</v>
      </c>
    </row>
    <row r="96" spans="1:245" x14ac:dyDescent="0.2">
      <c r="A96">
        <v>18</v>
      </c>
      <c r="B96">
        <v>1</v>
      </c>
      <c r="C96">
        <v>77</v>
      </c>
      <c r="E96" t="s">
        <v>182</v>
      </c>
      <c r="F96" t="s">
        <v>41</v>
      </c>
      <c r="G96" t="s">
        <v>42</v>
      </c>
      <c r="H96" t="s">
        <v>28</v>
      </c>
      <c r="I96">
        <f>I95*J96</f>
        <v>14.615999999999998</v>
      </c>
      <c r="J96">
        <v>17.399999999999999</v>
      </c>
      <c r="O96">
        <f t="shared" si="77"/>
        <v>25778.97</v>
      </c>
      <c r="P96">
        <f t="shared" si="78"/>
        <v>25778.97</v>
      </c>
      <c r="Q96">
        <f t="shared" si="79"/>
        <v>0</v>
      </c>
      <c r="R96">
        <f t="shared" si="80"/>
        <v>0</v>
      </c>
      <c r="S96">
        <f t="shared" si="81"/>
        <v>0</v>
      </c>
      <c r="T96">
        <f t="shared" si="82"/>
        <v>0</v>
      </c>
      <c r="U96">
        <f t="shared" si="83"/>
        <v>0</v>
      </c>
      <c r="V96">
        <f t="shared" si="84"/>
        <v>0</v>
      </c>
      <c r="W96">
        <f t="shared" si="85"/>
        <v>0</v>
      </c>
      <c r="X96">
        <f t="shared" si="86"/>
        <v>0</v>
      </c>
      <c r="Y96">
        <f t="shared" si="87"/>
        <v>0</v>
      </c>
      <c r="AA96">
        <v>52430918</v>
      </c>
      <c r="AB96">
        <f t="shared" si="88"/>
        <v>1763.75</v>
      </c>
      <c r="AC96">
        <f t="shared" si="89"/>
        <v>1763.75</v>
      </c>
      <c r="AD96">
        <f t="shared" si="90"/>
        <v>0</v>
      </c>
      <c r="AE96">
        <f t="shared" si="91"/>
        <v>0</v>
      </c>
      <c r="AF96">
        <f t="shared" si="92"/>
        <v>0</v>
      </c>
      <c r="AG96">
        <f t="shared" si="93"/>
        <v>0</v>
      </c>
      <c r="AH96">
        <f t="shared" si="94"/>
        <v>0</v>
      </c>
      <c r="AI96">
        <f t="shared" si="95"/>
        <v>0</v>
      </c>
      <c r="AJ96">
        <f t="shared" si="96"/>
        <v>0</v>
      </c>
      <c r="AK96">
        <v>1763.75</v>
      </c>
      <c r="AL96">
        <v>1763.75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70</v>
      </c>
      <c r="AU96">
        <v>10</v>
      </c>
      <c r="AV96">
        <v>1</v>
      </c>
      <c r="AW96">
        <v>1</v>
      </c>
      <c r="AZ96">
        <v>1</v>
      </c>
      <c r="BA96">
        <v>1</v>
      </c>
      <c r="BB96">
        <v>1</v>
      </c>
      <c r="BC96">
        <v>1</v>
      </c>
      <c r="BD96" t="s">
        <v>3</v>
      </c>
      <c r="BE96" t="s">
        <v>3</v>
      </c>
      <c r="BF96" t="s">
        <v>3</v>
      </c>
      <c r="BG96" t="s">
        <v>3</v>
      </c>
      <c r="BH96">
        <v>3</v>
      </c>
      <c r="BI96">
        <v>4</v>
      </c>
      <c r="BJ96" t="s">
        <v>43</v>
      </c>
      <c r="BM96">
        <v>0</v>
      </c>
      <c r="BN96">
        <v>0</v>
      </c>
      <c r="BO96" t="s">
        <v>3</v>
      </c>
      <c r="BP96">
        <v>0</v>
      </c>
      <c r="BQ96">
        <v>1</v>
      </c>
      <c r="BR96">
        <v>0</v>
      </c>
      <c r="BS96">
        <v>1</v>
      </c>
      <c r="BT96">
        <v>1</v>
      </c>
      <c r="BU96">
        <v>1</v>
      </c>
      <c r="BV96">
        <v>1</v>
      </c>
      <c r="BW96">
        <v>1</v>
      </c>
      <c r="BX96">
        <v>1</v>
      </c>
      <c r="BY96" t="s">
        <v>3</v>
      </c>
      <c r="BZ96">
        <v>70</v>
      </c>
      <c r="CA96">
        <v>10</v>
      </c>
      <c r="CE96">
        <v>0</v>
      </c>
      <c r="CF96">
        <v>0</v>
      </c>
      <c r="CG96">
        <v>0</v>
      </c>
      <c r="CM96">
        <v>0</v>
      </c>
      <c r="CN96" t="s">
        <v>3</v>
      </c>
      <c r="CO96">
        <v>0</v>
      </c>
      <c r="CP96">
        <f t="shared" si="97"/>
        <v>25778.97</v>
      </c>
      <c r="CQ96">
        <f t="shared" si="98"/>
        <v>1763.75</v>
      </c>
      <c r="CR96">
        <f t="shared" si="99"/>
        <v>0</v>
      </c>
      <c r="CS96">
        <f t="shared" si="100"/>
        <v>0</v>
      </c>
      <c r="CT96">
        <f t="shared" si="101"/>
        <v>0</v>
      </c>
      <c r="CU96">
        <f t="shared" si="102"/>
        <v>0</v>
      </c>
      <c r="CV96">
        <f t="shared" si="103"/>
        <v>0</v>
      </c>
      <c r="CW96">
        <f t="shared" si="104"/>
        <v>0</v>
      </c>
      <c r="CX96">
        <f t="shared" si="105"/>
        <v>0</v>
      </c>
      <c r="CY96">
        <f t="shared" si="106"/>
        <v>0</v>
      </c>
      <c r="CZ96">
        <f t="shared" si="107"/>
        <v>0</v>
      </c>
      <c r="DC96" t="s">
        <v>3</v>
      </c>
      <c r="DD96" t="s">
        <v>3</v>
      </c>
      <c r="DE96" t="s">
        <v>3</v>
      </c>
      <c r="DF96" t="s">
        <v>3</v>
      </c>
      <c r="DG96" t="s">
        <v>3</v>
      </c>
      <c r="DH96" t="s">
        <v>3</v>
      </c>
      <c r="DI96" t="s">
        <v>3</v>
      </c>
      <c r="DJ96" t="s">
        <v>3</v>
      </c>
      <c r="DK96" t="s">
        <v>3</v>
      </c>
      <c r="DL96" t="s">
        <v>3</v>
      </c>
      <c r="DM96" t="s">
        <v>3</v>
      </c>
      <c r="DN96">
        <v>0</v>
      </c>
      <c r="DO96">
        <v>0</v>
      </c>
      <c r="DP96">
        <v>1</v>
      </c>
      <c r="DQ96">
        <v>1</v>
      </c>
      <c r="DU96">
        <v>1007</v>
      </c>
      <c r="DV96" t="s">
        <v>28</v>
      </c>
      <c r="DW96" t="s">
        <v>28</v>
      </c>
      <c r="DX96">
        <v>1</v>
      </c>
      <c r="EE96">
        <v>52362078</v>
      </c>
      <c r="EF96">
        <v>1</v>
      </c>
      <c r="EG96" t="s">
        <v>22</v>
      </c>
      <c r="EH96">
        <v>0</v>
      </c>
      <c r="EI96" t="s">
        <v>3</v>
      </c>
      <c r="EJ96">
        <v>4</v>
      </c>
      <c r="EK96">
        <v>0</v>
      </c>
      <c r="EL96" t="s">
        <v>23</v>
      </c>
      <c r="EM96" t="s">
        <v>24</v>
      </c>
      <c r="EO96" t="s">
        <v>3</v>
      </c>
      <c r="EQ96">
        <v>0</v>
      </c>
      <c r="ER96">
        <v>1763.75</v>
      </c>
      <c r="ES96">
        <v>1763.75</v>
      </c>
      <c r="ET96">
        <v>0</v>
      </c>
      <c r="EU96">
        <v>0</v>
      </c>
      <c r="EV96">
        <v>0</v>
      </c>
      <c r="EW96">
        <v>0</v>
      </c>
      <c r="EX96">
        <v>0</v>
      </c>
      <c r="FQ96">
        <v>0</v>
      </c>
      <c r="FR96">
        <f t="shared" si="108"/>
        <v>0</v>
      </c>
      <c r="FS96">
        <v>0</v>
      </c>
      <c r="FX96">
        <v>70</v>
      </c>
      <c r="FY96">
        <v>10</v>
      </c>
      <c r="GA96" t="s">
        <v>3</v>
      </c>
      <c r="GD96">
        <v>0</v>
      </c>
      <c r="GF96">
        <v>-886425656</v>
      </c>
      <c r="GG96">
        <v>2</v>
      </c>
      <c r="GH96">
        <v>1</v>
      </c>
      <c r="GI96">
        <v>-2</v>
      </c>
      <c r="GJ96">
        <v>0</v>
      </c>
      <c r="GK96">
        <f>ROUND(R96*(R12)/100,2)</f>
        <v>0</v>
      </c>
      <c r="GL96">
        <f t="shared" si="109"/>
        <v>0</v>
      </c>
      <c r="GM96">
        <f t="shared" si="110"/>
        <v>25778.97</v>
      </c>
      <c r="GN96">
        <f t="shared" si="111"/>
        <v>0</v>
      </c>
      <c r="GO96">
        <f t="shared" si="112"/>
        <v>0</v>
      </c>
      <c r="GP96">
        <f t="shared" si="113"/>
        <v>25778.97</v>
      </c>
      <c r="GR96">
        <v>0</v>
      </c>
      <c r="GS96">
        <v>3</v>
      </c>
      <c r="GT96">
        <v>0</v>
      </c>
      <c r="GU96" t="s">
        <v>3</v>
      </c>
      <c r="GV96">
        <f t="shared" si="114"/>
        <v>0</v>
      </c>
      <c r="GW96">
        <v>1</v>
      </c>
      <c r="GX96">
        <f t="shared" si="115"/>
        <v>0</v>
      </c>
      <c r="HA96">
        <v>0</v>
      </c>
      <c r="HB96">
        <v>0</v>
      </c>
      <c r="HC96">
        <f t="shared" si="116"/>
        <v>0</v>
      </c>
      <c r="HE96" t="s">
        <v>3</v>
      </c>
      <c r="HF96" t="s">
        <v>3</v>
      </c>
      <c r="IK96">
        <v>0</v>
      </c>
    </row>
    <row r="97" spans="1:245" x14ac:dyDescent="0.2">
      <c r="A97">
        <v>18</v>
      </c>
      <c r="B97">
        <v>1</v>
      </c>
      <c r="C97">
        <v>78</v>
      </c>
      <c r="E97" t="s">
        <v>183</v>
      </c>
      <c r="F97" t="s">
        <v>45</v>
      </c>
      <c r="G97" t="s">
        <v>46</v>
      </c>
      <c r="H97" t="s">
        <v>28</v>
      </c>
      <c r="I97">
        <f>I95*J97</f>
        <v>-14.615999999999998</v>
      </c>
      <c r="J97">
        <v>-17.399999999999999</v>
      </c>
      <c r="O97">
        <f t="shared" si="77"/>
        <v>-20995.88</v>
      </c>
      <c r="P97">
        <f t="shared" si="78"/>
        <v>-20995.88</v>
      </c>
      <c r="Q97">
        <f t="shared" si="79"/>
        <v>0</v>
      </c>
      <c r="R97">
        <f t="shared" si="80"/>
        <v>0</v>
      </c>
      <c r="S97">
        <f t="shared" si="81"/>
        <v>0</v>
      </c>
      <c r="T97">
        <f t="shared" si="82"/>
        <v>0</v>
      </c>
      <c r="U97">
        <f t="shared" si="83"/>
        <v>0</v>
      </c>
      <c r="V97">
        <f t="shared" si="84"/>
        <v>0</v>
      </c>
      <c r="W97">
        <f t="shared" si="85"/>
        <v>0</v>
      </c>
      <c r="X97">
        <f t="shared" si="86"/>
        <v>0</v>
      </c>
      <c r="Y97">
        <f t="shared" si="87"/>
        <v>0</v>
      </c>
      <c r="AA97">
        <v>52430918</v>
      </c>
      <c r="AB97">
        <f t="shared" si="88"/>
        <v>1436.5</v>
      </c>
      <c r="AC97">
        <f t="shared" si="89"/>
        <v>1436.5</v>
      </c>
      <c r="AD97">
        <f t="shared" si="90"/>
        <v>0</v>
      </c>
      <c r="AE97">
        <f t="shared" si="91"/>
        <v>0</v>
      </c>
      <c r="AF97">
        <f t="shared" si="92"/>
        <v>0</v>
      </c>
      <c r="AG97">
        <f t="shared" si="93"/>
        <v>0</v>
      </c>
      <c r="AH97">
        <f t="shared" si="94"/>
        <v>0</v>
      </c>
      <c r="AI97">
        <f t="shared" si="95"/>
        <v>0</v>
      </c>
      <c r="AJ97">
        <f t="shared" si="96"/>
        <v>0</v>
      </c>
      <c r="AK97">
        <v>1436.5</v>
      </c>
      <c r="AL97">
        <v>1436.5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70</v>
      </c>
      <c r="AU97">
        <v>10</v>
      </c>
      <c r="AV97">
        <v>1</v>
      </c>
      <c r="AW97">
        <v>1</v>
      </c>
      <c r="AZ97">
        <v>1</v>
      </c>
      <c r="BA97">
        <v>1</v>
      </c>
      <c r="BB97">
        <v>1</v>
      </c>
      <c r="BC97">
        <v>1</v>
      </c>
      <c r="BD97" t="s">
        <v>3</v>
      </c>
      <c r="BE97" t="s">
        <v>3</v>
      </c>
      <c r="BF97" t="s">
        <v>3</v>
      </c>
      <c r="BG97" t="s">
        <v>3</v>
      </c>
      <c r="BH97">
        <v>3</v>
      </c>
      <c r="BI97">
        <v>4</v>
      </c>
      <c r="BJ97" t="s">
        <v>47</v>
      </c>
      <c r="BM97">
        <v>0</v>
      </c>
      <c r="BN97">
        <v>0</v>
      </c>
      <c r="BO97" t="s">
        <v>3</v>
      </c>
      <c r="BP97">
        <v>0</v>
      </c>
      <c r="BQ97">
        <v>1</v>
      </c>
      <c r="BR97">
        <v>1</v>
      </c>
      <c r="BS97">
        <v>1</v>
      </c>
      <c r="BT97">
        <v>1</v>
      </c>
      <c r="BU97">
        <v>1</v>
      </c>
      <c r="BV97">
        <v>1</v>
      </c>
      <c r="BW97">
        <v>1</v>
      </c>
      <c r="BX97">
        <v>1</v>
      </c>
      <c r="BY97" t="s">
        <v>3</v>
      </c>
      <c r="BZ97">
        <v>70</v>
      </c>
      <c r="CA97">
        <v>10</v>
      </c>
      <c r="CE97">
        <v>0</v>
      </c>
      <c r="CF97">
        <v>0</v>
      </c>
      <c r="CG97">
        <v>0</v>
      </c>
      <c r="CM97">
        <v>0</v>
      </c>
      <c r="CN97" t="s">
        <v>3</v>
      </c>
      <c r="CO97">
        <v>0</v>
      </c>
      <c r="CP97">
        <f t="shared" si="97"/>
        <v>-20995.88</v>
      </c>
      <c r="CQ97">
        <f t="shared" si="98"/>
        <v>1436.5</v>
      </c>
      <c r="CR97">
        <f t="shared" si="99"/>
        <v>0</v>
      </c>
      <c r="CS97">
        <f t="shared" si="100"/>
        <v>0</v>
      </c>
      <c r="CT97">
        <f t="shared" si="101"/>
        <v>0</v>
      </c>
      <c r="CU97">
        <f t="shared" si="102"/>
        <v>0</v>
      </c>
      <c r="CV97">
        <f t="shared" si="103"/>
        <v>0</v>
      </c>
      <c r="CW97">
        <f t="shared" si="104"/>
        <v>0</v>
      </c>
      <c r="CX97">
        <f t="shared" si="105"/>
        <v>0</v>
      </c>
      <c r="CY97">
        <f t="shared" si="106"/>
        <v>0</v>
      </c>
      <c r="CZ97">
        <f t="shared" si="107"/>
        <v>0</v>
      </c>
      <c r="DC97" t="s">
        <v>3</v>
      </c>
      <c r="DD97" t="s">
        <v>3</v>
      </c>
      <c r="DE97" t="s">
        <v>3</v>
      </c>
      <c r="DF97" t="s">
        <v>3</v>
      </c>
      <c r="DG97" t="s">
        <v>3</v>
      </c>
      <c r="DH97" t="s">
        <v>3</v>
      </c>
      <c r="DI97" t="s">
        <v>3</v>
      </c>
      <c r="DJ97" t="s">
        <v>3</v>
      </c>
      <c r="DK97" t="s">
        <v>3</v>
      </c>
      <c r="DL97" t="s">
        <v>3</v>
      </c>
      <c r="DM97" t="s">
        <v>3</v>
      </c>
      <c r="DN97">
        <v>0</v>
      </c>
      <c r="DO97">
        <v>0</v>
      </c>
      <c r="DP97">
        <v>1</v>
      </c>
      <c r="DQ97">
        <v>1</v>
      </c>
      <c r="DU97">
        <v>1007</v>
      </c>
      <c r="DV97" t="s">
        <v>28</v>
      </c>
      <c r="DW97" t="s">
        <v>28</v>
      </c>
      <c r="DX97">
        <v>1</v>
      </c>
      <c r="EE97">
        <v>52362078</v>
      </c>
      <c r="EF97">
        <v>1</v>
      </c>
      <c r="EG97" t="s">
        <v>22</v>
      </c>
      <c r="EH97">
        <v>0</v>
      </c>
      <c r="EI97" t="s">
        <v>3</v>
      </c>
      <c r="EJ97">
        <v>4</v>
      </c>
      <c r="EK97">
        <v>0</v>
      </c>
      <c r="EL97" t="s">
        <v>23</v>
      </c>
      <c r="EM97" t="s">
        <v>24</v>
      </c>
      <c r="EO97" t="s">
        <v>3</v>
      </c>
      <c r="EQ97">
        <v>32768</v>
      </c>
      <c r="ER97">
        <v>1436.5</v>
      </c>
      <c r="ES97">
        <v>1436.5</v>
      </c>
      <c r="ET97">
        <v>0</v>
      </c>
      <c r="EU97">
        <v>0</v>
      </c>
      <c r="EV97">
        <v>0</v>
      </c>
      <c r="EW97">
        <v>0</v>
      </c>
      <c r="EX97">
        <v>0</v>
      </c>
      <c r="FQ97">
        <v>0</v>
      </c>
      <c r="FR97">
        <f t="shared" si="108"/>
        <v>0</v>
      </c>
      <c r="FS97">
        <v>0</v>
      </c>
      <c r="FX97">
        <v>70</v>
      </c>
      <c r="FY97">
        <v>10</v>
      </c>
      <c r="GA97" t="s">
        <v>3</v>
      </c>
      <c r="GD97">
        <v>0</v>
      </c>
      <c r="GF97">
        <v>1744717608</v>
      </c>
      <c r="GG97">
        <v>2</v>
      </c>
      <c r="GH97">
        <v>1</v>
      </c>
      <c r="GI97">
        <v>-2</v>
      </c>
      <c r="GJ97">
        <v>0</v>
      </c>
      <c r="GK97">
        <f>ROUND(R97*(R12)/100,2)</f>
        <v>0</v>
      </c>
      <c r="GL97">
        <f t="shared" si="109"/>
        <v>0</v>
      </c>
      <c r="GM97">
        <f t="shared" si="110"/>
        <v>-20995.88</v>
      </c>
      <c r="GN97">
        <f t="shared" si="111"/>
        <v>0</v>
      </c>
      <c r="GO97">
        <f t="shared" si="112"/>
        <v>0</v>
      </c>
      <c r="GP97">
        <f t="shared" si="113"/>
        <v>-20995.88</v>
      </c>
      <c r="GR97">
        <v>0</v>
      </c>
      <c r="GS97">
        <v>3</v>
      </c>
      <c r="GT97">
        <v>0</v>
      </c>
      <c r="GU97" t="s">
        <v>3</v>
      </c>
      <c r="GV97">
        <f t="shared" si="114"/>
        <v>0</v>
      </c>
      <c r="GW97">
        <v>1</v>
      </c>
      <c r="GX97">
        <f t="shared" si="115"/>
        <v>0</v>
      </c>
      <c r="HA97">
        <v>0</v>
      </c>
      <c r="HB97">
        <v>0</v>
      </c>
      <c r="HC97">
        <f t="shared" si="116"/>
        <v>0</v>
      </c>
      <c r="HE97" t="s">
        <v>3</v>
      </c>
      <c r="HF97" t="s">
        <v>3</v>
      </c>
      <c r="IK97">
        <v>0</v>
      </c>
    </row>
    <row r="98" spans="1:245" x14ac:dyDescent="0.2">
      <c r="A98">
        <v>17</v>
      </c>
      <c r="B98">
        <v>1</v>
      </c>
      <c r="C98">
        <f>ROW(SmtRes!A83)</f>
        <v>83</v>
      </c>
      <c r="D98">
        <f>ROW(EtalonRes!A79)</f>
        <v>79</v>
      </c>
      <c r="E98" t="s">
        <v>184</v>
      </c>
      <c r="F98" t="s">
        <v>49</v>
      </c>
      <c r="G98" t="s">
        <v>50</v>
      </c>
      <c r="H98" t="s">
        <v>38</v>
      </c>
      <c r="I98">
        <f>ROUND(84/100,9)</f>
        <v>0.84</v>
      </c>
      <c r="J98">
        <v>0</v>
      </c>
      <c r="O98">
        <f t="shared" si="77"/>
        <v>20132.189999999999</v>
      </c>
      <c r="P98">
        <f t="shared" si="78"/>
        <v>17210.63</v>
      </c>
      <c r="Q98">
        <f t="shared" si="79"/>
        <v>943.37</v>
      </c>
      <c r="R98">
        <f t="shared" si="80"/>
        <v>396.24</v>
      </c>
      <c r="S98">
        <f t="shared" si="81"/>
        <v>1978.19</v>
      </c>
      <c r="T98">
        <f t="shared" si="82"/>
        <v>0</v>
      </c>
      <c r="U98">
        <f t="shared" si="83"/>
        <v>8.652000000000001</v>
      </c>
      <c r="V98">
        <f t="shared" si="84"/>
        <v>0</v>
      </c>
      <c r="W98">
        <f t="shared" si="85"/>
        <v>0</v>
      </c>
      <c r="X98">
        <f t="shared" si="86"/>
        <v>1384.73</v>
      </c>
      <c r="Y98">
        <f t="shared" si="87"/>
        <v>197.82</v>
      </c>
      <c r="AA98">
        <v>52430918</v>
      </c>
      <c r="AB98">
        <f t="shared" si="88"/>
        <v>23966.9</v>
      </c>
      <c r="AC98">
        <f t="shared" si="89"/>
        <v>20488.849999999999</v>
      </c>
      <c r="AD98">
        <f t="shared" si="90"/>
        <v>1123.06</v>
      </c>
      <c r="AE98">
        <f t="shared" si="91"/>
        <v>471.72</v>
      </c>
      <c r="AF98">
        <f t="shared" si="92"/>
        <v>2354.9899999999998</v>
      </c>
      <c r="AG98">
        <f t="shared" si="93"/>
        <v>0</v>
      </c>
      <c r="AH98">
        <f t="shared" si="94"/>
        <v>10.3</v>
      </c>
      <c r="AI98">
        <f t="shared" si="95"/>
        <v>0</v>
      </c>
      <c r="AJ98">
        <f t="shared" si="96"/>
        <v>0</v>
      </c>
      <c r="AK98">
        <v>23966.9</v>
      </c>
      <c r="AL98">
        <v>20488.849999999999</v>
      </c>
      <c r="AM98">
        <v>1123.06</v>
      </c>
      <c r="AN98">
        <v>471.72</v>
      </c>
      <c r="AO98">
        <v>2354.9899999999998</v>
      </c>
      <c r="AP98">
        <v>0</v>
      </c>
      <c r="AQ98">
        <v>10.3</v>
      </c>
      <c r="AR98">
        <v>0</v>
      </c>
      <c r="AS98">
        <v>0</v>
      </c>
      <c r="AT98">
        <v>70</v>
      </c>
      <c r="AU98">
        <v>10</v>
      </c>
      <c r="AV98">
        <v>1</v>
      </c>
      <c r="AW98">
        <v>1</v>
      </c>
      <c r="AZ98">
        <v>1</v>
      </c>
      <c r="BA98">
        <v>1</v>
      </c>
      <c r="BB98">
        <v>1</v>
      </c>
      <c r="BC98">
        <v>1</v>
      </c>
      <c r="BD98" t="s">
        <v>3</v>
      </c>
      <c r="BE98" t="s">
        <v>3</v>
      </c>
      <c r="BF98" t="s">
        <v>3</v>
      </c>
      <c r="BG98" t="s">
        <v>3</v>
      </c>
      <c r="BH98">
        <v>0</v>
      </c>
      <c r="BI98">
        <v>4</v>
      </c>
      <c r="BJ98" t="s">
        <v>51</v>
      </c>
      <c r="BM98">
        <v>0</v>
      </c>
      <c r="BN98">
        <v>0</v>
      </c>
      <c r="BO98" t="s">
        <v>3</v>
      </c>
      <c r="BP98">
        <v>0</v>
      </c>
      <c r="BQ98">
        <v>1</v>
      </c>
      <c r="BR98">
        <v>0</v>
      </c>
      <c r="BS98">
        <v>1</v>
      </c>
      <c r="BT98">
        <v>1</v>
      </c>
      <c r="BU98">
        <v>1</v>
      </c>
      <c r="BV98">
        <v>1</v>
      </c>
      <c r="BW98">
        <v>1</v>
      </c>
      <c r="BX98">
        <v>1</v>
      </c>
      <c r="BY98" t="s">
        <v>3</v>
      </c>
      <c r="BZ98">
        <v>70</v>
      </c>
      <c r="CA98">
        <v>10</v>
      </c>
      <c r="CE98">
        <v>0</v>
      </c>
      <c r="CF98">
        <v>0</v>
      </c>
      <c r="CG98">
        <v>0</v>
      </c>
      <c r="CM98">
        <v>0</v>
      </c>
      <c r="CN98" t="s">
        <v>3</v>
      </c>
      <c r="CO98">
        <v>0</v>
      </c>
      <c r="CP98">
        <f t="shared" si="97"/>
        <v>20132.189999999999</v>
      </c>
      <c r="CQ98">
        <f t="shared" si="98"/>
        <v>20488.849999999999</v>
      </c>
      <c r="CR98">
        <f t="shared" si="99"/>
        <v>1123.06</v>
      </c>
      <c r="CS98">
        <f t="shared" si="100"/>
        <v>471.72</v>
      </c>
      <c r="CT98">
        <f t="shared" si="101"/>
        <v>2354.9899999999998</v>
      </c>
      <c r="CU98">
        <f t="shared" si="102"/>
        <v>0</v>
      </c>
      <c r="CV98">
        <f t="shared" si="103"/>
        <v>10.3</v>
      </c>
      <c r="CW98">
        <f t="shared" si="104"/>
        <v>0</v>
      </c>
      <c r="CX98">
        <f t="shared" si="105"/>
        <v>0</v>
      </c>
      <c r="CY98">
        <f t="shared" si="106"/>
        <v>1384.7330000000002</v>
      </c>
      <c r="CZ98">
        <f t="shared" si="107"/>
        <v>197.81900000000002</v>
      </c>
      <c r="DC98" t="s">
        <v>3</v>
      </c>
      <c r="DD98" t="s">
        <v>3</v>
      </c>
      <c r="DE98" t="s">
        <v>3</v>
      </c>
      <c r="DF98" t="s">
        <v>3</v>
      </c>
      <c r="DG98" t="s">
        <v>3</v>
      </c>
      <c r="DH98" t="s">
        <v>3</v>
      </c>
      <c r="DI98" t="s">
        <v>3</v>
      </c>
      <c r="DJ98" t="s">
        <v>3</v>
      </c>
      <c r="DK98" t="s">
        <v>3</v>
      </c>
      <c r="DL98" t="s">
        <v>3</v>
      </c>
      <c r="DM98" t="s">
        <v>3</v>
      </c>
      <c r="DN98">
        <v>0</v>
      </c>
      <c r="DO98">
        <v>0</v>
      </c>
      <c r="DP98">
        <v>1</v>
      </c>
      <c r="DQ98">
        <v>1</v>
      </c>
      <c r="DU98">
        <v>1005</v>
      </c>
      <c r="DV98" t="s">
        <v>38</v>
      </c>
      <c r="DW98" t="s">
        <v>38</v>
      </c>
      <c r="DX98">
        <v>100</v>
      </c>
      <c r="EE98">
        <v>52362078</v>
      </c>
      <c r="EF98">
        <v>1</v>
      </c>
      <c r="EG98" t="s">
        <v>22</v>
      </c>
      <c r="EH98">
        <v>0</v>
      </c>
      <c r="EI98" t="s">
        <v>3</v>
      </c>
      <c r="EJ98">
        <v>4</v>
      </c>
      <c r="EK98">
        <v>0</v>
      </c>
      <c r="EL98" t="s">
        <v>23</v>
      </c>
      <c r="EM98" t="s">
        <v>24</v>
      </c>
      <c r="EO98" t="s">
        <v>3</v>
      </c>
      <c r="EQ98">
        <v>131072</v>
      </c>
      <c r="ER98">
        <v>23966.9</v>
      </c>
      <c r="ES98">
        <v>20488.849999999999</v>
      </c>
      <c r="ET98">
        <v>1123.06</v>
      </c>
      <c r="EU98">
        <v>471.72</v>
      </c>
      <c r="EV98">
        <v>2354.9899999999998</v>
      </c>
      <c r="EW98">
        <v>10.3</v>
      </c>
      <c r="EX98">
        <v>0</v>
      </c>
      <c r="EY98">
        <v>0</v>
      </c>
      <c r="FQ98">
        <v>0</v>
      </c>
      <c r="FR98">
        <f t="shared" si="108"/>
        <v>0</v>
      </c>
      <c r="FS98">
        <v>0</v>
      </c>
      <c r="FX98">
        <v>70</v>
      </c>
      <c r="FY98">
        <v>10</v>
      </c>
      <c r="GA98" t="s">
        <v>3</v>
      </c>
      <c r="GD98">
        <v>0</v>
      </c>
      <c r="GF98">
        <v>280582152</v>
      </c>
      <c r="GG98">
        <v>2</v>
      </c>
      <c r="GH98">
        <v>1</v>
      </c>
      <c r="GI98">
        <v>-2</v>
      </c>
      <c r="GJ98">
        <v>0</v>
      </c>
      <c r="GK98">
        <f>ROUND(R98*(R12)/100,2)</f>
        <v>427.94</v>
      </c>
      <c r="GL98">
        <f t="shared" si="109"/>
        <v>0</v>
      </c>
      <c r="GM98">
        <f t="shared" si="110"/>
        <v>22142.68</v>
      </c>
      <c r="GN98">
        <f t="shared" si="111"/>
        <v>0</v>
      </c>
      <c r="GO98">
        <f t="shared" si="112"/>
        <v>0</v>
      </c>
      <c r="GP98">
        <f t="shared" si="113"/>
        <v>22142.68</v>
      </c>
      <c r="GR98">
        <v>0</v>
      </c>
      <c r="GS98">
        <v>3</v>
      </c>
      <c r="GT98">
        <v>0</v>
      </c>
      <c r="GU98" t="s">
        <v>3</v>
      </c>
      <c r="GV98">
        <f t="shared" si="114"/>
        <v>0</v>
      </c>
      <c r="GW98">
        <v>1</v>
      </c>
      <c r="GX98">
        <f t="shared" si="115"/>
        <v>0</v>
      </c>
      <c r="HA98">
        <v>0</v>
      </c>
      <c r="HB98">
        <v>0</v>
      </c>
      <c r="HC98">
        <f t="shared" si="116"/>
        <v>0</v>
      </c>
      <c r="HE98" t="s">
        <v>3</v>
      </c>
      <c r="HF98" t="s">
        <v>3</v>
      </c>
      <c r="IK98">
        <v>0</v>
      </c>
    </row>
    <row r="99" spans="1:245" x14ac:dyDescent="0.2">
      <c r="A99">
        <v>17</v>
      </c>
      <c r="B99">
        <v>1</v>
      </c>
      <c r="C99">
        <f>ROW(SmtRes!A93)</f>
        <v>93</v>
      </c>
      <c r="D99">
        <f>ROW(EtalonRes!A89)</f>
        <v>89</v>
      </c>
      <c r="E99" t="s">
        <v>185</v>
      </c>
      <c r="F99" t="s">
        <v>53</v>
      </c>
      <c r="G99" t="s">
        <v>54</v>
      </c>
      <c r="H99" t="s">
        <v>38</v>
      </c>
      <c r="I99">
        <f>ROUND(84/100,9)</f>
        <v>0.84</v>
      </c>
      <c r="J99">
        <v>0</v>
      </c>
      <c r="O99">
        <f t="shared" si="77"/>
        <v>91604.94</v>
      </c>
      <c r="P99">
        <f t="shared" si="78"/>
        <v>85982.080000000002</v>
      </c>
      <c r="Q99">
        <f t="shared" si="79"/>
        <v>2198.4899999999998</v>
      </c>
      <c r="R99">
        <f t="shared" si="80"/>
        <v>1733.31</v>
      </c>
      <c r="S99">
        <f t="shared" si="81"/>
        <v>3424.37</v>
      </c>
      <c r="T99">
        <f t="shared" si="82"/>
        <v>0</v>
      </c>
      <c r="U99">
        <f t="shared" si="83"/>
        <v>15.489600000000001</v>
      </c>
      <c r="V99">
        <f t="shared" si="84"/>
        <v>0</v>
      </c>
      <c r="W99">
        <f t="shared" si="85"/>
        <v>0</v>
      </c>
      <c r="X99">
        <f t="shared" si="86"/>
        <v>2397.06</v>
      </c>
      <c r="Y99">
        <f t="shared" si="87"/>
        <v>342.44</v>
      </c>
      <c r="AA99">
        <v>52430918</v>
      </c>
      <c r="AB99">
        <f t="shared" si="88"/>
        <v>109053.5</v>
      </c>
      <c r="AC99">
        <f t="shared" si="89"/>
        <v>102359.62</v>
      </c>
      <c r="AD99">
        <f t="shared" si="90"/>
        <v>2617.25</v>
      </c>
      <c r="AE99">
        <f t="shared" si="91"/>
        <v>2063.46</v>
      </c>
      <c r="AF99">
        <f t="shared" si="92"/>
        <v>4076.63</v>
      </c>
      <c r="AG99">
        <f t="shared" si="93"/>
        <v>0</v>
      </c>
      <c r="AH99">
        <f t="shared" si="94"/>
        <v>18.440000000000001</v>
      </c>
      <c r="AI99">
        <f t="shared" si="95"/>
        <v>0</v>
      </c>
      <c r="AJ99">
        <f t="shared" si="96"/>
        <v>0</v>
      </c>
      <c r="AK99">
        <v>109053.5</v>
      </c>
      <c r="AL99">
        <v>102359.62</v>
      </c>
      <c r="AM99">
        <v>2617.25</v>
      </c>
      <c r="AN99">
        <v>2063.46</v>
      </c>
      <c r="AO99">
        <v>4076.63</v>
      </c>
      <c r="AP99">
        <v>0</v>
      </c>
      <c r="AQ99">
        <v>18.440000000000001</v>
      </c>
      <c r="AR99">
        <v>0</v>
      </c>
      <c r="AS99">
        <v>0</v>
      </c>
      <c r="AT99">
        <v>70</v>
      </c>
      <c r="AU99">
        <v>10</v>
      </c>
      <c r="AV99">
        <v>1</v>
      </c>
      <c r="AW99">
        <v>1</v>
      </c>
      <c r="AZ99">
        <v>1</v>
      </c>
      <c r="BA99">
        <v>1</v>
      </c>
      <c r="BB99">
        <v>1</v>
      </c>
      <c r="BC99">
        <v>1</v>
      </c>
      <c r="BD99" t="s">
        <v>3</v>
      </c>
      <c r="BE99" t="s">
        <v>3</v>
      </c>
      <c r="BF99" t="s">
        <v>3</v>
      </c>
      <c r="BG99" t="s">
        <v>3</v>
      </c>
      <c r="BH99">
        <v>0</v>
      </c>
      <c r="BI99">
        <v>4</v>
      </c>
      <c r="BJ99" t="s">
        <v>55</v>
      </c>
      <c r="BM99">
        <v>0</v>
      </c>
      <c r="BN99">
        <v>0</v>
      </c>
      <c r="BO99" t="s">
        <v>3</v>
      </c>
      <c r="BP99">
        <v>0</v>
      </c>
      <c r="BQ99">
        <v>1</v>
      </c>
      <c r="BR99">
        <v>0</v>
      </c>
      <c r="BS99">
        <v>1</v>
      </c>
      <c r="BT99">
        <v>1</v>
      </c>
      <c r="BU99">
        <v>1</v>
      </c>
      <c r="BV99">
        <v>1</v>
      </c>
      <c r="BW99">
        <v>1</v>
      </c>
      <c r="BX99">
        <v>1</v>
      </c>
      <c r="BY99" t="s">
        <v>3</v>
      </c>
      <c r="BZ99">
        <v>70</v>
      </c>
      <c r="CA99">
        <v>10</v>
      </c>
      <c r="CE99">
        <v>0</v>
      </c>
      <c r="CF99">
        <v>0</v>
      </c>
      <c r="CG99">
        <v>0</v>
      </c>
      <c r="CM99">
        <v>0</v>
      </c>
      <c r="CN99" t="s">
        <v>3</v>
      </c>
      <c r="CO99">
        <v>0</v>
      </c>
      <c r="CP99">
        <f t="shared" si="97"/>
        <v>91604.94</v>
      </c>
      <c r="CQ99">
        <f t="shared" si="98"/>
        <v>102359.62</v>
      </c>
      <c r="CR99">
        <f t="shared" si="99"/>
        <v>2617.25</v>
      </c>
      <c r="CS99">
        <f t="shared" si="100"/>
        <v>2063.46</v>
      </c>
      <c r="CT99">
        <f t="shared" si="101"/>
        <v>4076.63</v>
      </c>
      <c r="CU99">
        <f t="shared" si="102"/>
        <v>0</v>
      </c>
      <c r="CV99">
        <f t="shared" si="103"/>
        <v>18.440000000000001</v>
      </c>
      <c r="CW99">
        <f t="shared" si="104"/>
        <v>0</v>
      </c>
      <c r="CX99">
        <f t="shared" si="105"/>
        <v>0</v>
      </c>
      <c r="CY99">
        <f t="shared" si="106"/>
        <v>2397.0589999999997</v>
      </c>
      <c r="CZ99">
        <f t="shared" si="107"/>
        <v>342.43699999999995</v>
      </c>
      <c r="DC99" t="s">
        <v>3</v>
      </c>
      <c r="DD99" t="s">
        <v>3</v>
      </c>
      <c r="DE99" t="s">
        <v>3</v>
      </c>
      <c r="DF99" t="s">
        <v>3</v>
      </c>
      <c r="DG99" t="s">
        <v>3</v>
      </c>
      <c r="DH99" t="s">
        <v>3</v>
      </c>
      <c r="DI99" t="s">
        <v>3</v>
      </c>
      <c r="DJ99" t="s">
        <v>3</v>
      </c>
      <c r="DK99" t="s">
        <v>3</v>
      </c>
      <c r="DL99" t="s">
        <v>3</v>
      </c>
      <c r="DM99" t="s">
        <v>3</v>
      </c>
      <c r="DN99">
        <v>0</v>
      </c>
      <c r="DO99">
        <v>0</v>
      </c>
      <c r="DP99">
        <v>1</v>
      </c>
      <c r="DQ99">
        <v>1</v>
      </c>
      <c r="DU99">
        <v>1005</v>
      </c>
      <c r="DV99" t="s">
        <v>38</v>
      </c>
      <c r="DW99" t="s">
        <v>38</v>
      </c>
      <c r="DX99">
        <v>100</v>
      </c>
      <c r="EE99">
        <v>52362078</v>
      </c>
      <c r="EF99">
        <v>1</v>
      </c>
      <c r="EG99" t="s">
        <v>22</v>
      </c>
      <c r="EH99">
        <v>0</v>
      </c>
      <c r="EI99" t="s">
        <v>3</v>
      </c>
      <c r="EJ99">
        <v>4</v>
      </c>
      <c r="EK99">
        <v>0</v>
      </c>
      <c r="EL99" t="s">
        <v>23</v>
      </c>
      <c r="EM99" t="s">
        <v>24</v>
      </c>
      <c r="EO99" t="s">
        <v>3</v>
      </c>
      <c r="EQ99">
        <v>131072</v>
      </c>
      <c r="ER99">
        <v>109053.5</v>
      </c>
      <c r="ES99">
        <v>102359.62</v>
      </c>
      <c r="ET99">
        <v>2617.25</v>
      </c>
      <c r="EU99">
        <v>2063.46</v>
      </c>
      <c r="EV99">
        <v>4076.63</v>
      </c>
      <c r="EW99">
        <v>18.440000000000001</v>
      </c>
      <c r="EX99">
        <v>0</v>
      </c>
      <c r="EY99">
        <v>0</v>
      </c>
      <c r="FQ99">
        <v>0</v>
      </c>
      <c r="FR99">
        <f t="shared" si="108"/>
        <v>0</v>
      </c>
      <c r="FS99">
        <v>0</v>
      </c>
      <c r="FX99">
        <v>70</v>
      </c>
      <c r="FY99">
        <v>10</v>
      </c>
      <c r="GA99" t="s">
        <v>3</v>
      </c>
      <c r="GD99">
        <v>0</v>
      </c>
      <c r="GF99">
        <v>-2129199936</v>
      </c>
      <c r="GG99">
        <v>2</v>
      </c>
      <c r="GH99">
        <v>1</v>
      </c>
      <c r="GI99">
        <v>-2</v>
      </c>
      <c r="GJ99">
        <v>0</v>
      </c>
      <c r="GK99">
        <f>ROUND(R99*(R12)/100,2)</f>
        <v>1871.97</v>
      </c>
      <c r="GL99">
        <f t="shared" si="109"/>
        <v>0</v>
      </c>
      <c r="GM99">
        <f t="shared" si="110"/>
        <v>96216.41</v>
      </c>
      <c r="GN99">
        <f t="shared" si="111"/>
        <v>0</v>
      </c>
      <c r="GO99">
        <f t="shared" si="112"/>
        <v>0</v>
      </c>
      <c r="GP99">
        <f t="shared" si="113"/>
        <v>96216.41</v>
      </c>
      <c r="GR99">
        <v>0</v>
      </c>
      <c r="GS99">
        <v>3</v>
      </c>
      <c r="GT99">
        <v>0</v>
      </c>
      <c r="GU99" t="s">
        <v>3</v>
      </c>
      <c r="GV99">
        <f t="shared" si="114"/>
        <v>0</v>
      </c>
      <c r="GW99">
        <v>1</v>
      </c>
      <c r="GX99">
        <f t="shared" si="115"/>
        <v>0</v>
      </c>
      <c r="HA99">
        <v>0</v>
      </c>
      <c r="HB99">
        <v>0</v>
      </c>
      <c r="HC99">
        <f t="shared" si="116"/>
        <v>0</v>
      </c>
      <c r="HE99" t="s">
        <v>3</v>
      </c>
      <c r="HF99" t="s">
        <v>3</v>
      </c>
      <c r="IK99">
        <v>0</v>
      </c>
    </row>
    <row r="100" spans="1:245" x14ac:dyDescent="0.2">
      <c r="A100">
        <v>17</v>
      </c>
      <c r="B100">
        <v>1</v>
      </c>
      <c r="C100">
        <f>ROW(SmtRes!A99)</f>
        <v>99</v>
      </c>
      <c r="D100">
        <f>ROW(EtalonRes!A95)</f>
        <v>95</v>
      </c>
      <c r="E100" t="s">
        <v>186</v>
      </c>
      <c r="F100" t="s">
        <v>57</v>
      </c>
      <c r="G100" t="s">
        <v>58</v>
      </c>
      <c r="H100" t="s">
        <v>38</v>
      </c>
      <c r="I100">
        <f>ROUND(84/100,9)</f>
        <v>0.84</v>
      </c>
      <c r="J100">
        <v>0</v>
      </c>
      <c r="O100">
        <f t="shared" si="77"/>
        <v>16853.02</v>
      </c>
      <c r="P100">
        <f t="shared" si="78"/>
        <v>15932.8</v>
      </c>
      <c r="Q100">
        <f t="shared" si="79"/>
        <v>414</v>
      </c>
      <c r="R100">
        <f t="shared" si="80"/>
        <v>327.27999999999997</v>
      </c>
      <c r="S100">
        <f t="shared" si="81"/>
        <v>506.22</v>
      </c>
      <c r="T100">
        <f t="shared" si="82"/>
        <v>0</v>
      </c>
      <c r="U100">
        <f t="shared" si="83"/>
        <v>2.226</v>
      </c>
      <c r="V100">
        <f t="shared" si="84"/>
        <v>0</v>
      </c>
      <c r="W100">
        <f t="shared" si="85"/>
        <v>0</v>
      </c>
      <c r="X100">
        <f t="shared" si="86"/>
        <v>354.35</v>
      </c>
      <c r="Y100">
        <f t="shared" si="87"/>
        <v>50.62</v>
      </c>
      <c r="AA100">
        <v>52430918</v>
      </c>
      <c r="AB100">
        <f t="shared" si="88"/>
        <v>20063.12</v>
      </c>
      <c r="AC100">
        <f t="shared" si="89"/>
        <v>18967.62</v>
      </c>
      <c r="AD100">
        <f t="shared" si="90"/>
        <v>492.86</v>
      </c>
      <c r="AE100">
        <f t="shared" si="91"/>
        <v>389.62</v>
      </c>
      <c r="AF100">
        <f t="shared" si="92"/>
        <v>602.64</v>
      </c>
      <c r="AG100">
        <f t="shared" si="93"/>
        <v>0</v>
      </c>
      <c r="AH100">
        <f t="shared" si="94"/>
        <v>2.65</v>
      </c>
      <c r="AI100">
        <f t="shared" si="95"/>
        <v>0</v>
      </c>
      <c r="AJ100">
        <f t="shared" si="96"/>
        <v>0</v>
      </c>
      <c r="AK100">
        <v>20063.12</v>
      </c>
      <c r="AL100">
        <v>18967.62</v>
      </c>
      <c r="AM100">
        <v>492.86</v>
      </c>
      <c r="AN100">
        <v>389.62</v>
      </c>
      <c r="AO100">
        <v>602.64</v>
      </c>
      <c r="AP100">
        <v>0</v>
      </c>
      <c r="AQ100">
        <v>2.65</v>
      </c>
      <c r="AR100">
        <v>0</v>
      </c>
      <c r="AS100">
        <v>0</v>
      </c>
      <c r="AT100">
        <v>70</v>
      </c>
      <c r="AU100">
        <v>10</v>
      </c>
      <c r="AV100">
        <v>1</v>
      </c>
      <c r="AW100">
        <v>1</v>
      </c>
      <c r="AZ100">
        <v>1</v>
      </c>
      <c r="BA100">
        <v>1</v>
      </c>
      <c r="BB100">
        <v>1</v>
      </c>
      <c r="BC100">
        <v>1</v>
      </c>
      <c r="BD100" t="s">
        <v>3</v>
      </c>
      <c r="BE100" t="s">
        <v>3</v>
      </c>
      <c r="BF100" t="s">
        <v>3</v>
      </c>
      <c r="BG100" t="s">
        <v>3</v>
      </c>
      <c r="BH100">
        <v>0</v>
      </c>
      <c r="BI100">
        <v>4</v>
      </c>
      <c r="BJ100" t="s">
        <v>59</v>
      </c>
      <c r="BM100">
        <v>0</v>
      </c>
      <c r="BN100">
        <v>0</v>
      </c>
      <c r="BO100" t="s">
        <v>3</v>
      </c>
      <c r="BP100">
        <v>0</v>
      </c>
      <c r="BQ100">
        <v>1</v>
      </c>
      <c r="BR100">
        <v>0</v>
      </c>
      <c r="BS100">
        <v>1</v>
      </c>
      <c r="BT100">
        <v>1</v>
      </c>
      <c r="BU100">
        <v>1</v>
      </c>
      <c r="BV100">
        <v>1</v>
      </c>
      <c r="BW100">
        <v>1</v>
      </c>
      <c r="BX100">
        <v>1</v>
      </c>
      <c r="BY100" t="s">
        <v>3</v>
      </c>
      <c r="BZ100">
        <v>70</v>
      </c>
      <c r="CA100">
        <v>10</v>
      </c>
      <c r="CE100">
        <v>0</v>
      </c>
      <c r="CF100">
        <v>0</v>
      </c>
      <c r="CG100">
        <v>0</v>
      </c>
      <c r="CM100">
        <v>0</v>
      </c>
      <c r="CN100" t="s">
        <v>3</v>
      </c>
      <c r="CO100">
        <v>0</v>
      </c>
      <c r="CP100">
        <f t="shared" si="97"/>
        <v>16853.02</v>
      </c>
      <c r="CQ100">
        <f t="shared" si="98"/>
        <v>18967.62</v>
      </c>
      <c r="CR100">
        <f t="shared" si="99"/>
        <v>492.86</v>
      </c>
      <c r="CS100">
        <f t="shared" si="100"/>
        <v>389.62</v>
      </c>
      <c r="CT100">
        <f t="shared" si="101"/>
        <v>602.64</v>
      </c>
      <c r="CU100">
        <f t="shared" si="102"/>
        <v>0</v>
      </c>
      <c r="CV100">
        <f t="shared" si="103"/>
        <v>2.65</v>
      </c>
      <c r="CW100">
        <f t="shared" si="104"/>
        <v>0</v>
      </c>
      <c r="CX100">
        <f t="shared" si="105"/>
        <v>0</v>
      </c>
      <c r="CY100">
        <f t="shared" si="106"/>
        <v>354.35400000000004</v>
      </c>
      <c r="CZ100">
        <f t="shared" si="107"/>
        <v>50.622000000000007</v>
      </c>
      <c r="DC100" t="s">
        <v>3</v>
      </c>
      <c r="DD100" t="s">
        <v>3</v>
      </c>
      <c r="DE100" t="s">
        <v>3</v>
      </c>
      <c r="DF100" t="s">
        <v>3</v>
      </c>
      <c r="DG100" t="s">
        <v>3</v>
      </c>
      <c r="DH100" t="s">
        <v>3</v>
      </c>
      <c r="DI100" t="s">
        <v>3</v>
      </c>
      <c r="DJ100" t="s">
        <v>3</v>
      </c>
      <c r="DK100" t="s">
        <v>3</v>
      </c>
      <c r="DL100" t="s">
        <v>3</v>
      </c>
      <c r="DM100" t="s">
        <v>3</v>
      </c>
      <c r="DN100">
        <v>0</v>
      </c>
      <c r="DO100">
        <v>0</v>
      </c>
      <c r="DP100">
        <v>1</v>
      </c>
      <c r="DQ100">
        <v>1</v>
      </c>
      <c r="DU100">
        <v>1005</v>
      </c>
      <c r="DV100" t="s">
        <v>38</v>
      </c>
      <c r="DW100" t="s">
        <v>38</v>
      </c>
      <c r="DX100">
        <v>100</v>
      </c>
      <c r="EE100">
        <v>52362078</v>
      </c>
      <c r="EF100">
        <v>1</v>
      </c>
      <c r="EG100" t="s">
        <v>22</v>
      </c>
      <c r="EH100">
        <v>0</v>
      </c>
      <c r="EI100" t="s">
        <v>3</v>
      </c>
      <c r="EJ100">
        <v>4</v>
      </c>
      <c r="EK100">
        <v>0</v>
      </c>
      <c r="EL100" t="s">
        <v>23</v>
      </c>
      <c r="EM100" t="s">
        <v>24</v>
      </c>
      <c r="EO100" t="s">
        <v>3</v>
      </c>
      <c r="EQ100">
        <v>131072</v>
      </c>
      <c r="ER100">
        <v>20063.12</v>
      </c>
      <c r="ES100">
        <v>18967.62</v>
      </c>
      <c r="ET100">
        <v>492.86</v>
      </c>
      <c r="EU100">
        <v>389.62</v>
      </c>
      <c r="EV100">
        <v>602.64</v>
      </c>
      <c r="EW100">
        <v>2.65</v>
      </c>
      <c r="EX100">
        <v>0</v>
      </c>
      <c r="EY100">
        <v>0</v>
      </c>
      <c r="FQ100">
        <v>0</v>
      </c>
      <c r="FR100">
        <f t="shared" si="108"/>
        <v>0</v>
      </c>
      <c r="FS100">
        <v>0</v>
      </c>
      <c r="FX100">
        <v>70</v>
      </c>
      <c r="FY100">
        <v>10</v>
      </c>
      <c r="GA100" t="s">
        <v>3</v>
      </c>
      <c r="GD100">
        <v>0</v>
      </c>
      <c r="GF100">
        <v>-1181657983</v>
      </c>
      <c r="GG100">
        <v>2</v>
      </c>
      <c r="GH100">
        <v>1</v>
      </c>
      <c r="GI100">
        <v>-2</v>
      </c>
      <c r="GJ100">
        <v>0</v>
      </c>
      <c r="GK100">
        <f>ROUND(R100*(R12)/100,2)</f>
        <v>353.46</v>
      </c>
      <c r="GL100">
        <f t="shared" si="109"/>
        <v>0</v>
      </c>
      <c r="GM100">
        <f t="shared" si="110"/>
        <v>17611.45</v>
      </c>
      <c r="GN100">
        <f t="shared" si="111"/>
        <v>0</v>
      </c>
      <c r="GO100">
        <f t="shared" si="112"/>
        <v>0</v>
      </c>
      <c r="GP100">
        <f t="shared" si="113"/>
        <v>17611.45</v>
      </c>
      <c r="GR100">
        <v>0</v>
      </c>
      <c r="GS100">
        <v>3</v>
      </c>
      <c r="GT100">
        <v>0</v>
      </c>
      <c r="GU100" t="s">
        <v>3</v>
      </c>
      <c r="GV100">
        <f t="shared" si="114"/>
        <v>0</v>
      </c>
      <c r="GW100">
        <v>1</v>
      </c>
      <c r="GX100">
        <f t="shared" si="115"/>
        <v>0</v>
      </c>
      <c r="HA100">
        <v>0</v>
      </c>
      <c r="HB100">
        <v>0</v>
      </c>
      <c r="HC100">
        <f t="shared" si="116"/>
        <v>0</v>
      </c>
      <c r="HE100" t="s">
        <v>3</v>
      </c>
      <c r="HF100" t="s">
        <v>3</v>
      </c>
      <c r="IK100">
        <v>0</v>
      </c>
    </row>
    <row r="101" spans="1:245" x14ac:dyDescent="0.2">
      <c r="A101">
        <v>17</v>
      </c>
      <c r="B101">
        <v>1</v>
      </c>
      <c r="C101">
        <f>ROW(SmtRes!A100)</f>
        <v>100</v>
      </c>
      <c r="D101">
        <f>ROW(EtalonRes!A96)</f>
        <v>96</v>
      </c>
      <c r="E101" t="s">
        <v>187</v>
      </c>
      <c r="F101" t="s">
        <v>61</v>
      </c>
      <c r="G101" t="s">
        <v>62</v>
      </c>
      <c r="H101" t="s">
        <v>33</v>
      </c>
      <c r="I101">
        <v>0</v>
      </c>
      <c r="J101">
        <v>0</v>
      </c>
      <c r="O101">
        <f t="shared" si="77"/>
        <v>0</v>
      </c>
      <c r="P101">
        <f t="shared" si="78"/>
        <v>0</v>
      </c>
      <c r="Q101">
        <f t="shared" si="79"/>
        <v>0</v>
      </c>
      <c r="R101">
        <f t="shared" si="80"/>
        <v>0</v>
      </c>
      <c r="S101">
        <f t="shared" si="81"/>
        <v>0</v>
      </c>
      <c r="T101">
        <f t="shared" si="82"/>
        <v>0</v>
      </c>
      <c r="U101">
        <f t="shared" si="83"/>
        <v>0</v>
      </c>
      <c r="V101">
        <f t="shared" si="84"/>
        <v>0</v>
      </c>
      <c r="W101">
        <f t="shared" si="85"/>
        <v>0</v>
      </c>
      <c r="X101">
        <f t="shared" si="86"/>
        <v>0</v>
      </c>
      <c r="Y101">
        <f t="shared" si="87"/>
        <v>0</v>
      </c>
      <c r="AA101">
        <v>52430918</v>
      </c>
      <c r="AB101">
        <f t="shared" si="88"/>
        <v>41951.1</v>
      </c>
      <c r="AC101">
        <f t="shared" si="89"/>
        <v>0</v>
      </c>
      <c r="AD101">
        <f t="shared" si="90"/>
        <v>0</v>
      </c>
      <c r="AE101">
        <f t="shared" si="91"/>
        <v>0</v>
      </c>
      <c r="AF101">
        <f t="shared" si="92"/>
        <v>41951.1</v>
      </c>
      <c r="AG101">
        <f t="shared" si="93"/>
        <v>0</v>
      </c>
      <c r="AH101">
        <f t="shared" si="94"/>
        <v>221.6</v>
      </c>
      <c r="AI101">
        <f t="shared" si="95"/>
        <v>0</v>
      </c>
      <c r="AJ101">
        <f t="shared" si="96"/>
        <v>0</v>
      </c>
      <c r="AK101">
        <v>41951.1</v>
      </c>
      <c r="AL101">
        <v>0</v>
      </c>
      <c r="AM101">
        <v>0</v>
      </c>
      <c r="AN101">
        <v>0</v>
      </c>
      <c r="AO101">
        <v>41951.1</v>
      </c>
      <c r="AP101">
        <v>0</v>
      </c>
      <c r="AQ101">
        <v>221.6</v>
      </c>
      <c r="AR101">
        <v>0</v>
      </c>
      <c r="AS101">
        <v>0</v>
      </c>
      <c r="AT101">
        <v>70</v>
      </c>
      <c r="AU101">
        <v>10</v>
      </c>
      <c r="AV101">
        <v>1</v>
      </c>
      <c r="AW101">
        <v>1</v>
      </c>
      <c r="AZ101">
        <v>1</v>
      </c>
      <c r="BA101">
        <v>1</v>
      </c>
      <c r="BB101">
        <v>1</v>
      </c>
      <c r="BC101">
        <v>1</v>
      </c>
      <c r="BD101" t="s">
        <v>3</v>
      </c>
      <c r="BE101" t="s">
        <v>3</v>
      </c>
      <c r="BF101" t="s">
        <v>3</v>
      </c>
      <c r="BG101" t="s">
        <v>3</v>
      </c>
      <c r="BH101">
        <v>0</v>
      </c>
      <c r="BI101">
        <v>4</v>
      </c>
      <c r="BJ101" t="s">
        <v>63</v>
      </c>
      <c r="BM101">
        <v>0</v>
      </c>
      <c r="BN101">
        <v>0</v>
      </c>
      <c r="BO101" t="s">
        <v>3</v>
      </c>
      <c r="BP101">
        <v>0</v>
      </c>
      <c r="BQ101">
        <v>1</v>
      </c>
      <c r="BR101">
        <v>0</v>
      </c>
      <c r="BS101">
        <v>1</v>
      </c>
      <c r="BT101">
        <v>1</v>
      </c>
      <c r="BU101">
        <v>1</v>
      </c>
      <c r="BV101">
        <v>1</v>
      </c>
      <c r="BW101">
        <v>1</v>
      </c>
      <c r="BX101">
        <v>1</v>
      </c>
      <c r="BY101" t="s">
        <v>3</v>
      </c>
      <c r="BZ101">
        <v>70</v>
      </c>
      <c r="CA101">
        <v>10</v>
      </c>
      <c r="CE101">
        <v>0</v>
      </c>
      <c r="CF101">
        <v>0</v>
      </c>
      <c r="CG101">
        <v>0</v>
      </c>
      <c r="CM101">
        <v>0</v>
      </c>
      <c r="CN101" t="s">
        <v>3</v>
      </c>
      <c r="CO101">
        <v>0</v>
      </c>
      <c r="CP101">
        <f t="shared" si="97"/>
        <v>0</v>
      </c>
      <c r="CQ101">
        <f t="shared" si="98"/>
        <v>0</v>
      </c>
      <c r="CR101">
        <f t="shared" si="99"/>
        <v>0</v>
      </c>
      <c r="CS101">
        <f t="shared" si="100"/>
        <v>0</v>
      </c>
      <c r="CT101">
        <f t="shared" si="101"/>
        <v>41951.1</v>
      </c>
      <c r="CU101">
        <f t="shared" si="102"/>
        <v>0</v>
      </c>
      <c r="CV101">
        <f t="shared" si="103"/>
        <v>221.6</v>
      </c>
      <c r="CW101">
        <f t="shared" si="104"/>
        <v>0</v>
      </c>
      <c r="CX101">
        <f t="shared" si="105"/>
        <v>0</v>
      </c>
      <c r="CY101">
        <f t="shared" si="106"/>
        <v>0</v>
      </c>
      <c r="CZ101">
        <f t="shared" si="107"/>
        <v>0</v>
      </c>
      <c r="DC101" t="s">
        <v>3</v>
      </c>
      <c r="DD101" t="s">
        <v>3</v>
      </c>
      <c r="DE101" t="s">
        <v>3</v>
      </c>
      <c r="DF101" t="s">
        <v>3</v>
      </c>
      <c r="DG101" t="s">
        <v>3</v>
      </c>
      <c r="DH101" t="s">
        <v>3</v>
      </c>
      <c r="DI101" t="s">
        <v>3</v>
      </c>
      <c r="DJ101" t="s">
        <v>3</v>
      </c>
      <c r="DK101" t="s">
        <v>3</v>
      </c>
      <c r="DL101" t="s">
        <v>3</v>
      </c>
      <c r="DM101" t="s">
        <v>3</v>
      </c>
      <c r="DN101">
        <v>0</v>
      </c>
      <c r="DO101">
        <v>0</v>
      </c>
      <c r="DP101">
        <v>1</v>
      </c>
      <c r="DQ101">
        <v>1</v>
      </c>
      <c r="DU101">
        <v>1007</v>
      </c>
      <c r="DV101" t="s">
        <v>33</v>
      </c>
      <c r="DW101" t="s">
        <v>33</v>
      </c>
      <c r="DX101">
        <v>100</v>
      </c>
      <c r="EE101">
        <v>52362078</v>
      </c>
      <c r="EF101">
        <v>1</v>
      </c>
      <c r="EG101" t="s">
        <v>22</v>
      </c>
      <c r="EH101">
        <v>0</v>
      </c>
      <c r="EI101" t="s">
        <v>3</v>
      </c>
      <c r="EJ101">
        <v>4</v>
      </c>
      <c r="EK101">
        <v>0</v>
      </c>
      <c r="EL101" t="s">
        <v>23</v>
      </c>
      <c r="EM101" t="s">
        <v>24</v>
      </c>
      <c r="EO101" t="s">
        <v>3</v>
      </c>
      <c r="EQ101">
        <v>131072</v>
      </c>
      <c r="ER101">
        <v>41951.1</v>
      </c>
      <c r="ES101">
        <v>0</v>
      </c>
      <c r="ET101">
        <v>0</v>
      </c>
      <c r="EU101">
        <v>0</v>
      </c>
      <c r="EV101">
        <v>41951.1</v>
      </c>
      <c r="EW101">
        <v>221.6</v>
      </c>
      <c r="EX101">
        <v>0</v>
      </c>
      <c r="EY101">
        <v>0</v>
      </c>
      <c r="FQ101">
        <v>0</v>
      </c>
      <c r="FR101">
        <f t="shared" si="108"/>
        <v>0</v>
      </c>
      <c r="FS101">
        <v>0</v>
      </c>
      <c r="FX101">
        <v>70</v>
      </c>
      <c r="FY101">
        <v>10</v>
      </c>
      <c r="GA101" t="s">
        <v>3</v>
      </c>
      <c r="GD101">
        <v>0</v>
      </c>
      <c r="GF101">
        <v>-1535592702</v>
      </c>
      <c r="GG101">
        <v>2</v>
      </c>
      <c r="GH101">
        <v>1</v>
      </c>
      <c r="GI101">
        <v>-2</v>
      </c>
      <c r="GJ101">
        <v>0</v>
      </c>
      <c r="GK101">
        <f>ROUND(R101*(R12)/100,2)</f>
        <v>0</v>
      </c>
      <c r="GL101">
        <f t="shared" si="109"/>
        <v>0</v>
      </c>
      <c r="GM101">
        <f t="shared" si="110"/>
        <v>0</v>
      </c>
      <c r="GN101">
        <f t="shared" si="111"/>
        <v>0</v>
      </c>
      <c r="GO101">
        <f t="shared" si="112"/>
        <v>0</v>
      </c>
      <c r="GP101">
        <f t="shared" si="113"/>
        <v>0</v>
      </c>
      <c r="GR101">
        <v>0</v>
      </c>
      <c r="GS101">
        <v>3</v>
      </c>
      <c r="GT101">
        <v>0</v>
      </c>
      <c r="GU101" t="s">
        <v>3</v>
      </c>
      <c r="GV101">
        <f t="shared" si="114"/>
        <v>0</v>
      </c>
      <c r="GW101">
        <v>1</v>
      </c>
      <c r="GX101">
        <f t="shared" si="115"/>
        <v>0</v>
      </c>
      <c r="HA101">
        <v>0</v>
      </c>
      <c r="HB101">
        <v>0</v>
      </c>
      <c r="HC101">
        <f t="shared" si="116"/>
        <v>0</v>
      </c>
      <c r="HE101" t="s">
        <v>3</v>
      </c>
      <c r="HF101" t="s">
        <v>3</v>
      </c>
      <c r="IK101">
        <v>0</v>
      </c>
    </row>
    <row r="102" spans="1:245" x14ac:dyDescent="0.2">
      <c r="A102">
        <v>17</v>
      </c>
      <c r="B102">
        <v>1</v>
      </c>
      <c r="C102">
        <f>ROW(SmtRes!A108)</f>
        <v>108</v>
      </c>
      <c r="D102">
        <f>ROW(EtalonRes!A104)</f>
        <v>104</v>
      </c>
      <c r="E102" t="s">
        <v>188</v>
      </c>
      <c r="F102" t="s">
        <v>31</v>
      </c>
      <c r="G102" t="s">
        <v>65</v>
      </c>
      <c r="H102" t="s">
        <v>33</v>
      </c>
      <c r="I102">
        <v>0</v>
      </c>
      <c r="J102">
        <v>0</v>
      </c>
      <c r="O102">
        <f t="shared" si="77"/>
        <v>0</v>
      </c>
      <c r="P102">
        <f t="shared" si="78"/>
        <v>0</v>
      </c>
      <c r="Q102">
        <f t="shared" si="79"/>
        <v>0</v>
      </c>
      <c r="R102">
        <f t="shared" si="80"/>
        <v>0</v>
      </c>
      <c r="S102">
        <f t="shared" si="81"/>
        <v>0</v>
      </c>
      <c r="T102">
        <f t="shared" si="82"/>
        <v>0</v>
      </c>
      <c r="U102">
        <f t="shared" si="83"/>
        <v>0</v>
      </c>
      <c r="V102">
        <f t="shared" si="84"/>
        <v>0</v>
      </c>
      <c r="W102">
        <f t="shared" si="85"/>
        <v>0</v>
      </c>
      <c r="X102">
        <f t="shared" si="86"/>
        <v>0</v>
      </c>
      <c r="Y102">
        <f t="shared" si="87"/>
        <v>0</v>
      </c>
      <c r="AA102">
        <v>52430918</v>
      </c>
      <c r="AB102">
        <f t="shared" si="88"/>
        <v>75863.820000000007</v>
      </c>
      <c r="AC102">
        <f t="shared" si="89"/>
        <v>65162.05</v>
      </c>
      <c r="AD102">
        <f t="shared" si="90"/>
        <v>7602.23</v>
      </c>
      <c r="AE102">
        <f t="shared" si="91"/>
        <v>3222.98</v>
      </c>
      <c r="AF102">
        <f t="shared" si="92"/>
        <v>3099.54</v>
      </c>
      <c r="AG102">
        <f t="shared" si="93"/>
        <v>0</v>
      </c>
      <c r="AH102">
        <f t="shared" si="94"/>
        <v>16.559999999999999</v>
      </c>
      <c r="AI102">
        <f t="shared" si="95"/>
        <v>0</v>
      </c>
      <c r="AJ102">
        <f t="shared" si="96"/>
        <v>0</v>
      </c>
      <c r="AK102">
        <v>75863.820000000007</v>
      </c>
      <c r="AL102">
        <v>65162.05</v>
      </c>
      <c r="AM102">
        <v>7602.23</v>
      </c>
      <c r="AN102">
        <v>3222.98</v>
      </c>
      <c r="AO102">
        <v>3099.54</v>
      </c>
      <c r="AP102">
        <v>0</v>
      </c>
      <c r="AQ102">
        <v>16.559999999999999</v>
      </c>
      <c r="AR102">
        <v>0</v>
      </c>
      <c r="AS102">
        <v>0</v>
      </c>
      <c r="AT102">
        <v>70</v>
      </c>
      <c r="AU102">
        <v>10</v>
      </c>
      <c r="AV102">
        <v>1</v>
      </c>
      <c r="AW102">
        <v>1</v>
      </c>
      <c r="AZ102">
        <v>1</v>
      </c>
      <c r="BA102">
        <v>1</v>
      </c>
      <c r="BB102">
        <v>1</v>
      </c>
      <c r="BC102">
        <v>1</v>
      </c>
      <c r="BD102" t="s">
        <v>3</v>
      </c>
      <c r="BE102" t="s">
        <v>3</v>
      </c>
      <c r="BF102" t="s">
        <v>3</v>
      </c>
      <c r="BG102" t="s">
        <v>3</v>
      </c>
      <c r="BH102">
        <v>0</v>
      </c>
      <c r="BI102">
        <v>4</v>
      </c>
      <c r="BJ102" t="s">
        <v>34</v>
      </c>
      <c r="BM102">
        <v>0</v>
      </c>
      <c r="BN102">
        <v>0</v>
      </c>
      <c r="BO102" t="s">
        <v>3</v>
      </c>
      <c r="BP102">
        <v>0</v>
      </c>
      <c r="BQ102">
        <v>1</v>
      </c>
      <c r="BR102">
        <v>0</v>
      </c>
      <c r="BS102">
        <v>1</v>
      </c>
      <c r="BT102">
        <v>1</v>
      </c>
      <c r="BU102">
        <v>1</v>
      </c>
      <c r="BV102">
        <v>1</v>
      </c>
      <c r="BW102">
        <v>1</v>
      </c>
      <c r="BX102">
        <v>1</v>
      </c>
      <c r="BY102" t="s">
        <v>3</v>
      </c>
      <c r="BZ102">
        <v>70</v>
      </c>
      <c r="CA102">
        <v>10</v>
      </c>
      <c r="CE102">
        <v>0</v>
      </c>
      <c r="CF102">
        <v>0</v>
      </c>
      <c r="CG102">
        <v>0</v>
      </c>
      <c r="CM102">
        <v>0</v>
      </c>
      <c r="CN102" t="s">
        <v>3</v>
      </c>
      <c r="CO102">
        <v>0</v>
      </c>
      <c r="CP102">
        <f t="shared" si="97"/>
        <v>0</v>
      </c>
      <c r="CQ102">
        <f t="shared" si="98"/>
        <v>65162.05</v>
      </c>
      <c r="CR102">
        <f t="shared" si="99"/>
        <v>7602.23</v>
      </c>
      <c r="CS102">
        <f t="shared" si="100"/>
        <v>3222.98</v>
      </c>
      <c r="CT102">
        <f t="shared" si="101"/>
        <v>3099.54</v>
      </c>
      <c r="CU102">
        <f t="shared" si="102"/>
        <v>0</v>
      </c>
      <c r="CV102">
        <f t="shared" si="103"/>
        <v>16.559999999999999</v>
      </c>
      <c r="CW102">
        <f t="shared" si="104"/>
        <v>0</v>
      </c>
      <c r="CX102">
        <f t="shared" si="105"/>
        <v>0</v>
      </c>
      <c r="CY102">
        <f t="shared" si="106"/>
        <v>0</v>
      </c>
      <c r="CZ102">
        <f t="shared" si="107"/>
        <v>0</v>
      </c>
      <c r="DC102" t="s">
        <v>3</v>
      </c>
      <c r="DD102" t="s">
        <v>3</v>
      </c>
      <c r="DE102" t="s">
        <v>3</v>
      </c>
      <c r="DF102" t="s">
        <v>3</v>
      </c>
      <c r="DG102" t="s">
        <v>3</v>
      </c>
      <c r="DH102" t="s">
        <v>3</v>
      </c>
      <c r="DI102" t="s">
        <v>3</v>
      </c>
      <c r="DJ102" t="s">
        <v>3</v>
      </c>
      <c r="DK102" t="s">
        <v>3</v>
      </c>
      <c r="DL102" t="s">
        <v>3</v>
      </c>
      <c r="DM102" t="s">
        <v>3</v>
      </c>
      <c r="DN102">
        <v>0</v>
      </c>
      <c r="DO102">
        <v>0</v>
      </c>
      <c r="DP102">
        <v>1</v>
      </c>
      <c r="DQ102">
        <v>1</v>
      </c>
      <c r="DU102">
        <v>1007</v>
      </c>
      <c r="DV102" t="s">
        <v>33</v>
      </c>
      <c r="DW102" t="s">
        <v>33</v>
      </c>
      <c r="DX102">
        <v>100</v>
      </c>
      <c r="EE102">
        <v>52362078</v>
      </c>
      <c r="EF102">
        <v>1</v>
      </c>
      <c r="EG102" t="s">
        <v>22</v>
      </c>
      <c r="EH102">
        <v>0</v>
      </c>
      <c r="EI102" t="s">
        <v>3</v>
      </c>
      <c r="EJ102">
        <v>4</v>
      </c>
      <c r="EK102">
        <v>0</v>
      </c>
      <c r="EL102" t="s">
        <v>23</v>
      </c>
      <c r="EM102" t="s">
        <v>24</v>
      </c>
      <c r="EO102" t="s">
        <v>3</v>
      </c>
      <c r="EQ102">
        <v>131072</v>
      </c>
      <c r="ER102">
        <v>75863.820000000007</v>
      </c>
      <c r="ES102">
        <v>65162.05</v>
      </c>
      <c r="ET102">
        <v>7602.23</v>
      </c>
      <c r="EU102">
        <v>3222.98</v>
      </c>
      <c r="EV102">
        <v>3099.54</v>
      </c>
      <c r="EW102">
        <v>16.559999999999999</v>
      </c>
      <c r="EX102">
        <v>0</v>
      </c>
      <c r="EY102">
        <v>0</v>
      </c>
      <c r="FQ102">
        <v>0</v>
      </c>
      <c r="FR102">
        <f t="shared" si="108"/>
        <v>0</v>
      </c>
      <c r="FS102">
        <v>0</v>
      </c>
      <c r="FX102">
        <v>70</v>
      </c>
      <c r="FY102">
        <v>10</v>
      </c>
      <c r="GA102" t="s">
        <v>3</v>
      </c>
      <c r="GD102">
        <v>0</v>
      </c>
      <c r="GF102">
        <v>-1374033590</v>
      </c>
      <c r="GG102">
        <v>2</v>
      </c>
      <c r="GH102">
        <v>1</v>
      </c>
      <c r="GI102">
        <v>-2</v>
      </c>
      <c r="GJ102">
        <v>0</v>
      </c>
      <c r="GK102">
        <f>ROUND(R102*(R12)/100,2)</f>
        <v>0</v>
      </c>
      <c r="GL102">
        <f t="shared" si="109"/>
        <v>0</v>
      </c>
      <c r="GM102">
        <f t="shared" si="110"/>
        <v>0</v>
      </c>
      <c r="GN102">
        <f t="shared" si="111"/>
        <v>0</v>
      </c>
      <c r="GO102">
        <f t="shared" si="112"/>
        <v>0</v>
      </c>
      <c r="GP102">
        <f t="shared" si="113"/>
        <v>0</v>
      </c>
      <c r="GR102">
        <v>0</v>
      </c>
      <c r="GS102">
        <v>3</v>
      </c>
      <c r="GT102">
        <v>0</v>
      </c>
      <c r="GU102" t="s">
        <v>3</v>
      </c>
      <c r="GV102">
        <f t="shared" si="114"/>
        <v>0</v>
      </c>
      <c r="GW102">
        <v>1</v>
      </c>
      <c r="GX102">
        <f t="shared" si="115"/>
        <v>0</v>
      </c>
      <c r="HA102">
        <v>0</v>
      </c>
      <c r="HB102">
        <v>0</v>
      </c>
      <c r="HC102">
        <f t="shared" si="116"/>
        <v>0</v>
      </c>
      <c r="HE102" t="s">
        <v>3</v>
      </c>
      <c r="HF102" t="s">
        <v>3</v>
      </c>
      <c r="IK102">
        <v>0</v>
      </c>
    </row>
    <row r="103" spans="1:245" x14ac:dyDescent="0.2">
      <c r="A103">
        <v>17</v>
      </c>
      <c r="B103">
        <v>1</v>
      </c>
      <c r="C103">
        <f>ROW(SmtRes!A113)</f>
        <v>113</v>
      </c>
      <c r="D103">
        <f>ROW(EtalonRes!A109)</f>
        <v>109</v>
      </c>
      <c r="E103" t="s">
        <v>189</v>
      </c>
      <c r="F103" t="s">
        <v>67</v>
      </c>
      <c r="G103" t="s">
        <v>68</v>
      </c>
      <c r="H103" t="s">
        <v>69</v>
      </c>
      <c r="I103">
        <f>ROUND(36.8/100,9)</f>
        <v>0.36799999999999999</v>
      </c>
      <c r="J103">
        <v>0</v>
      </c>
      <c r="O103">
        <f t="shared" si="77"/>
        <v>18219.05</v>
      </c>
      <c r="P103">
        <f t="shared" si="78"/>
        <v>12713.55</v>
      </c>
      <c r="Q103">
        <f t="shared" si="79"/>
        <v>65.430000000000007</v>
      </c>
      <c r="R103">
        <f t="shared" si="80"/>
        <v>35.520000000000003</v>
      </c>
      <c r="S103">
        <f t="shared" si="81"/>
        <v>5440.07</v>
      </c>
      <c r="T103">
        <f t="shared" si="82"/>
        <v>0</v>
      </c>
      <c r="U103">
        <f t="shared" si="83"/>
        <v>26.845600000000001</v>
      </c>
      <c r="V103">
        <f t="shared" si="84"/>
        <v>0</v>
      </c>
      <c r="W103">
        <f t="shared" si="85"/>
        <v>0</v>
      </c>
      <c r="X103">
        <f t="shared" si="86"/>
        <v>3808.05</v>
      </c>
      <c r="Y103">
        <f t="shared" si="87"/>
        <v>544.01</v>
      </c>
      <c r="AA103">
        <v>52430918</v>
      </c>
      <c r="AB103">
        <f t="shared" si="88"/>
        <v>49508.32</v>
      </c>
      <c r="AC103">
        <f t="shared" si="89"/>
        <v>34547.699999999997</v>
      </c>
      <c r="AD103">
        <f t="shared" si="90"/>
        <v>177.81</v>
      </c>
      <c r="AE103">
        <f t="shared" si="91"/>
        <v>96.53</v>
      </c>
      <c r="AF103">
        <f t="shared" si="92"/>
        <v>14782.81</v>
      </c>
      <c r="AG103">
        <f t="shared" si="93"/>
        <v>0</v>
      </c>
      <c r="AH103">
        <f t="shared" si="94"/>
        <v>72.95</v>
      </c>
      <c r="AI103">
        <f t="shared" si="95"/>
        <v>0</v>
      </c>
      <c r="AJ103">
        <f t="shared" si="96"/>
        <v>0</v>
      </c>
      <c r="AK103">
        <v>49508.32</v>
      </c>
      <c r="AL103">
        <v>34547.699999999997</v>
      </c>
      <c r="AM103">
        <v>177.81</v>
      </c>
      <c r="AN103">
        <v>96.53</v>
      </c>
      <c r="AO103">
        <v>14782.81</v>
      </c>
      <c r="AP103">
        <v>0</v>
      </c>
      <c r="AQ103">
        <v>72.95</v>
      </c>
      <c r="AR103">
        <v>0</v>
      </c>
      <c r="AS103">
        <v>0</v>
      </c>
      <c r="AT103">
        <v>70</v>
      </c>
      <c r="AU103">
        <v>10</v>
      </c>
      <c r="AV103">
        <v>1</v>
      </c>
      <c r="AW103">
        <v>1</v>
      </c>
      <c r="AZ103">
        <v>1</v>
      </c>
      <c r="BA103">
        <v>1</v>
      </c>
      <c r="BB103">
        <v>1</v>
      </c>
      <c r="BC103">
        <v>1</v>
      </c>
      <c r="BD103" t="s">
        <v>3</v>
      </c>
      <c r="BE103" t="s">
        <v>3</v>
      </c>
      <c r="BF103" t="s">
        <v>3</v>
      </c>
      <c r="BG103" t="s">
        <v>3</v>
      </c>
      <c r="BH103">
        <v>0</v>
      </c>
      <c r="BI103">
        <v>4</v>
      </c>
      <c r="BJ103" t="s">
        <v>70</v>
      </c>
      <c r="BM103">
        <v>0</v>
      </c>
      <c r="BN103">
        <v>0</v>
      </c>
      <c r="BO103" t="s">
        <v>3</v>
      </c>
      <c r="BP103">
        <v>0</v>
      </c>
      <c r="BQ103">
        <v>1</v>
      </c>
      <c r="BR103">
        <v>0</v>
      </c>
      <c r="BS103">
        <v>1</v>
      </c>
      <c r="BT103">
        <v>1</v>
      </c>
      <c r="BU103">
        <v>1</v>
      </c>
      <c r="BV103">
        <v>1</v>
      </c>
      <c r="BW103">
        <v>1</v>
      </c>
      <c r="BX103">
        <v>1</v>
      </c>
      <c r="BY103" t="s">
        <v>3</v>
      </c>
      <c r="BZ103">
        <v>70</v>
      </c>
      <c r="CA103">
        <v>10</v>
      </c>
      <c r="CE103">
        <v>0</v>
      </c>
      <c r="CF103">
        <v>0</v>
      </c>
      <c r="CG103">
        <v>0</v>
      </c>
      <c r="CM103">
        <v>0</v>
      </c>
      <c r="CN103" t="s">
        <v>3</v>
      </c>
      <c r="CO103">
        <v>0</v>
      </c>
      <c r="CP103">
        <f t="shared" si="97"/>
        <v>18219.05</v>
      </c>
      <c r="CQ103">
        <f t="shared" si="98"/>
        <v>34547.699999999997</v>
      </c>
      <c r="CR103">
        <f t="shared" si="99"/>
        <v>177.81</v>
      </c>
      <c r="CS103">
        <f t="shared" si="100"/>
        <v>96.53</v>
      </c>
      <c r="CT103">
        <f t="shared" si="101"/>
        <v>14782.81</v>
      </c>
      <c r="CU103">
        <f t="shared" si="102"/>
        <v>0</v>
      </c>
      <c r="CV103">
        <f t="shared" si="103"/>
        <v>72.95</v>
      </c>
      <c r="CW103">
        <f t="shared" si="104"/>
        <v>0</v>
      </c>
      <c r="CX103">
        <f t="shared" si="105"/>
        <v>0</v>
      </c>
      <c r="CY103">
        <f t="shared" si="106"/>
        <v>3808.0489999999995</v>
      </c>
      <c r="CZ103">
        <f t="shared" si="107"/>
        <v>544.00699999999995</v>
      </c>
      <c r="DC103" t="s">
        <v>3</v>
      </c>
      <c r="DD103" t="s">
        <v>3</v>
      </c>
      <c r="DE103" t="s">
        <v>3</v>
      </c>
      <c r="DF103" t="s">
        <v>3</v>
      </c>
      <c r="DG103" t="s">
        <v>3</v>
      </c>
      <c r="DH103" t="s">
        <v>3</v>
      </c>
      <c r="DI103" t="s">
        <v>3</v>
      </c>
      <c r="DJ103" t="s">
        <v>3</v>
      </c>
      <c r="DK103" t="s">
        <v>3</v>
      </c>
      <c r="DL103" t="s">
        <v>3</v>
      </c>
      <c r="DM103" t="s">
        <v>3</v>
      </c>
      <c r="DN103">
        <v>0</v>
      </c>
      <c r="DO103">
        <v>0</v>
      </c>
      <c r="DP103">
        <v>1</v>
      </c>
      <c r="DQ103">
        <v>1</v>
      </c>
      <c r="DU103">
        <v>1003</v>
      </c>
      <c r="DV103" t="s">
        <v>69</v>
      </c>
      <c r="DW103" t="s">
        <v>69</v>
      </c>
      <c r="DX103">
        <v>100</v>
      </c>
      <c r="EE103">
        <v>52362078</v>
      </c>
      <c r="EF103">
        <v>1</v>
      </c>
      <c r="EG103" t="s">
        <v>22</v>
      </c>
      <c r="EH103">
        <v>0</v>
      </c>
      <c r="EI103" t="s">
        <v>3</v>
      </c>
      <c r="EJ103">
        <v>4</v>
      </c>
      <c r="EK103">
        <v>0</v>
      </c>
      <c r="EL103" t="s">
        <v>23</v>
      </c>
      <c r="EM103" t="s">
        <v>24</v>
      </c>
      <c r="EO103" t="s">
        <v>3</v>
      </c>
      <c r="EQ103">
        <v>131072</v>
      </c>
      <c r="ER103">
        <v>49508.32</v>
      </c>
      <c r="ES103">
        <v>34547.699999999997</v>
      </c>
      <c r="ET103">
        <v>177.81</v>
      </c>
      <c r="EU103">
        <v>96.53</v>
      </c>
      <c r="EV103">
        <v>14782.81</v>
      </c>
      <c r="EW103">
        <v>72.95</v>
      </c>
      <c r="EX103">
        <v>0</v>
      </c>
      <c r="EY103">
        <v>0</v>
      </c>
      <c r="FQ103">
        <v>0</v>
      </c>
      <c r="FR103">
        <f t="shared" si="108"/>
        <v>0</v>
      </c>
      <c r="FS103">
        <v>0</v>
      </c>
      <c r="FX103">
        <v>70</v>
      </c>
      <c r="FY103">
        <v>10</v>
      </c>
      <c r="GA103" t="s">
        <v>3</v>
      </c>
      <c r="GD103">
        <v>0</v>
      </c>
      <c r="GF103">
        <v>-280608707</v>
      </c>
      <c r="GG103">
        <v>2</v>
      </c>
      <c r="GH103">
        <v>1</v>
      </c>
      <c r="GI103">
        <v>-2</v>
      </c>
      <c r="GJ103">
        <v>0</v>
      </c>
      <c r="GK103">
        <f>ROUND(R103*(R12)/100,2)</f>
        <v>38.36</v>
      </c>
      <c r="GL103">
        <f t="shared" si="109"/>
        <v>0</v>
      </c>
      <c r="GM103">
        <f t="shared" si="110"/>
        <v>22609.47</v>
      </c>
      <c r="GN103">
        <f t="shared" si="111"/>
        <v>0</v>
      </c>
      <c r="GO103">
        <f t="shared" si="112"/>
        <v>0</v>
      </c>
      <c r="GP103">
        <f t="shared" si="113"/>
        <v>22609.47</v>
      </c>
      <c r="GR103">
        <v>0</v>
      </c>
      <c r="GS103">
        <v>3</v>
      </c>
      <c r="GT103">
        <v>0</v>
      </c>
      <c r="GU103" t="s">
        <v>3</v>
      </c>
      <c r="GV103">
        <f t="shared" si="114"/>
        <v>0</v>
      </c>
      <c r="GW103">
        <v>1</v>
      </c>
      <c r="GX103">
        <f t="shared" si="115"/>
        <v>0</v>
      </c>
      <c r="HA103">
        <v>0</v>
      </c>
      <c r="HB103">
        <v>0</v>
      </c>
      <c r="HC103">
        <f t="shared" si="116"/>
        <v>0</v>
      </c>
      <c r="HE103" t="s">
        <v>3</v>
      </c>
      <c r="HF103" t="s">
        <v>3</v>
      </c>
      <c r="IK103">
        <v>0</v>
      </c>
    </row>
    <row r="104" spans="1:245" x14ac:dyDescent="0.2">
      <c r="A104">
        <v>17</v>
      </c>
      <c r="B104">
        <v>1</v>
      </c>
      <c r="C104">
        <f>ROW(SmtRes!A126)</f>
        <v>126</v>
      </c>
      <c r="D104">
        <f>ROW(EtalonRes!A119)</f>
        <v>119</v>
      </c>
      <c r="E104" t="s">
        <v>190</v>
      </c>
      <c r="F104" t="s">
        <v>72</v>
      </c>
      <c r="G104" t="s">
        <v>191</v>
      </c>
      <c r="H104" t="s">
        <v>74</v>
      </c>
      <c r="I104">
        <f>ROUND(5/100,9)</f>
        <v>0.05</v>
      </c>
      <c r="J104">
        <v>0</v>
      </c>
      <c r="O104">
        <f t="shared" si="77"/>
        <v>12368.98</v>
      </c>
      <c r="P104">
        <f t="shared" si="78"/>
        <v>892.64</v>
      </c>
      <c r="Q104">
        <f t="shared" si="79"/>
        <v>27.21</v>
      </c>
      <c r="R104">
        <f t="shared" si="80"/>
        <v>3.4</v>
      </c>
      <c r="S104">
        <f t="shared" si="81"/>
        <v>11449.13</v>
      </c>
      <c r="T104">
        <f t="shared" si="82"/>
        <v>0</v>
      </c>
      <c r="U104">
        <f t="shared" si="83"/>
        <v>45.137500000000003</v>
      </c>
      <c r="V104">
        <f t="shared" si="84"/>
        <v>0</v>
      </c>
      <c r="W104">
        <f t="shared" si="85"/>
        <v>0</v>
      </c>
      <c r="X104">
        <f t="shared" si="86"/>
        <v>8014.39</v>
      </c>
      <c r="Y104">
        <f t="shared" si="87"/>
        <v>1144.9100000000001</v>
      </c>
      <c r="AA104">
        <v>52430918</v>
      </c>
      <c r="AB104">
        <f t="shared" si="88"/>
        <v>247379.69</v>
      </c>
      <c r="AC104">
        <f t="shared" si="89"/>
        <v>17852.89</v>
      </c>
      <c r="AD104">
        <f t="shared" si="90"/>
        <v>544.27</v>
      </c>
      <c r="AE104">
        <f t="shared" si="91"/>
        <v>67.94</v>
      </c>
      <c r="AF104">
        <f t="shared" si="92"/>
        <v>228982.53</v>
      </c>
      <c r="AG104">
        <f t="shared" si="93"/>
        <v>0</v>
      </c>
      <c r="AH104">
        <f t="shared" si="94"/>
        <v>902.75</v>
      </c>
      <c r="AI104">
        <f t="shared" si="95"/>
        <v>0</v>
      </c>
      <c r="AJ104">
        <f t="shared" si="96"/>
        <v>0</v>
      </c>
      <c r="AK104">
        <v>247379.69</v>
      </c>
      <c r="AL104">
        <v>17852.89</v>
      </c>
      <c r="AM104">
        <v>544.27</v>
      </c>
      <c r="AN104">
        <v>67.94</v>
      </c>
      <c r="AO104">
        <v>228982.53</v>
      </c>
      <c r="AP104">
        <v>0</v>
      </c>
      <c r="AQ104">
        <v>902.75</v>
      </c>
      <c r="AR104">
        <v>0</v>
      </c>
      <c r="AS104">
        <v>0</v>
      </c>
      <c r="AT104">
        <v>70</v>
      </c>
      <c r="AU104">
        <v>10</v>
      </c>
      <c r="AV104">
        <v>1</v>
      </c>
      <c r="AW104">
        <v>1</v>
      </c>
      <c r="AZ104">
        <v>1</v>
      </c>
      <c r="BA104">
        <v>1</v>
      </c>
      <c r="BB104">
        <v>1</v>
      </c>
      <c r="BC104">
        <v>1</v>
      </c>
      <c r="BD104" t="s">
        <v>3</v>
      </c>
      <c r="BE104" t="s">
        <v>3</v>
      </c>
      <c r="BF104" t="s">
        <v>3</v>
      </c>
      <c r="BG104" t="s">
        <v>3</v>
      </c>
      <c r="BH104">
        <v>0</v>
      </c>
      <c r="BI104">
        <v>4</v>
      </c>
      <c r="BJ104" t="s">
        <v>75</v>
      </c>
      <c r="BM104">
        <v>0</v>
      </c>
      <c r="BN104">
        <v>0</v>
      </c>
      <c r="BO104" t="s">
        <v>3</v>
      </c>
      <c r="BP104">
        <v>0</v>
      </c>
      <c r="BQ104">
        <v>1</v>
      </c>
      <c r="BR104">
        <v>0</v>
      </c>
      <c r="BS104">
        <v>1</v>
      </c>
      <c r="BT104">
        <v>1</v>
      </c>
      <c r="BU104">
        <v>1</v>
      </c>
      <c r="BV104">
        <v>1</v>
      </c>
      <c r="BW104">
        <v>1</v>
      </c>
      <c r="BX104">
        <v>1</v>
      </c>
      <c r="BY104" t="s">
        <v>3</v>
      </c>
      <c r="BZ104">
        <v>70</v>
      </c>
      <c r="CA104">
        <v>10</v>
      </c>
      <c r="CE104">
        <v>0</v>
      </c>
      <c r="CF104">
        <v>0</v>
      </c>
      <c r="CG104">
        <v>0</v>
      </c>
      <c r="CM104">
        <v>0</v>
      </c>
      <c r="CN104" t="s">
        <v>3</v>
      </c>
      <c r="CO104">
        <v>0</v>
      </c>
      <c r="CP104">
        <f t="shared" si="97"/>
        <v>12368.98</v>
      </c>
      <c r="CQ104">
        <f t="shared" si="98"/>
        <v>17852.89</v>
      </c>
      <c r="CR104">
        <f t="shared" si="99"/>
        <v>544.27</v>
      </c>
      <c r="CS104">
        <f t="shared" si="100"/>
        <v>67.94</v>
      </c>
      <c r="CT104">
        <f t="shared" si="101"/>
        <v>228982.53</v>
      </c>
      <c r="CU104">
        <f t="shared" si="102"/>
        <v>0</v>
      </c>
      <c r="CV104">
        <f t="shared" si="103"/>
        <v>902.75</v>
      </c>
      <c r="CW104">
        <f t="shared" si="104"/>
        <v>0</v>
      </c>
      <c r="CX104">
        <f t="shared" si="105"/>
        <v>0</v>
      </c>
      <c r="CY104">
        <f t="shared" si="106"/>
        <v>8014.3909999999996</v>
      </c>
      <c r="CZ104">
        <f t="shared" si="107"/>
        <v>1144.9129999999998</v>
      </c>
      <c r="DC104" t="s">
        <v>3</v>
      </c>
      <c r="DD104" t="s">
        <v>3</v>
      </c>
      <c r="DE104" t="s">
        <v>3</v>
      </c>
      <c r="DF104" t="s">
        <v>3</v>
      </c>
      <c r="DG104" t="s">
        <v>3</v>
      </c>
      <c r="DH104" t="s">
        <v>3</v>
      </c>
      <c r="DI104" t="s">
        <v>3</v>
      </c>
      <c r="DJ104" t="s">
        <v>3</v>
      </c>
      <c r="DK104" t="s">
        <v>3</v>
      </c>
      <c r="DL104" t="s">
        <v>3</v>
      </c>
      <c r="DM104" t="s">
        <v>3</v>
      </c>
      <c r="DN104">
        <v>0</v>
      </c>
      <c r="DO104">
        <v>0</v>
      </c>
      <c r="DP104">
        <v>1</v>
      </c>
      <c r="DQ104">
        <v>1</v>
      </c>
      <c r="DU104">
        <v>1010</v>
      </c>
      <c r="DV104" t="s">
        <v>74</v>
      </c>
      <c r="DW104" t="s">
        <v>74</v>
      </c>
      <c r="DX104">
        <v>100</v>
      </c>
      <c r="EE104">
        <v>52362078</v>
      </c>
      <c r="EF104">
        <v>1</v>
      </c>
      <c r="EG104" t="s">
        <v>22</v>
      </c>
      <c r="EH104">
        <v>0</v>
      </c>
      <c r="EI104" t="s">
        <v>3</v>
      </c>
      <c r="EJ104">
        <v>4</v>
      </c>
      <c r="EK104">
        <v>0</v>
      </c>
      <c r="EL104" t="s">
        <v>23</v>
      </c>
      <c r="EM104" t="s">
        <v>24</v>
      </c>
      <c r="EO104" t="s">
        <v>3</v>
      </c>
      <c r="EQ104">
        <v>131072</v>
      </c>
      <c r="ER104">
        <v>247379.69</v>
      </c>
      <c r="ES104">
        <v>17852.89</v>
      </c>
      <c r="ET104">
        <v>544.27</v>
      </c>
      <c r="EU104">
        <v>67.94</v>
      </c>
      <c r="EV104">
        <v>228982.53</v>
      </c>
      <c r="EW104">
        <v>902.75</v>
      </c>
      <c r="EX104">
        <v>0</v>
      </c>
      <c r="EY104">
        <v>0</v>
      </c>
      <c r="FQ104">
        <v>0</v>
      </c>
      <c r="FR104">
        <f t="shared" si="108"/>
        <v>0</v>
      </c>
      <c r="FS104">
        <v>0</v>
      </c>
      <c r="FX104">
        <v>70</v>
      </c>
      <c r="FY104">
        <v>10</v>
      </c>
      <c r="GA104" t="s">
        <v>3</v>
      </c>
      <c r="GD104">
        <v>0</v>
      </c>
      <c r="GF104">
        <v>1922925453</v>
      </c>
      <c r="GG104">
        <v>2</v>
      </c>
      <c r="GH104">
        <v>1</v>
      </c>
      <c r="GI104">
        <v>-2</v>
      </c>
      <c r="GJ104">
        <v>0</v>
      </c>
      <c r="GK104">
        <f>ROUND(R104*(R12)/100,2)</f>
        <v>3.67</v>
      </c>
      <c r="GL104">
        <f t="shared" si="109"/>
        <v>0</v>
      </c>
      <c r="GM104">
        <f t="shared" si="110"/>
        <v>21531.95</v>
      </c>
      <c r="GN104">
        <f t="shared" si="111"/>
        <v>0</v>
      </c>
      <c r="GO104">
        <f t="shared" si="112"/>
        <v>0</v>
      </c>
      <c r="GP104">
        <f t="shared" si="113"/>
        <v>21531.95</v>
      </c>
      <c r="GR104">
        <v>0</v>
      </c>
      <c r="GS104">
        <v>3</v>
      </c>
      <c r="GT104">
        <v>0</v>
      </c>
      <c r="GU104" t="s">
        <v>3</v>
      </c>
      <c r="GV104">
        <f t="shared" si="114"/>
        <v>0</v>
      </c>
      <c r="GW104">
        <v>1</v>
      </c>
      <c r="GX104">
        <f t="shared" si="115"/>
        <v>0</v>
      </c>
      <c r="HA104">
        <v>0</v>
      </c>
      <c r="HB104">
        <v>0</v>
      </c>
      <c r="HC104">
        <f t="shared" si="116"/>
        <v>0</v>
      </c>
      <c r="HE104" t="s">
        <v>3</v>
      </c>
      <c r="HF104" t="s">
        <v>3</v>
      </c>
      <c r="IK104">
        <v>0</v>
      </c>
    </row>
    <row r="105" spans="1:245" x14ac:dyDescent="0.2">
      <c r="A105">
        <v>18</v>
      </c>
      <c r="B105">
        <v>1</v>
      </c>
      <c r="C105">
        <v>119</v>
      </c>
      <c r="E105" t="s">
        <v>192</v>
      </c>
      <c r="F105" t="s">
        <v>77</v>
      </c>
      <c r="G105" t="s">
        <v>78</v>
      </c>
      <c r="H105" t="s">
        <v>79</v>
      </c>
      <c r="I105">
        <f>I104*J105</f>
        <v>-1.8500000000000001E-3</v>
      </c>
      <c r="J105">
        <v>-3.6999999999999998E-2</v>
      </c>
      <c r="O105">
        <f t="shared" si="77"/>
        <v>-19.28</v>
      </c>
      <c r="P105">
        <f t="shared" si="78"/>
        <v>-19.28</v>
      </c>
      <c r="Q105">
        <f t="shared" si="79"/>
        <v>0</v>
      </c>
      <c r="R105">
        <f t="shared" si="80"/>
        <v>0</v>
      </c>
      <c r="S105">
        <f t="shared" si="81"/>
        <v>0</v>
      </c>
      <c r="T105">
        <f t="shared" si="82"/>
        <v>0</v>
      </c>
      <c r="U105">
        <f t="shared" si="83"/>
        <v>0</v>
      </c>
      <c r="V105">
        <f t="shared" si="84"/>
        <v>0</v>
      </c>
      <c r="W105">
        <f t="shared" si="85"/>
        <v>0</v>
      </c>
      <c r="X105">
        <f t="shared" si="86"/>
        <v>0</v>
      </c>
      <c r="Y105">
        <f t="shared" si="87"/>
        <v>0</v>
      </c>
      <c r="AA105">
        <v>52430918</v>
      </c>
      <c r="AB105">
        <f t="shared" si="88"/>
        <v>10419.43</v>
      </c>
      <c r="AC105">
        <f t="shared" si="89"/>
        <v>10419.43</v>
      </c>
      <c r="AD105">
        <f t="shared" si="90"/>
        <v>0</v>
      </c>
      <c r="AE105">
        <f t="shared" si="91"/>
        <v>0</v>
      </c>
      <c r="AF105">
        <f t="shared" si="92"/>
        <v>0</v>
      </c>
      <c r="AG105">
        <f t="shared" si="93"/>
        <v>0</v>
      </c>
      <c r="AH105">
        <f t="shared" si="94"/>
        <v>0</v>
      </c>
      <c r="AI105">
        <f t="shared" si="95"/>
        <v>0</v>
      </c>
      <c r="AJ105">
        <f t="shared" si="96"/>
        <v>0</v>
      </c>
      <c r="AK105">
        <v>10419.43</v>
      </c>
      <c r="AL105">
        <v>10419.43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70</v>
      </c>
      <c r="AU105">
        <v>10</v>
      </c>
      <c r="AV105">
        <v>1</v>
      </c>
      <c r="AW105">
        <v>1</v>
      </c>
      <c r="AZ105">
        <v>1</v>
      </c>
      <c r="BA105">
        <v>1</v>
      </c>
      <c r="BB105">
        <v>1</v>
      </c>
      <c r="BC105">
        <v>1</v>
      </c>
      <c r="BD105" t="s">
        <v>3</v>
      </c>
      <c r="BE105" t="s">
        <v>3</v>
      </c>
      <c r="BF105" t="s">
        <v>3</v>
      </c>
      <c r="BG105" t="s">
        <v>3</v>
      </c>
      <c r="BH105">
        <v>3</v>
      </c>
      <c r="BI105">
        <v>4</v>
      </c>
      <c r="BJ105" t="s">
        <v>80</v>
      </c>
      <c r="BM105">
        <v>0</v>
      </c>
      <c r="BN105">
        <v>0</v>
      </c>
      <c r="BO105" t="s">
        <v>3</v>
      </c>
      <c r="BP105">
        <v>0</v>
      </c>
      <c r="BQ105">
        <v>1</v>
      </c>
      <c r="BR105">
        <v>1</v>
      </c>
      <c r="BS105">
        <v>1</v>
      </c>
      <c r="BT105">
        <v>1</v>
      </c>
      <c r="BU105">
        <v>1</v>
      </c>
      <c r="BV105">
        <v>1</v>
      </c>
      <c r="BW105">
        <v>1</v>
      </c>
      <c r="BX105">
        <v>1</v>
      </c>
      <c r="BY105" t="s">
        <v>3</v>
      </c>
      <c r="BZ105">
        <v>70</v>
      </c>
      <c r="CA105">
        <v>10</v>
      </c>
      <c r="CE105">
        <v>0</v>
      </c>
      <c r="CF105">
        <v>0</v>
      </c>
      <c r="CG105">
        <v>0</v>
      </c>
      <c r="CM105">
        <v>0</v>
      </c>
      <c r="CN105" t="s">
        <v>3</v>
      </c>
      <c r="CO105">
        <v>0</v>
      </c>
      <c r="CP105">
        <f t="shared" si="97"/>
        <v>-19.28</v>
      </c>
      <c r="CQ105">
        <f t="shared" si="98"/>
        <v>10419.43</v>
      </c>
      <c r="CR105">
        <f t="shared" si="99"/>
        <v>0</v>
      </c>
      <c r="CS105">
        <f t="shared" si="100"/>
        <v>0</v>
      </c>
      <c r="CT105">
        <f t="shared" si="101"/>
        <v>0</v>
      </c>
      <c r="CU105">
        <f t="shared" si="102"/>
        <v>0</v>
      </c>
      <c r="CV105">
        <f t="shared" si="103"/>
        <v>0</v>
      </c>
      <c r="CW105">
        <f t="shared" si="104"/>
        <v>0</v>
      </c>
      <c r="CX105">
        <f t="shared" si="105"/>
        <v>0</v>
      </c>
      <c r="CY105">
        <f t="shared" si="106"/>
        <v>0</v>
      </c>
      <c r="CZ105">
        <f t="shared" si="107"/>
        <v>0</v>
      </c>
      <c r="DC105" t="s">
        <v>3</v>
      </c>
      <c r="DD105" t="s">
        <v>3</v>
      </c>
      <c r="DE105" t="s">
        <v>3</v>
      </c>
      <c r="DF105" t="s">
        <v>3</v>
      </c>
      <c r="DG105" t="s">
        <v>3</v>
      </c>
      <c r="DH105" t="s">
        <v>3</v>
      </c>
      <c r="DI105" t="s">
        <v>3</v>
      </c>
      <c r="DJ105" t="s">
        <v>3</v>
      </c>
      <c r="DK105" t="s">
        <v>3</v>
      </c>
      <c r="DL105" t="s">
        <v>3</v>
      </c>
      <c r="DM105" t="s">
        <v>3</v>
      </c>
      <c r="DN105">
        <v>0</v>
      </c>
      <c r="DO105">
        <v>0</v>
      </c>
      <c r="DP105">
        <v>1</v>
      </c>
      <c r="DQ105">
        <v>1</v>
      </c>
      <c r="DU105">
        <v>1010</v>
      </c>
      <c r="DV105" t="s">
        <v>79</v>
      </c>
      <c r="DW105" t="s">
        <v>79</v>
      </c>
      <c r="DX105">
        <v>1000</v>
      </c>
      <c r="EE105">
        <v>52362078</v>
      </c>
      <c r="EF105">
        <v>1</v>
      </c>
      <c r="EG105" t="s">
        <v>22</v>
      </c>
      <c r="EH105">
        <v>0</v>
      </c>
      <c r="EI105" t="s">
        <v>3</v>
      </c>
      <c r="EJ105">
        <v>4</v>
      </c>
      <c r="EK105">
        <v>0</v>
      </c>
      <c r="EL105" t="s">
        <v>23</v>
      </c>
      <c r="EM105" t="s">
        <v>24</v>
      </c>
      <c r="EO105" t="s">
        <v>3</v>
      </c>
      <c r="EQ105">
        <v>32768</v>
      </c>
      <c r="ER105">
        <v>10419.43</v>
      </c>
      <c r="ES105">
        <v>10419.43</v>
      </c>
      <c r="ET105">
        <v>0</v>
      </c>
      <c r="EU105">
        <v>0</v>
      </c>
      <c r="EV105">
        <v>0</v>
      </c>
      <c r="EW105">
        <v>0</v>
      </c>
      <c r="EX105">
        <v>0</v>
      </c>
      <c r="FQ105">
        <v>0</v>
      </c>
      <c r="FR105">
        <f t="shared" si="108"/>
        <v>0</v>
      </c>
      <c r="FS105">
        <v>0</v>
      </c>
      <c r="FX105">
        <v>70</v>
      </c>
      <c r="FY105">
        <v>10</v>
      </c>
      <c r="GA105" t="s">
        <v>3</v>
      </c>
      <c r="GD105">
        <v>0</v>
      </c>
      <c r="GF105">
        <v>-477329452</v>
      </c>
      <c r="GG105">
        <v>2</v>
      </c>
      <c r="GH105">
        <v>1</v>
      </c>
      <c r="GI105">
        <v>-2</v>
      </c>
      <c r="GJ105">
        <v>0</v>
      </c>
      <c r="GK105">
        <f>ROUND(R105*(R12)/100,2)</f>
        <v>0</v>
      </c>
      <c r="GL105">
        <f t="shared" si="109"/>
        <v>0</v>
      </c>
      <c r="GM105">
        <f t="shared" si="110"/>
        <v>-19.28</v>
      </c>
      <c r="GN105">
        <f t="shared" si="111"/>
        <v>0</v>
      </c>
      <c r="GO105">
        <f t="shared" si="112"/>
        <v>0</v>
      </c>
      <c r="GP105">
        <f t="shared" si="113"/>
        <v>-19.28</v>
      </c>
      <c r="GR105">
        <v>0</v>
      </c>
      <c r="GS105">
        <v>3</v>
      </c>
      <c r="GT105">
        <v>0</v>
      </c>
      <c r="GU105" t="s">
        <v>3</v>
      </c>
      <c r="GV105">
        <f t="shared" si="114"/>
        <v>0</v>
      </c>
      <c r="GW105">
        <v>1</v>
      </c>
      <c r="GX105">
        <f t="shared" si="115"/>
        <v>0</v>
      </c>
      <c r="HA105">
        <v>0</v>
      </c>
      <c r="HB105">
        <v>0</v>
      </c>
      <c r="HC105">
        <f t="shared" si="116"/>
        <v>0</v>
      </c>
      <c r="HE105" t="s">
        <v>3</v>
      </c>
      <c r="HF105" t="s">
        <v>3</v>
      </c>
      <c r="IK105">
        <v>0</v>
      </c>
    </row>
    <row r="106" spans="1:245" x14ac:dyDescent="0.2">
      <c r="A106">
        <v>18</v>
      </c>
      <c r="B106">
        <v>1</v>
      </c>
      <c r="C106">
        <v>117</v>
      </c>
      <c r="E106" t="s">
        <v>193</v>
      </c>
      <c r="F106" t="s">
        <v>82</v>
      </c>
      <c r="G106" t="s">
        <v>83</v>
      </c>
      <c r="H106" t="s">
        <v>84</v>
      </c>
      <c r="I106">
        <f>I104*J106</f>
        <v>-0.27200000000000002</v>
      </c>
      <c r="J106">
        <v>-5.44</v>
      </c>
      <c r="O106">
        <f t="shared" si="77"/>
        <v>-2.94</v>
      </c>
      <c r="P106">
        <f t="shared" si="78"/>
        <v>0</v>
      </c>
      <c r="Q106">
        <f t="shared" si="79"/>
        <v>-2.94</v>
      </c>
      <c r="R106">
        <f t="shared" si="80"/>
        <v>-0.81</v>
      </c>
      <c r="S106">
        <f t="shared" si="81"/>
        <v>0</v>
      </c>
      <c r="T106">
        <f t="shared" si="82"/>
        <v>0</v>
      </c>
      <c r="U106">
        <f t="shared" si="83"/>
        <v>0</v>
      </c>
      <c r="V106">
        <f t="shared" si="84"/>
        <v>0</v>
      </c>
      <c r="W106">
        <f t="shared" si="85"/>
        <v>0</v>
      </c>
      <c r="X106">
        <f t="shared" si="86"/>
        <v>0</v>
      </c>
      <c r="Y106">
        <f t="shared" si="87"/>
        <v>0</v>
      </c>
      <c r="AA106">
        <v>52430918</v>
      </c>
      <c r="AB106">
        <f t="shared" si="88"/>
        <v>10.82</v>
      </c>
      <c r="AC106">
        <f t="shared" si="89"/>
        <v>0</v>
      </c>
      <c r="AD106">
        <f t="shared" si="90"/>
        <v>10.82</v>
      </c>
      <c r="AE106">
        <f t="shared" si="91"/>
        <v>2.97</v>
      </c>
      <c r="AF106">
        <f t="shared" si="92"/>
        <v>0</v>
      </c>
      <c r="AG106">
        <f t="shared" si="93"/>
        <v>0</v>
      </c>
      <c r="AH106">
        <f t="shared" si="94"/>
        <v>0</v>
      </c>
      <c r="AI106">
        <f t="shared" si="95"/>
        <v>0</v>
      </c>
      <c r="AJ106">
        <f t="shared" si="96"/>
        <v>0</v>
      </c>
      <c r="AK106">
        <v>10.82</v>
      </c>
      <c r="AL106">
        <v>0</v>
      </c>
      <c r="AM106">
        <v>10.82</v>
      </c>
      <c r="AN106">
        <v>2.97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70</v>
      </c>
      <c r="AU106">
        <v>10</v>
      </c>
      <c r="AV106">
        <v>1</v>
      </c>
      <c r="AW106">
        <v>1</v>
      </c>
      <c r="AZ106">
        <v>1</v>
      </c>
      <c r="BA106">
        <v>1</v>
      </c>
      <c r="BB106">
        <v>1</v>
      </c>
      <c r="BC106">
        <v>1</v>
      </c>
      <c r="BD106" t="s">
        <v>3</v>
      </c>
      <c r="BE106" t="s">
        <v>3</v>
      </c>
      <c r="BF106" t="s">
        <v>3</v>
      </c>
      <c r="BG106" t="s">
        <v>3</v>
      </c>
      <c r="BH106">
        <v>2</v>
      </c>
      <c r="BI106">
        <v>4</v>
      </c>
      <c r="BJ106" t="s">
        <v>85</v>
      </c>
      <c r="BM106">
        <v>0</v>
      </c>
      <c r="BN106">
        <v>0</v>
      </c>
      <c r="BO106" t="s">
        <v>3</v>
      </c>
      <c r="BP106">
        <v>0</v>
      </c>
      <c r="BQ106">
        <v>1</v>
      </c>
      <c r="BR106">
        <v>1</v>
      </c>
      <c r="BS106">
        <v>1</v>
      </c>
      <c r="BT106">
        <v>1</v>
      </c>
      <c r="BU106">
        <v>1</v>
      </c>
      <c r="BV106">
        <v>1</v>
      </c>
      <c r="BW106">
        <v>1</v>
      </c>
      <c r="BX106">
        <v>1</v>
      </c>
      <c r="BY106" t="s">
        <v>3</v>
      </c>
      <c r="BZ106">
        <v>70</v>
      </c>
      <c r="CA106">
        <v>10</v>
      </c>
      <c r="CE106">
        <v>0</v>
      </c>
      <c r="CF106">
        <v>0</v>
      </c>
      <c r="CG106">
        <v>0</v>
      </c>
      <c r="CM106">
        <v>0</v>
      </c>
      <c r="CN106" t="s">
        <v>3</v>
      </c>
      <c r="CO106">
        <v>0</v>
      </c>
      <c r="CP106">
        <f t="shared" si="97"/>
        <v>-2.94</v>
      </c>
      <c r="CQ106">
        <f t="shared" si="98"/>
        <v>0</v>
      </c>
      <c r="CR106">
        <f t="shared" si="99"/>
        <v>10.82</v>
      </c>
      <c r="CS106">
        <f t="shared" si="100"/>
        <v>2.97</v>
      </c>
      <c r="CT106">
        <f t="shared" si="101"/>
        <v>0</v>
      </c>
      <c r="CU106">
        <f t="shared" si="102"/>
        <v>0</v>
      </c>
      <c r="CV106">
        <f t="shared" si="103"/>
        <v>0</v>
      </c>
      <c r="CW106">
        <f t="shared" si="104"/>
        <v>0</v>
      </c>
      <c r="CX106">
        <f t="shared" si="105"/>
        <v>0</v>
      </c>
      <c r="CY106">
        <f t="shared" si="106"/>
        <v>0</v>
      </c>
      <c r="CZ106">
        <f t="shared" si="107"/>
        <v>0</v>
      </c>
      <c r="DC106" t="s">
        <v>3</v>
      </c>
      <c r="DD106" t="s">
        <v>3</v>
      </c>
      <c r="DE106" t="s">
        <v>3</v>
      </c>
      <c r="DF106" t="s">
        <v>3</v>
      </c>
      <c r="DG106" t="s">
        <v>3</v>
      </c>
      <c r="DH106" t="s">
        <v>3</v>
      </c>
      <c r="DI106" t="s">
        <v>3</v>
      </c>
      <c r="DJ106" t="s">
        <v>3</v>
      </c>
      <c r="DK106" t="s">
        <v>3</v>
      </c>
      <c r="DL106" t="s">
        <v>3</v>
      </c>
      <c r="DM106" t="s">
        <v>3</v>
      </c>
      <c r="DN106">
        <v>0</v>
      </c>
      <c r="DO106">
        <v>0</v>
      </c>
      <c r="DP106">
        <v>1</v>
      </c>
      <c r="DQ106">
        <v>1</v>
      </c>
      <c r="DU106">
        <v>1011</v>
      </c>
      <c r="DV106" t="s">
        <v>84</v>
      </c>
      <c r="DW106" t="s">
        <v>84</v>
      </c>
      <c r="DX106">
        <v>1</v>
      </c>
      <c r="EE106">
        <v>52362078</v>
      </c>
      <c r="EF106">
        <v>1</v>
      </c>
      <c r="EG106" t="s">
        <v>22</v>
      </c>
      <c r="EH106">
        <v>0</v>
      </c>
      <c r="EI106" t="s">
        <v>3</v>
      </c>
      <c r="EJ106">
        <v>4</v>
      </c>
      <c r="EK106">
        <v>0</v>
      </c>
      <c r="EL106" t="s">
        <v>23</v>
      </c>
      <c r="EM106" t="s">
        <v>24</v>
      </c>
      <c r="EO106" t="s">
        <v>3</v>
      </c>
      <c r="EQ106">
        <v>32768</v>
      </c>
      <c r="ER106">
        <v>10.82</v>
      </c>
      <c r="ES106">
        <v>0</v>
      </c>
      <c r="ET106">
        <v>10.82</v>
      </c>
      <c r="EU106">
        <v>2.97</v>
      </c>
      <c r="EV106">
        <v>0</v>
      </c>
      <c r="EW106">
        <v>0</v>
      </c>
      <c r="EX106">
        <v>0</v>
      </c>
      <c r="FQ106">
        <v>0</v>
      </c>
      <c r="FR106">
        <f t="shared" si="108"/>
        <v>0</v>
      </c>
      <c r="FS106">
        <v>0</v>
      </c>
      <c r="FX106">
        <v>70</v>
      </c>
      <c r="FY106">
        <v>10</v>
      </c>
      <c r="GA106" t="s">
        <v>3</v>
      </c>
      <c r="GD106">
        <v>0</v>
      </c>
      <c r="GF106">
        <v>1349119844</v>
      </c>
      <c r="GG106">
        <v>2</v>
      </c>
      <c r="GH106">
        <v>1</v>
      </c>
      <c r="GI106">
        <v>-2</v>
      </c>
      <c r="GJ106">
        <v>0</v>
      </c>
      <c r="GK106">
        <f>ROUND(R106*(R12)/100,2)</f>
        <v>-0.87</v>
      </c>
      <c r="GL106">
        <f t="shared" si="109"/>
        <v>0</v>
      </c>
      <c r="GM106">
        <f t="shared" si="110"/>
        <v>-3.81</v>
      </c>
      <c r="GN106">
        <f t="shared" si="111"/>
        <v>0</v>
      </c>
      <c r="GO106">
        <f t="shared" si="112"/>
        <v>0</v>
      </c>
      <c r="GP106">
        <f t="shared" si="113"/>
        <v>-3.81</v>
      </c>
      <c r="GR106">
        <v>0</v>
      </c>
      <c r="GS106">
        <v>7</v>
      </c>
      <c r="GT106">
        <v>0</v>
      </c>
      <c r="GU106" t="s">
        <v>3</v>
      </c>
      <c r="GV106">
        <f t="shared" si="114"/>
        <v>0</v>
      </c>
      <c r="GW106">
        <v>1</v>
      </c>
      <c r="GX106">
        <f t="shared" si="115"/>
        <v>0</v>
      </c>
      <c r="HA106">
        <v>0</v>
      </c>
      <c r="HB106">
        <v>0</v>
      </c>
      <c r="HC106">
        <f t="shared" si="116"/>
        <v>0</v>
      </c>
      <c r="HE106" t="s">
        <v>3</v>
      </c>
      <c r="HF106" t="s">
        <v>3</v>
      </c>
      <c r="IK106">
        <v>0</v>
      </c>
    </row>
    <row r="107" spans="1:245" x14ac:dyDescent="0.2">
      <c r="A107">
        <v>18</v>
      </c>
      <c r="B107">
        <v>1</v>
      </c>
      <c r="C107">
        <v>116</v>
      </c>
      <c r="E107" t="s">
        <v>194</v>
      </c>
      <c r="F107" t="s">
        <v>87</v>
      </c>
      <c r="G107" t="s">
        <v>88</v>
      </c>
      <c r="H107" t="s">
        <v>84</v>
      </c>
      <c r="I107">
        <f>I104*J107</f>
        <v>-0.72499999999999998</v>
      </c>
      <c r="J107">
        <v>-14.499999999999998</v>
      </c>
      <c r="O107">
        <f t="shared" si="77"/>
        <v>-19.73</v>
      </c>
      <c r="P107">
        <f t="shared" si="78"/>
        <v>0</v>
      </c>
      <c r="Q107">
        <f t="shared" si="79"/>
        <v>-19.73</v>
      </c>
      <c r="R107">
        <f t="shared" si="80"/>
        <v>-0.09</v>
      </c>
      <c r="S107">
        <f t="shared" si="81"/>
        <v>0</v>
      </c>
      <c r="T107">
        <f t="shared" si="82"/>
        <v>0</v>
      </c>
      <c r="U107">
        <f t="shared" si="83"/>
        <v>0</v>
      </c>
      <c r="V107">
        <f t="shared" si="84"/>
        <v>0</v>
      </c>
      <c r="W107">
        <f t="shared" si="85"/>
        <v>0</v>
      </c>
      <c r="X107">
        <f t="shared" si="86"/>
        <v>0</v>
      </c>
      <c r="Y107">
        <f t="shared" si="87"/>
        <v>0</v>
      </c>
      <c r="AA107">
        <v>52430918</v>
      </c>
      <c r="AB107">
        <f t="shared" si="88"/>
        <v>27.21</v>
      </c>
      <c r="AC107">
        <f t="shared" si="89"/>
        <v>0</v>
      </c>
      <c r="AD107">
        <f t="shared" si="90"/>
        <v>27.21</v>
      </c>
      <c r="AE107">
        <f t="shared" si="91"/>
        <v>0.13</v>
      </c>
      <c r="AF107">
        <f t="shared" si="92"/>
        <v>0</v>
      </c>
      <c r="AG107">
        <f t="shared" si="93"/>
        <v>0</v>
      </c>
      <c r="AH107">
        <f t="shared" si="94"/>
        <v>0</v>
      </c>
      <c r="AI107">
        <f t="shared" si="95"/>
        <v>0</v>
      </c>
      <c r="AJ107">
        <f t="shared" si="96"/>
        <v>0</v>
      </c>
      <c r="AK107">
        <v>27.21</v>
      </c>
      <c r="AL107">
        <v>0</v>
      </c>
      <c r="AM107">
        <v>27.21</v>
      </c>
      <c r="AN107">
        <v>0.13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70</v>
      </c>
      <c r="AU107">
        <v>10</v>
      </c>
      <c r="AV107">
        <v>1</v>
      </c>
      <c r="AW107">
        <v>1</v>
      </c>
      <c r="AZ107">
        <v>1</v>
      </c>
      <c r="BA107">
        <v>1</v>
      </c>
      <c r="BB107">
        <v>1</v>
      </c>
      <c r="BC107">
        <v>1</v>
      </c>
      <c r="BD107" t="s">
        <v>3</v>
      </c>
      <c r="BE107" t="s">
        <v>3</v>
      </c>
      <c r="BF107" t="s">
        <v>3</v>
      </c>
      <c r="BG107" t="s">
        <v>3</v>
      </c>
      <c r="BH107">
        <v>2</v>
      </c>
      <c r="BI107">
        <v>4</v>
      </c>
      <c r="BJ107" t="s">
        <v>89</v>
      </c>
      <c r="BM107">
        <v>0</v>
      </c>
      <c r="BN107">
        <v>0</v>
      </c>
      <c r="BO107" t="s">
        <v>3</v>
      </c>
      <c r="BP107">
        <v>0</v>
      </c>
      <c r="BQ107">
        <v>1</v>
      </c>
      <c r="BR107">
        <v>1</v>
      </c>
      <c r="BS107">
        <v>1</v>
      </c>
      <c r="BT107">
        <v>1</v>
      </c>
      <c r="BU107">
        <v>1</v>
      </c>
      <c r="BV107">
        <v>1</v>
      </c>
      <c r="BW107">
        <v>1</v>
      </c>
      <c r="BX107">
        <v>1</v>
      </c>
      <c r="BY107" t="s">
        <v>3</v>
      </c>
      <c r="BZ107">
        <v>70</v>
      </c>
      <c r="CA107">
        <v>10</v>
      </c>
      <c r="CE107">
        <v>0</v>
      </c>
      <c r="CF107">
        <v>0</v>
      </c>
      <c r="CG107">
        <v>0</v>
      </c>
      <c r="CM107">
        <v>0</v>
      </c>
      <c r="CN107" t="s">
        <v>3</v>
      </c>
      <c r="CO107">
        <v>0</v>
      </c>
      <c r="CP107">
        <f t="shared" si="97"/>
        <v>-19.73</v>
      </c>
      <c r="CQ107">
        <f t="shared" si="98"/>
        <v>0</v>
      </c>
      <c r="CR107">
        <f t="shared" si="99"/>
        <v>27.21</v>
      </c>
      <c r="CS107">
        <f t="shared" si="100"/>
        <v>0.13</v>
      </c>
      <c r="CT107">
        <f t="shared" si="101"/>
        <v>0</v>
      </c>
      <c r="CU107">
        <f t="shared" si="102"/>
        <v>0</v>
      </c>
      <c r="CV107">
        <f t="shared" si="103"/>
        <v>0</v>
      </c>
      <c r="CW107">
        <f t="shared" si="104"/>
        <v>0</v>
      </c>
      <c r="CX107">
        <f t="shared" si="105"/>
        <v>0</v>
      </c>
      <c r="CY107">
        <f t="shared" si="106"/>
        <v>0</v>
      </c>
      <c r="CZ107">
        <f t="shared" si="107"/>
        <v>0</v>
      </c>
      <c r="DC107" t="s">
        <v>3</v>
      </c>
      <c r="DD107" t="s">
        <v>3</v>
      </c>
      <c r="DE107" t="s">
        <v>3</v>
      </c>
      <c r="DF107" t="s">
        <v>3</v>
      </c>
      <c r="DG107" t="s">
        <v>3</v>
      </c>
      <c r="DH107" t="s">
        <v>3</v>
      </c>
      <c r="DI107" t="s">
        <v>3</v>
      </c>
      <c r="DJ107" t="s">
        <v>3</v>
      </c>
      <c r="DK107" t="s">
        <v>3</v>
      </c>
      <c r="DL107" t="s">
        <v>3</v>
      </c>
      <c r="DM107" t="s">
        <v>3</v>
      </c>
      <c r="DN107">
        <v>0</v>
      </c>
      <c r="DO107">
        <v>0</v>
      </c>
      <c r="DP107">
        <v>1</v>
      </c>
      <c r="DQ107">
        <v>1</v>
      </c>
      <c r="DU107">
        <v>1011</v>
      </c>
      <c r="DV107" t="s">
        <v>84</v>
      </c>
      <c r="DW107" t="s">
        <v>84</v>
      </c>
      <c r="DX107">
        <v>1</v>
      </c>
      <c r="EE107">
        <v>52362078</v>
      </c>
      <c r="EF107">
        <v>1</v>
      </c>
      <c r="EG107" t="s">
        <v>22</v>
      </c>
      <c r="EH107">
        <v>0</v>
      </c>
      <c r="EI107" t="s">
        <v>3</v>
      </c>
      <c r="EJ107">
        <v>4</v>
      </c>
      <c r="EK107">
        <v>0</v>
      </c>
      <c r="EL107" t="s">
        <v>23</v>
      </c>
      <c r="EM107" t="s">
        <v>24</v>
      </c>
      <c r="EO107" t="s">
        <v>3</v>
      </c>
      <c r="EQ107">
        <v>32768</v>
      </c>
      <c r="ER107">
        <v>27.21</v>
      </c>
      <c r="ES107">
        <v>0</v>
      </c>
      <c r="ET107">
        <v>27.21</v>
      </c>
      <c r="EU107">
        <v>0.13</v>
      </c>
      <c r="EV107">
        <v>0</v>
      </c>
      <c r="EW107">
        <v>0</v>
      </c>
      <c r="EX107">
        <v>0</v>
      </c>
      <c r="FQ107">
        <v>0</v>
      </c>
      <c r="FR107">
        <f t="shared" si="108"/>
        <v>0</v>
      </c>
      <c r="FS107">
        <v>0</v>
      </c>
      <c r="FX107">
        <v>70</v>
      </c>
      <c r="FY107">
        <v>10</v>
      </c>
      <c r="GA107" t="s">
        <v>3</v>
      </c>
      <c r="GD107">
        <v>0</v>
      </c>
      <c r="GF107">
        <v>-1757825014</v>
      </c>
      <c r="GG107">
        <v>2</v>
      </c>
      <c r="GH107">
        <v>1</v>
      </c>
      <c r="GI107">
        <v>-2</v>
      </c>
      <c r="GJ107">
        <v>0</v>
      </c>
      <c r="GK107">
        <f>ROUND(R107*(R12)/100,2)</f>
        <v>-0.1</v>
      </c>
      <c r="GL107">
        <f t="shared" si="109"/>
        <v>0</v>
      </c>
      <c r="GM107">
        <f t="shared" si="110"/>
        <v>-19.829999999999998</v>
      </c>
      <c r="GN107">
        <f t="shared" si="111"/>
        <v>0</v>
      </c>
      <c r="GO107">
        <f t="shared" si="112"/>
        <v>0</v>
      </c>
      <c r="GP107">
        <f t="shared" si="113"/>
        <v>-19.829999999999998</v>
      </c>
      <c r="GR107">
        <v>0</v>
      </c>
      <c r="GS107">
        <v>7</v>
      </c>
      <c r="GT107">
        <v>0</v>
      </c>
      <c r="GU107" t="s">
        <v>3</v>
      </c>
      <c r="GV107">
        <f t="shared" si="114"/>
        <v>0</v>
      </c>
      <c r="GW107">
        <v>1</v>
      </c>
      <c r="GX107">
        <f t="shared" si="115"/>
        <v>0</v>
      </c>
      <c r="HA107">
        <v>0</v>
      </c>
      <c r="HB107">
        <v>0</v>
      </c>
      <c r="HC107">
        <f t="shared" si="116"/>
        <v>0</v>
      </c>
      <c r="HE107" t="s">
        <v>3</v>
      </c>
      <c r="HF107" t="s">
        <v>3</v>
      </c>
      <c r="IK107">
        <v>0</v>
      </c>
    </row>
    <row r="108" spans="1:245" x14ac:dyDescent="0.2">
      <c r="A108">
        <v>18</v>
      </c>
      <c r="B108">
        <v>1</v>
      </c>
      <c r="C108">
        <v>115</v>
      </c>
      <c r="E108" t="s">
        <v>195</v>
      </c>
      <c r="F108" t="s">
        <v>91</v>
      </c>
      <c r="G108" t="s">
        <v>92</v>
      </c>
      <c r="H108" t="s">
        <v>84</v>
      </c>
      <c r="I108">
        <f>I104*J108</f>
        <v>-4.4999999999999997E-3</v>
      </c>
      <c r="J108">
        <v>-8.9999999999999983E-2</v>
      </c>
      <c r="O108">
        <f t="shared" si="77"/>
        <v>-4.54</v>
      </c>
      <c r="P108">
        <f t="shared" si="78"/>
        <v>0</v>
      </c>
      <c r="Q108">
        <f t="shared" si="79"/>
        <v>-4.54</v>
      </c>
      <c r="R108">
        <f t="shared" si="80"/>
        <v>-2.4900000000000002</v>
      </c>
      <c r="S108">
        <f t="shared" si="81"/>
        <v>0</v>
      </c>
      <c r="T108">
        <f t="shared" si="82"/>
        <v>0</v>
      </c>
      <c r="U108">
        <f t="shared" si="83"/>
        <v>0</v>
      </c>
      <c r="V108">
        <f t="shared" si="84"/>
        <v>0</v>
      </c>
      <c r="W108">
        <f t="shared" si="85"/>
        <v>0</v>
      </c>
      <c r="X108">
        <f t="shared" si="86"/>
        <v>0</v>
      </c>
      <c r="Y108">
        <f t="shared" si="87"/>
        <v>0</v>
      </c>
      <c r="AA108">
        <v>52430918</v>
      </c>
      <c r="AB108">
        <f t="shared" si="88"/>
        <v>1009.65</v>
      </c>
      <c r="AC108">
        <f t="shared" si="89"/>
        <v>0</v>
      </c>
      <c r="AD108">
        <f t="shared" si="90"/>
        <v>1009.65</v>
      </c>
      <c r="AE108">
        <f t="shared" si="91"/>
        <v>554.42999999999995</v>
      </c>
      <c r="AF108">
        <f t="shared" si="92"/>
        <v>0</v>
      </c>
      <c r="AG108">
        <f t="shared" si="93"/>
        <v>0</v>
      </c>
      <c r="AH108">
        <f t="shared" si="94"/>
        <v>0</v>
      </c>
      <c r="AI108">
        <f t="shared" si="95"/>
        <v>0</v>
      </c>
      <c r="AJ108">
        <f t="shared" si="96"/>
        <v>0</v>
      </c>
      <c r="AK108">
        <v>1009.65</v>
      </c>
      <c r="AL108">
        <v>0</v>
      </c>
      <c r="AM108">
        <v>1009.65</v>
      </c>
      <c r="AN108">
        <v>554.42999999999995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70</v>
      </c>
      <c r="AU108">
        <v>10</v>
      </c>
      <c r="AV108">
        <v>1</v>
      </c>
      <c r="AW108">
        <v>1</v>
      </c>
      <c r="AZ108">
        <v>1</v>
      </c>
      <c r="BA108">
        <v>1</v>
      </c>
      <c r="BB108">
        <v>1</v>
      </c>
      <c r="BC108">
        <v>1</v>
      </c>
      <c r="BD108" t="s">
        <v>3</v>
      </c>
      <c r="BE108" t="s">
        <v>3</v>
      </c>
      <c r="BF108" t="s">
        <v>3</v>
      </c>
      <c r="BG108" t="s">
        <v>3</v>
      </c>
      <c r="BH108">
        <v>2</v>
      </c>
      <c r="BI108">
        <v>4</v>
      </c>
      <c r="BJ108" t="s">
        <v>93</v>
      </c>
      <c r="BM108">
        <v>0</v>
      </c>
      <c r="BN108">
        <v>0</v>
      </c>
      <c r="BO108" t="s">
        <v>3</v>
      </c>
      <c r="BP108">
        <v>0</v>
      </c>
      <c r="BQ108">
        <v>1</v>
      </c>
      <c r="BR108">
        <v>1</v>
      </c>
      <c r="BS108">
        <v>1</v>
      </c>
      <c r="BT108">
        <v>1</v>
      </c>
      <c r="BU108">
        <v>1</v>
      </c>
      <c r="BV108">
        <v>1</v>
      </c>
      <c r="BW108">
        <v>1</v>
      </c>
      <c r="BX108">
        <v>1</v>
      </c>
      <c r="BY108" t="s">
        <v>3</v>
      </c>
      <c r="BZ108">
        <v>70</v>
      </c>
      <c r="CA108">
        <v>10</v>
      </c>
      <c r="CE108">
        <v>0</v>
      </c>
      <c r="CF108">
        <v>0</v>
      </c>
      <c r="CG108">
        <v>0</v>
      </c>
      <c r="CM108">
        <v>0</v>
      </c>
      <c r="CN108" t="s">
        <v>3</v>
      </c>
      <c r="CO108">
        <v>0</v>
      </c>
      <c r="CP108">
        <f t="shared" si="97"/>
        <v>-4.54</v>
      </c>
      <c r="CQ108">
        <f t="shared" si="98"/>
        <v>0</v>
      </c>
      <c r="CR108">
        <f t="shared" si="99"/>
        <v>1009.65</v>
      </c>
      <c r="CS108">
        <f t="shared" si="100"/>
        <v>554.42999999999995</v>
      </c>
      <c r="CT108">
        <f t="shared" si="101"/>
        <v>0</v>
      </c>
      <c r="CU108">
        <f t="shared" si="102"/>
        <v>0</v>
      </c>
      <c r="CV108">
        <f t="shared" si="103"/>
        <v>0</v>
      </c>
      <c r="CW108">
        <f t="shared" si="104"/>
        <v>0</v>
      </c>
      <c r="CX108">
        <f t="shared" si="105"/>
        <v>0</v>
      </c>
      <c r="CY108">
        <f t="shared" si="106"/>
        <v>0</v>
      </c>
      <c r="CZ108">
        <f t="shared" si="107"/>
        <v>0</v>
      </c>
      <c r="DC108" t="s">
        <v>3</v>
      </c>
      <c r="DD108" t="s">
        <v>3</v>
      </c>
      <c r="DE108" t="s">
        <v>3</v>
      </c>
      <c r="DF108" t="s">
        <v>3</v>
      </c>
      <c r="DG108" t="s">
        <v>3</v>
      </c>
      <c r="DH108" t="s">
        <v>3</v>
      </c>
      <c r="DI108" t="s">
        <v>3</v>
      </c>
      <c r="DJ108" t="s">
        <v>3</v>
      </c>
      <c r="DK108" t="s">
        <v>3</v>
      </c>
      <c r="DL108" t="s">
        <v>3</v>
      </c>
      <c r="DM108" t="s">
        <v>3</v>
      </c>
      <c r="DN108">
        <v>0</v>
      </c>
      <c r="DO108">
        <v>0</v>
      </c>
      <c r="DP108">
        <v>1</v>
      </c>
      <c r="DQ108">
        <v>1</v>
      </c>
      <c r="DU108">
        <v>1011</v>
      </c>
      <c r="DV108" t="s">
        <v>84</v>
      </c>
      <c r="DW108" t="s">
        <v>84</v>
      </c>
      <c r="DX108">
        <v>1</v>
      </c>
      <c r="EE108">
        <v>52362078</v>
      </c>
      <c r="EF108">
        <v>1</v>
      </c>
      <c r="EG108" t="s">
        <v>22</v>
      </c>
      <c r="EH108">
        <v>0</v>
      </c>
      <c r="EI108" t="s">
        <v>3</v>
      </c>
      <c r="EJ108">
        <v>4</v>
      </c>
      <c r="EK108">
        <v>0</v>
      </c>
      <c r="EL108" t="s">
        <v>23</v>
      </c>
      <c r="EM108" t="s">
        <v>24</v>
      </c>
      <c r="EO108" t="s">
        <v>3</v>
      </c>
      <c r="EQ108">
        <v>32768</v>
      </c>
      <c r="ER108">
        <v>1009.65</v>
      </c>
      <c r="ES108">
        <v>0</v>
      </c>
      <c r="ET108">
        <v>1009.65</v>
      </c>
      <c r="EU108">
        <v>554.42999999999995</v>
      </c>
      <c r="EV108">
        <v>0</v>
      </c>
      <c r="EW108">
        <v>0</v>
      </c>
      <c r="EX108">
        <v>0</v>
      </c>
      <c r="FQ108">
        <v>0</v>
      </c>
      <c r="FR108">
        <f t="shared" si="108"/>
        <v>0</v>
      </c>
      <c r="FS108">
        <v>0</v>
      </c>
      <c r="FX108">
        <v>70</v>
      </c>
      <c r="FY108">
        <v>10</v>
      </c>
      <c r="GA108" t="s">
        <v>3</v>
      </c>
      <c r="GD108">
        <v>0</v>
      </c>
      <c r="GF108">
        <v>-1957514721</v>
      </c>
      <c r="GG108">
        <v>2</v>
      </c>
      <c r="GH108">
        <v>1</v>
      </c>
      <c r="GI108">
        <v>-2</v>
      </c>
      <c r="GJ108">
        <v>0</v>
      </c>
      <c r="GK108">
        <f>ROUND(R108*(R12)/100,2)</f>
        <v>-2.69</v>
      </c>
      <c r="GL108">
        <f t="shared" si="109"/>
        <v>0</v>
      </c>
      <c r="GM108">
        <f t="shared" si="110"/>
        <v>-7.23</v>
      </c>
      <c r="GN108">
        <f t="shared" si="111"/>
        <v>0</v>
      </c>
      <c r="GO108">
        <f t="shared" si="112"/>
        <v>0</v>
      </c>
      <c r="GP108">
        <f t="shared" si="113"/>
        <v>-7.23</v>
      </c>
      <c r="GR108">
        <v>0</v>
      </c>
      <c r="GS108">
        <v>7</v>
      </c>
      <c r="GT108">
        <v>0</v>
      </c>
      <c r="GU108" t="s">
        <v>3</v>
      </c>
      <c r="GV108">
        <f t="shared" si="114"/>
        <v>0</v>
      </c>
      <c r="GW108">
        <v>1</v>
      </c>
      <c r="GX108">
        <f t="shared" si="115"/>
        <v>0</v>
      </c>
      <c r="HA108">
        <v>0</v>
      </c>
      <c r="HB108">
        <v>0</v>
      </c>
      <c r="HC108">
        <f t="shared" si="116"/>
        <v>0</v>
      </c>
      <c r="HE108" t="s">
        <v>3</v>
      </c>
      <c r="HF108" t="s">
        <v>3</v>
      </c>
      <c r="IK108">
        <v>0</v>
      </c>
    </row>
    <row r="109" spans="1:245" x14ac:dyDescent="0.2">
      <c r="A109">
        <v>18</v>
      </c>
      <c r="B109">
        <v>1</v>
      </c>
      <c r="C109">
        <v>120</v>
      </c>
      <c r="E109" t="s">
        <v>196</v>
      </c>
      <c r="F109" t="s">
        <v>95</v>
      </c>
      <c r="G109" t="s">
        <v>96</v>
      </c>
      <c r="H109" t="s">
        <v>28</v>
      </c>
      <c r="I109">
        <f>I104*J109</f>
        <v>-0.25</v>
      </c>
      <c r="J109">
        <v>-5</v>
      </c>
      <c r="O109">
        <f t="shared" si="77"/>
        <v>-760.1</v>
      </c>
      <c r="P109">
        <f t="shared" si="78"/>
        <v>-760.1</v>
      </c>
      <c r="Q109">
        <f t="shared" si="79"/>
        <v>0</v>
      </c>
      <c r="R109">
        <f t="shared" si="80"/>
        <v>0</v>
      </c>
      <c r="S109">
        <f t="shared" si="81"/>
        <v>0</v>
      </c>
      <c r="T109">
        <f t="shared" si="82"/>
        <v>0</v>
      </c>
      <c r="U109">
        <f t="shared" si="83"/>
        <v>0</v>
      </c>
      <c r="V109">
        <f t="shared" si="84"/>
        <v>0</v>
      </c>
      <c r="W109">
        <f t="shared" si="85"/>
        <v>0</v>
      </c>
      <c r="X109">
        <f t="shared" si="86"/>
        <v>0</v>
      </c>
      <c r="Y109">
        <f t="shared" si="87"/>
        <v>0</v>
      </c>
      <c r="AA109">
        <v>52430918</v>
      </c>
      <c r="AB109">
        <f t="shared" si="88"/>
        <v>3040.38</v>
      </c>
      <c r="AC109">
        <f t="shared" si="89"/>
        <v>3040.38</v>
      </c>
      <c r="AD109">
        <f t="shared" si="90"/>
        <v>0</v>
      </c>
      <c r="AE109">
        <f t="shared" si="91"/>
        <v>0</v>
      </c>
      <c r="AF109">
        <f t="shared" si="92"/>
        <v>0</v>
      </c>
      <c r="AG109">
        <f t="shared" si="93"/>
        <v>0</v>
      </c>
      <c r="AH109">
        <f t="shared" si="94"/>
        <v>0</v>
      </c>
      <c r="AI109">
        <f t="shared" si="95"/>
        <v>0</v>
      </c>
      <c r="AJ109">
        <f t="shared" si="96"/>
        <v>0</v>
      </c>
      <c r="AK109">
        <v>3040.38</v>
      </c>
      <c r="AL109">
        <v>3040.38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70</v>
      </c>
      <c r="AU109">
        <v>10</v>
      </c>
      <c r="AV109">
        <v>1</v>
      </c>
      <c r="AW109">
        <v>1</v>
      </c>
      <c r="AZ109">
        <v>1</v>
      </c>
      <c r="BA109">
        <v>1</v>
      </c>
      <c r="BB109">
        <v>1</v>
      </c>
      <c r="BC109">
        <v>1</v>
      </c>
      <c r="BD109" t="s">
        <v>3</v>
      </c>
      <c r="BE109" t="s">
        <v>3</v>
      </c>
      <c r="BF109" t="s">
        <v>3</v>
      </c>
      <c r="BG109" t="s">
        <v>3</v>
      </c>
      <c r="BH109">
        <v>3</v>
      </c>
      <c r="BI109">
        <v>4</v>
      </c>
      <c r="BJ109" t="s">
        <v>97</v>
      </c>
      <c r="BM109">
        <v>0</v>
      </c>
      <c r="BN109">
        <v>0</v>
      </c>
      <c r="BO109" t="s">
        <v>3</v>
      </c>
      <c r="BP109">
        <v>0</v>
      </c>
      <c r="BQ109">
        <v>1</v>
      </c>
      <c r="BR109">
        <v>1</v>
      </c>
      <c r="BS109">
        <v>1</v>
      </c>
      <c r="BT109">
        <v>1</v>
      </c>
      <c r="BU109">
        <v>1</v>
      </c>
      <c r="BV109">
        <v>1</v>
      </c>
      <c r="BW109">
        <v>1</v>
      </c>
      <c r="BX109">
        <v>1</v>
      </c>
      <c r="BY109" t="s">
        <v>3</v>
      </c>
      <c r="BZ109">
        <v>70</v>
      </c>
      <c r="CA109">
        <v>10</v>
      </c>
      <c r="CE109">
        <v>0</v>
      </c>
      <c r="CF109">
        <v>0</v>
      </c>
      <c r="CG109">
        <v>0</v>
      </c>
      <c r="CM109">
        <v>0</v>
      </c>
      <c r="CN109" t="s">
        <v>3</v>
      </c>
      <c r="CO109">
        <v>0</v>
      </c>
      <c r="CP109">
        <f t="shared" si="97"/>
        <v>-760.1</v>
      </c>
      <c r="CQ109">
        <f t="shared" si="98"/>
        <v>3040.38</v>
      </c>
      <c r="CR109">
        <f t="shared" si="99"/>
        <v>0</v>
      </c>
      <c r="CS109">
        <f t="shared" si="100"/>
        <v>0</v>
      </c>
      <c r="CT109">
        <f t="shared" si="101"/>
        <v>0</v>
      </c>
      <c r="CU109">
        <f t="shared" si="102"/>
        <v>0</v>
      </c>
      <c r="CV109">
        <f t="shared" si="103"/>
        <v>0</v>
      </c>
      <c r="CW109">
        <f t="shared" si="104"/>
        <v>0</v>
      </c>
      <c r="CX109">
        <f t="shared" si="105"/>
        <v>0</v>
      </c>
      <c r="CY109">
        <f t="shared" si="106"/>
        <v>0</v>
      </c>
      <c r="CZ109">
        <f t="shared" si="107"/>
        <v>0</v>
      </c>
      <c r="DC109" t="s">
        <v>3</v>
      </c>
      <c r="DD109" t="s">
        <v>3</v>
      </c>
      <c r="DE109" t="s">
        <v>3</v>
      </c>
      <c r="DF109" t="s">
        <v>3</v>
      </c>
      <c r="DG109" t="s">
        <v>3</v>
      </c>
      <c r="DH109" t="s">
        <v>3</v>
      </c>
      <c r="DI109" t="s">
        <v>3</v>
      </c>
      <c r="DJ109" t="s">
        <v>3</v>
      </c>
      <c r="DK109" t="s">
        <v>3</v>
      </c>
      <c r="DL109" t="s">
        <v>3</v>
      </c>
      <c r="DM109" t="s">
        <v>3</v>
      </c>
      <c r="DN109">
        <v>0</v>
      </c>
      <c r="DO109">
        <v>0</v>
      </c>
      <c r="DP109">
        <v>1</v>
      </c>
      <c r="DQ109">
        <v>1</v>
      </c>
      <c r="DU109">
        <v>1007</v>
      </c>
      <c r="DV109" t="s">
        <v>28</v>
      </c>
      <c r="DW109" t="s">
        <v>28</v>
      </c>
      <c r="DX109">
        <v>1</v>
      </c>
      <c r="EE109">
        <v>52362078</v>
      </c>
      <c r="EF109">
        <v>1</v>
      </c>
      <c r="EG109" t="s">
        <v>22</v>
      </c>
      <c r="EH109">
        <v>0</v>
      </c>
      <c r="EI109" t="s">
        <v>3</v>
      </c>
      <c r="EJ109">
        <v>4</v>
      </c>
      <c r="EK109">
        <v>0</v>
      </c>
      <c r="EL109" t="s">
        <v>23</v>
      </c>
      <c r="EM109" t="s">
        <v>24</v>
      </c>
      <c r="EO109" t="s">
        <v>3</v>
      </c>
      <c r="EQ109">
        <v>32768</v>
      </c>
      <c r="ER109">
        <v>3040.38</v>
      </c>
      <c r="ES109">
        <v>3040.38</v>
      </c>
      <c r="ET109">
        <v>0</v>
      </c>
      <c r="EU109">
        <v>0</v>
      </c>
      <c r="EV109">
        <v>0</v>
      </c>
      <c r="EW109">
        <v>0</v>
      </c>
      <c r="EX109">
        <v>0</v>
      </c>
      <c r="FQ109">
        <v>0</v>
      </c>
      <c r="FR109">
        <f t="shared" si="108"/>
        <v>0</v>
      </c>
      <c r="FS109">
        <v>0</v>
      </c>
      <c r="FX109">
        <v>70</v>
      </c>
      <c r="FY109">
        <v>10</v>
      </c>
      <c r="GA109" t="s">
        <v>3</v>
      </c>
      <c r="GD109">
        <v>0</v>
      </c>
      <c r="GF109">
        <v>395141172</v>
      </c>
      <c r="GG109">
        <v>2</v>
      </c>
      <c r="GH109">
        <v>1</v>
      </c>
      <c r="GI109">
        <v>-2</v>
      </c>
      <c r="GJ109">
        <v>0</v>
      </c>
      <c r="GK109">
        <f>ROUND(R109*(R12)/100,2)</f>
        <v>0</v>
      </c>
      <c r="GL109">
        <f t="shared" si="109"/>
        <v>0</v>
      </c>
      <c r="GM109">
        <f t="shared" si="110"/>
        <v>-760.1</v>
      </c>
      <c r="GN109">
        <f t="shared" si="111"/>
        <v>0</v>
      </c>
      <c r="GO109">
        <f t="shared" si="112"/>
        <v>0</v>
      </c>
      <c r="GP109">
        <f t="shared" si="113"/>
        <v>-760.1</v>
      </c>
      <c r="GR109">
        <v>0</v>
      </c>
      <c r="GS109">
        <v>3</v>
      </c>
      <c r="GT109">
        <v>0</v>
      </c>
      <c r="GU109" t="s">
        <v>3</v>
      </c>
      <c r="GV109">
        <f t="shared" si="114"/>
        <v>0</v>
      </c>
      <c r="GW109">
        <v>1</v>
      </c>
      <c r="GX109">
        <f t="shared" si="115"/>
        <v>0</v>
      </c>
      <c r="HA109">
        <v>0</v>
      </c>
      <c r="HB109">
        <v>0</v>
      </c>
      <c r="HC109">
        <f t="shared" si="116"/>
        <v>0</v>
      </c>
      <c r="HE109" t="s">
        <v>3</v>
      </c>
      <c r="HF109" t="s">
        <v>3</v>
      </c>
      <c r="IK109">
        <v>0</v>
      </c>
    </row>
    <row r="110" spans="1:245" x14ac:dyDescent="0.2">
      <c r="A110">
        <v>18</v>
      </c>
      <c r="B110">
        <v>1</v>
      </c>
      <c r="C110">
        <v>118</v>
      </c>
      <c r="E110" t="s">
        <v>197</v>
      </c>
      <c r="F110" t="s">
        <v>99</v>
      </c>
      <c r="G110" t="s">
        <v>100</v>
      </c>
      <c r="H110" t="s">
        <v>101</v>
      </c>
      <c r="I110">
        <f>I104*J110</f>
        <v>-1E-3</v>
      </c>
      <c r="J110">
        <v>-0.02</v>
      </c>
      <c r="O110">
        <f t="shared" si="77"/>
        <v>-110.78</v>
      </c>
      <c r="P110">
        <f t="shared" si="78"/>
        <v>-110.78</v>
      </c>
      <c r="Q110">
        <f t="shared" si="79"/>
        <v>0</v>
      </c>
      <c r="R110">
        <f t="shared" si="80"/>
        <v>0</v>
      </c>
      <c r="S110">
        <f t="shared" si="81"/>
        <v>0</v>
      </c>
      <c r="T110">
        <f t="shared" si="82"/>
        <v>0</v>
      </c>
      <c r="U110">
        <f t="shared" si="83"/>
        <v>0</v>
      </c>
      <c r="V110">
        <f t="shared" si="84"/>
        <v>0</v>
      </c>
      <c r="W110">
        <f t="shared" si="85"/>
        <v>0</v>
      </c>
      <c r="X110">
        <f t="shared" si="86"/>
        <v>0</v>
      </c>
      <c r="Y110">
        <f t="shared" si="87"/>
        <v>0</v>
      </c>
      <c r="AA110">
        <v>52430918</v>
      </c>
      <c r="AB110">
        <f t="shared" si="88"/>
        <v>110781.14</v>
      </c>
      <c r="AC110">
        <f t="shared" si="89"/>
        <v>110781.14</v>
      </c>
      <c r="AD110">
        <f t="shared" si="90"/>
        <v>0</v>
      </c>
      <c r="AE110">
        <f t="shared" si="91"/>
        <v>0</v>
      </c>
      <c r="AF110">
        <f t="shared" si="92"/>
        <v>0</v>
      </c>
      <c r="AG110">
        <f t="shared" si="93"/>
        <v>0</v>
      </c>
      <c r="AH110">
        <f t="shared" si="94"/>
        <v>0</v>
      </c>
      <c r="AI110">
        <f t="shared" si="95"/>
        <v>0</v>
      </c>
      <c r="AJ110">
        <f t="shared" si="96"/>
        <v>0</v>
      </c>
      <c r="AK110">
        <v>110781.14</v>
      </c>
      <c r="AL110">
        <v>110781.14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70</v>
      </c>
      <c r="AU110">
        <v>10</v>
      </c>
      <c r="AV110">
        <v>1</v>
      </c>
      <c r="AW110">
        <v>1</v>
      </c>
      <c r="AZ110">
        <v>1</v>
      </c>
      <c r="BA110">
        <v>1</v>
      </c>
      <c r="BB110">
        <v>1</v>
      </c>
      <c r="BC110">
        <v>1</v>
      </c>
      <c r="BD110" t="s">
        <v>3</v>
      </c>
      <c r="BE110" t="s">
        <v>3</v>
      </c>
      <c r="BF110" t="s">
        <v>3</v>
      </c>
      <c r="BG110" t="s">
        <v>3</v>
      </c>
      <c r="BH110">
        <v>3</v>
      </c>
      <c r="BI110">
        <v>4</v>
      </c>
      <c r="BJ110" t="s">
        <v>102</v>
      </c>
      <c r="BM110">
        <v>0</v>
      </c>
      <c r="BN110">
        <v>0</v>
      </c>
      <c r="BO110" t="s">
        <v>3</v>
      </c>
      <c r="BP110">
        <v>0</v>
      </c>
      <c r="BQ110">
        <v>1</v>
      </c>
      <c r="BR110">
        <v>1</v>
      </c>
      <c r="BS110">
        <v>1</v>
      </c>
      <c r="BT110">
        <v>1</v>
      </c>
      <c r="BU110">
        <v>1</v>
      </c>
      <c r="BV110">
        <v>1</v>
      </c>
      <c r="BW110">
        <v>1</v>
      </c>
      <c r="BX110">
        <v>1</v>
      </c>
      <c r="BY110" t="s">
        <v>3</v>
      </c>
      <c r="BZ110">
        <v>70</v>
      </c>
      <c r="CA110">
        <v>10</v>
      </c>
      <c r="CE110">
        <v>0</v>
      </c>
      <c r="CF110">
        <v>0</v>
      </c>
      <c r="CG110">
        <v>0</v>
      </c>
      <c r="CM110">
        <v>0</v>
      </c>
      <c r="CN110" t="s">
        <v>3</v>
      </c>
      <c r="CO110">
        <v>0</v>
      </c>
      <c r="CP110">
        <f t="shared" si="97"/>
        <v>-110.78</v>
      </c>
      <c r="CQ110">
        <f t="shared" si="98"/>
        <v>110781.14</v>
      </c>
      <c r="CR110">
        <f t="shared" si="99"/>
        <v>0</v>
      </c>
      <c r="CS110">
        <f t="shared" si="100"/>
        <v>0</v>
      </c>
      <c r="CT110">
        <f t="shared" si="101"/>
        <v>0</v>
      </c>
      <c r="CU110">
        <f t="shared" si="102"/>
        <v>0</v>
      </c>
      <c r="CV110">
        <f t="shared" si="103"/>
        <v>0</v>
      </c>
      <c r="CW110">
        <f t="shared" si="104"/>
        <v>0</v>
      </c>
      <c r="CX110">
        <f t="shared" si="105"/>
        <v>0</v>
      </c>
      <c r="CY110">
        <f t="shared" si="106"/>
        <v>0</v>
      </c>
      <c r="CZ110">
        <f t="shared" si="107"/>
        <v>0</v>
      </c>
      <c r="DC110" t="s">
        <v>3</v>
      </c>
      <c r="DD110" t="s">
        <v>3</v>
      </c>
      <c r="DE110" t="s">
        <v>3</v>
      </c>
      <c r="DF110" t="s">
        <v>3</v>
      </c>
      <c r="DG110" t="s">
        <v>3</v>
      </c>
      <c r="DH110" t="s">
        <v>3</v>
      </c>
      <c r="DI110" t="s">
        <v>3</v>
      </c>
      <c r="DJ110" t="s">
        <v>3</v>
      </c>
      <c r="DK110" t="s">
        <v>3</v>
      </c>
      <c r="DL110" t="s">
        <v>3</v>
      </c>
      <c r="DM110" t="s">
        <v>3</v>
      </c>
      <c r="DN110">
        <v>0</v>
      </c>
      <c r="DO110">
        <v>0</v>
      </c>
      <c r="DP110">
        <v>1</v>
      </c>
      <c r="DQ110">
        <v>1</v>
      </c>
      <c r="DU110">
        <v>1009</v>
      </c>
      <c r="DV110" t="s">
        <v>101</v>
      </c>
      <c r="DW110" t="s">
        <v>101</v>
      </c>
      <c r="DX110">
        <v>1000</v>
      </c>
      <c r="EE110">
        <v>52362078</v>
      </c>
      <c r="EF110">
        <v>1</v>
      </c>
      <c r="EG110" t="s">
        <v>22</v>
      </c>
      <c r="EH110">
        <v>0</v>
      </c>
      <c r="EI110" t="s">
        <v>3</v>
      </c>
      <c r="EJ110">
        <v>4</v>
      </c>
      <c r="EK110">
        <v>0</v>
      </c>
      <c r="EL110" t="s">
        <v>23</v>
      </c>
      <c r="EM110" t="s">
        <v>24</v>
      </c>
      <c r="EO110" t="s">
        <v>3</v>
      </c>
      <c r="EQ110">
        <v>32768</v>
      </c>
      <c r="ER110">
        <v>110781.14</v>
      </c>
      <c r="ES110">
        <v>110781.14</v>
      </c>
      <c r="ET110">
        <v>0</v>
      </c>
      <c r="EU110">
        <v>0</v>
      </c>
      <c r="EV110">
        <v>0</v>
      </c>
      <c r="EW110">
        <v>0</v>
      </c>
      <c r="EX110">
        <v>0</v>
      </c>
      <c r="FQ110">
        <v>0</v>
      </c>
      <c r="FR110">
        <f t="shared" si="108"/>
        <v>0</v>
      </c>
      <c r="FS110">
        <v>0</v>
      </c>
      <c r="FX110">
        <v>70</v>
      </c>
      <c r="FY110">
        <v>10</v>
      </c>
      <c r="GA110" t="s">
        <v>3</v>
      </c>
      <c r="GD110">
        <v>0</v>
      </c>
      <c r="GF110">
        <v>-672771621</v>
      </c>
      <c r="GG110">
        <v>2</v>
      </c>
      <c r="GH110">
        <v>1</v>
      </c>
      <c r="GI110">
        <v>-2</v>
      </c>
      <c r="GJ110">
        <v>0</v>
      </c>
      <c r="GK110">
        <f>ROUND(R110*(R12)/100,2)</f>
        <v>0</v>
      </c>
      <c r="GL110">
        <f t="shared" si="109"/>
        <v>0</v>
      </c>
      <c r="GM110">
        <f t="shared" si="110"/>
        <v>-110.78</v>
      </c>
      <c r="GN110">
        <f t="shared" si="111"/>
        <v>0</v>
      </c>
      <c r="GO110">
        <f t="shared" si="112"/>
        <v>0</v>
      </c>
      <c r="GP110">
        <f t="shared" si="113"/>
        <v>-110.78</v>
      </c>
      <c r="GR110">
        <v>0</v>
      </c>
      <c r="GS110">
        <v>3</v>
      </c>
      <c r="GT110">
        <v>0</v>
      </c>
      <c r="GU110" t="s">
        <v>3</v>
      </c>
      <c r="GV110">
        <f t="shared" si="114"/>
        <v>0</v>
      </c>
      <c r="GW110">
        <v>1</v>
      </c>
      <c r="GX110">
        <f t="shared" si="115"/>
        <v>0</v>
      </c>
      <c r="HA110">
        <v>0</v>
      </c>
      <c r="HB110">
        <v>0</v>
      </c>
      <c r="HC110">
        <f t="shared" si="116"/>
        <v>0</v>
      </c>
      <c r="HE110" t="s">
        <v>3</v>
      </c>
      <c r="HF110" t="s">
        <v>3</v>
      </c>
      <c r="IK110">
        <v>0</v>
      </c>
    </row>
    <row r="111" spans="1:245" x14ac:dyDescent="0.2">
      <c r="A111">
        <v>18</v>
      </c>
      <c r="B111">
        <v>1</v>
      </c>
      <c r="C111">
        <v>122</v>
      </c>
      <c r="E111" t="s">
        <v>198</v>
      </c>
      <c r="F111" t="s">
        <v>104</v>
      </c>
      <c r="G111" t="s">
        <v>105</v>
      </c>
      <c r="H111" t="s">
        <v>106</v>
      </c>
      <c r="I111">
        <f>I104*J111</f>
        <v>1</v>
      </c>
      <c r="J111">
        <v>20</v>
      </c>
      <c r="O111">
        <f t="shared" si="77"/>
        <v>17250</v>
      </c>
      <c r="P111">
        <f t="shared" si="78"/>
        <v>17250</v>
      </c>
      <c r="Q111">
        <f t="shared" si="79"/>
        <v>0</v>
      </c>
      <c r="R111">
        <f t="shared" si="80"/>
        <v>0</v>
      </c>
      <c r="S111">
        <f t="shared" si="81"/>
        <v>0</v>
      </c>
      <c r="T111">
        <f t="shared" si="82"/>
        <v>0</v>
      </c>
      <c r="U111">
        <f t="shared" si="83"/>
        <v>0</v>
      </c>
      <c r="V111">
        <f t="shared" si="84"/>
        <v>0</v>
      </c>
      <c r="W111">
        <f t="shared" si="85"/>
        <v>0</v>
      </c>
      <c r="X111">
        <f t="shared" si="86"/>
        <v>0</v>
      </c>
      <c r="Y111">
        <f t="shared" si="87"/>
        <v>0</v>
      </c>
      <c r="AA111">
        <v>52430918</v>
      </c>
      <c r="AB111">
        <f t="shared" si="88"/>
        <v>17250</v>
      </c>
      <c r="AC111">
        <f t="shared" si="89"/>
        <v>17250</v>
      </c>
      <c r="AD111">
        <f t="shared" si="90"/>
        <v>0</v>
      </c>
      <c r="AE111">
        <f t="shared" si="91"/>
        <v>0</v>
      </c>
      <c r="AF111">
        <f t="shared" si="92"/>
        <v>0</v>
      </c>
      <c r="AG111">
        <f t="shared" si="93"/>
        <v>0</v>
      </c>
      <c r="AH111">
        <f t="shared" si="94"/>
        <v>0</v>
      </c>
      <c r="AI111">
        <f t="shared" si="95"/>
        <v>0</v>
      </c>
      <c r="AJ111">
        <f t="shared" si="96"/>
        <v>0</v>
      </c>
      <c r="AK111">
        <v>17250</v>
      </c>
      <c r="AL111">
        <v>17250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70</v>
      </c>
      <c r="AU111">
        <v>10</v>
      </c>
      <c r="AV111">
        <v>1</v>
      </c>
      <c r="AW111">
        <v>1</v>
      </c>
      <c r="AZ111">
        <v>1</v>
      </c>
      <c r="BA111">
        <v>1</v>
      </c>
      <c r="BB111">
        <v>1</v>
      </c>
      <c r="BC111">
        <v>1</v>
      </c>
      <c r="BD111" t="s">
        <v>3</v>
      </c>
      <c r="BE111" t="s">
        <v>3</v>
      </c>
      <c r="BF111" t="s">
        <v>3</v>
      </c>
      <c r="BG111" t="s">
        <v>3</v>
      </c>
      <c r="BH111">
        <v>3</v>
      </c>
      <c r="BI111">
        <v>4</v>
      </c>
      <c r="BJ111" t="s">
        <v>3</v>
      </c>
      <c r="BM111">
        <v>0</v>
      </c>
      <c r="BN111">
        <v>0</v>
      </c>
      <c r="BO111" t="s">
        <v>3</v>
      </c>
      <c r="BP111">
        <v>0</v>
      </c>
      <c r="BQ111">
        <v>1</v>
      </c>
      <c r="BR111">
        <v>0</v>
      </c>
      <c r="BS111">
        <v>1</v>
      </c>
      <c r="BT111">
        <v>1</v>
      </c>
      <c r="BU111">
        <v>1</v>
      </c>
      <c r="BV111">
        <v>1</v>
      </c>
      <c r="BW111">
        <v>1</v>
      </c>
      <c r="BX111">
        <v>1</v>
      </c>
      <c r="BY111" t="s">
        <v>3</v>
      </c>
      <c r="BZ111">
        <v>70</v>
      </c>
      <c r="CA111">
        <v>10</v>
      </c>
      <c r="CE111">
        <v>0</v>
      </c>
      <c r="CF111">
        <v>0</v>
      </c>
      <c r="CG111">
        <v>0</v>
      </c>
      <c r="CM111">
        <v>0</v>
      </c>
      <c r="CN111" t="s">
        <v>3</v>
      </c>
      <c r="CO111">
        <v>0</v>
      </c>
      <c r="CP111">
        <f t="shared" si="97"/>
        <v>17250</v>
      </c>
      <c r="CQ111">
        <f t="shared" si="98"/>
        <v>17250</v>
      </c>
      <c r="CR111">
        <f t="shared" si="99"/>
        <v>0</v>
      </c>
      <c r="CS111">
        <f t="shared" si="100"/>
        <v>0</v>
      </c>
      <c r="CT111">
        <f t="shared" si="101"/>
        <v>0</v>
      </c>
      <c r="CU111">
        <f t="shared" si="102"/>
        <v>0</v>
      </c>
      <c r="CV111">
        <f t="shared" si="103"/>
        <v>0</v>
      </c>
      <c r="CW111">
        <f t="shared" si="104"/>
        <v>0</v>
      </c>
      <c r="CX111">
        <f t="shared" si="105"/>
        <v>0</v>
      </c>
      <c r="CY111">
        <f t="shared" si="106"/>
        <v>0</v>
      </c>
      <c r="CZ111">
        <f t="shared" si="107"/>
        <v>0</v>
      </c>
      <c r="DC111" t="s">
        <v>3</v>
      </c>
      <c r="DD111" t="s">
        <v>3</v>
      </c>
      <c r="DE111" t="s">
        <v>3</v>
      </c>
      <c r="DF111" t="s">
        <v>3</v>
      </c>
      <c r="DG111" t="s">
        <v>3</v>
      </c>
      <c r="DH111" t="s">
        <v>3</v>
      </c>
      <c r="DI111" t="s">
        <v>3</v>
      </c>
      <c r="DJ111" t="s">
        <v>3</v>
      </c>
      <c r="DK111" t="s">
        <v>3</v>
      </c>
      <c r="DL111" t="s">
        <v>3</v>
      </c>
      <c r="DM111" t="s">
        <v>3</v>
      </c>
      <c r="DN111">
        <v>0</v>
      </c>
      <c r="DO111">
        <v>0</v>
      </c>
      <c r="DP111">
        <v>1</v>
      </c>
      <c r="DQ111">
        <v>1</v>
      </c>
      <c r="DU111">
        <v>1010</v>
      </c>
      <c r="DV111" t="s">
        <v>106</v>
      </c>
      <c r="DW111" t="s">
        <v>106</v>
      </c>
      <c r="DX111">
        <v>1</v>
      </c>
      <c r="EE111">
        <v>52362078</v>
      </c>
      <c r="EF111">
        <v>1</v>
      </c>
      <c r="EG111" t="s">
        <v>22</v>
      </c>
      <c r="EH111">
        <v>0</v>
      </c>
      <c r="EI111" t="s">
        <v>3</v>
      </c>
      <c r="EJ111">
        <v>4</v>
      </c>
      <c r="EK111">
        <v>0</v>
      </c>
      <c r="EL111" t="s">
        <v>23</v>
      </c>
      <c r="EM111" t="s">
        <v>24</v>
      </c>
      <c r="EO111" t="s">
        <v>3</v>
      </c>
      <c r="EQ111">
        <v>0</v>
      </c>
      <c r="ER111">
        <v>17250</v>
      </c>
      <c r="ES111">
        <v>17250</v>
      </c>
      <c r="ET111">
        <v>0</v>
      </c>
      <c r="EU111">
        <v>0</v>
      </c>
      <c r="EV111">
        <v>0</v>
      </c>
      <c r="EW111">
        <v>0</v>
      </c>
      <c r="EX111">
        <v>0</v>
      </c>
      <c r="EZ111">
        <v>5</v>
      </c>
      <c r="FC111">
        <v>1</v>
      </c>
      <c r="FD111">
        <v>18</v>
      </c>
      <c r="FF111">
        <v>20700</v>
      </c>
      <c r="FQ111">
        <v>0</v>
      </c>
      <c r="FR111">
        <f t="shared" si="108"/>
        <v>0</v>
      </c>
      <c r="FS111">
        <v>0</v>
      </c>
      <c r="FX111">
        <v>70</v>
      </c>
      <c r="FY111">
        <v>10</v>
      </c>
      <c r="GA111" t="s">
        <v>107</v>
      </c>
      <c r="GD111">
        <v>0</v>
      </c>
      <c r="GF111">
        <v>-292158938</v>
      </c>
      <c r="GG111">
        <v>2</v>
      </c>
      <c r="GH111">
        <v>3</v>
      </c>
      <c r="GI111">
        <v>-2</v>
      </c>
      <c r="GJ111">
        <v>0</v>
      </c>
      <c r="GK111">
        <f>ROUND(R111*(R12)/100,2)</f>
        <v>0</v>
      </c>
      <c r="GL111">
        <f t="shared" si="109"/>
        <v>0</v>
      </c>
      <c r="GM111">
        <f t="shared" si="110"/>
        <v>17250</v>
      </c>
      <c r="GN111">
        <f t="shared" si="111"/>
        <v>0</v>
      </c>
      <c r="GO111">
        <f t="shared" si="112"/>
        <v>0</v>
      </c>
      <c r="GP111">
        <f t="shared" si="113"/>
        <v>17250</v>
      </c>
      <c r="GR111">
        <v>1</v>
      </c>
      <c r="GS111">
        <v>1</v>
      </c>
      <c r="GT111">
        <v>0</v>
      </c>
      <c r="GU111" t="s">
        <v>3</v>
      </c>
      <c r="GV111">
        <f t="shared" si="114"/>
        <v>0</v>
      </c>
      <c r="GW111">
        <v>1</v>
      </c>
      <c r="GX111">
        <f t="shared" si="115"/>
        <v>0</v>
      </c>
      <c r="HA111">
        <v>0</v>
      </c>
      <c r="HB111">
        <v>0</v>
      </c>
      <c r="HC111">
        <f t="shared" si="116"/>
        <v>0</v>
      </c>
      <c r="HE111" t="s">
        <v>108</v>
      </c>
      <c r="HF111" t="s">
        <v>108</v>
      </c>
      <c r="IK111">
        <v>0</v>
      </c>
    </row>
    <row r="112" spans="1:245" x14ac:dyDescent="0.2">
      <c r="A112">
        <v>18</v>
      </c>
      <c r="B112">
        <v>1</v>
      </c>
      <c r="C112">
        <v>126</v>
      </c>
      <c r="E112" t="s">
        <v>199</v>
      </c>
      <c r="F112" t="s">
        <v>104</v>
      </c>
      <c r="G112" t="s">
        <v>200</v>
      </c>
      <c r="H112" t="s">
        <v>106</v>
      </c>
      <c r="I112">
        <f>I104*J112</f>
        <v>1</v>
      </c>
      <c r="J112">
        <v>20</v>
      </c>
      <c r="O112">
        <f t="shared" si="77"/>
        <v>43083.33</v>
      </c>
      <c r="P112">
        <f t="shared" si="78"/>
        <v>43083.33</v>
      </c>
      <c r="Q112">
        <f t="shared" si="79"/>
        <v>0</v>
      </c>
      <c r="R112">
        <f t="shared" si="80"/>
        <v>0</v>
      </c>
      <c r="S112">
        <f t="shared" si="81"/>
        <v>0</v>
      </c>
      <c r="T112">
        <f t="shared" si="82"/>
        <v>0</v>
      </c>
      <c r="U112">
        <f t="shared" si="83"/>
        <v>0</v>
      </c>
      <c r="V112">
        <f t="shared" si="84"/>
        <v>0</v>
      </c>
      <c r="W112">
        <f t="shared" si="85"/>
        <v>0</v>
      </c>
      <c r="X112">
        <f t="shared" si="86"/>
        <v>0</v>
      </c>
      <c r="Y112">
        <f t="shared" si="87"/>
        <v>0</v>
      </c>
      <c r="AA112">
        <v>52430918</v>
      </c>
      <c r="AB112">
        <f t="shared" si="88"/>
        <v>43083.33</v>
      </c>
      <c r="AC112">
        <f t="shared" si="89"/>
        <v>43083.33</v>
      </c>
      <c r="AD112">
        <f t="shared" si="90"/>
        <v>0</v>
      </c>
      <c r="AE112">
        <f t="shared" si="91"/>
        <v>0</v>
      </c>
      <c r="AF112">
        <f t="shared" si="92"/>
        <v>0</v>
      </c>
      <c r="AG112">
        <f t="shared" si="93"/>
        <v>0</v>
      </c>
      <c r="AH112">
        <f t="shared" si="94"/>
        <v>0</v>
      </c>
      <c r="AI112">
        <f t="shared" si="95"/>
        <v>0</v>
      </c>
      <c r="AJ112">
        <f t="shared" si="96"/>
        <v>0</v>
      </c>
      <c r="AK112">
        <v>43083.33</v>
      </c>
      <c r="AL112">
        <v>43083.33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70</v>
      </c>
      <c r="AU112">
        <v>10</v>
      </c>
      <c r="AV112">
        <v>1</v>
      </c>
      <c r="AW112">
        <v>1</v>
      </c>
      <c r="AZ112">
        <v>1</v>
      </c>
      <c r="BA112">
        <v>1</v>
      </c>
      <c r="BB112">
        <v>1</v>
      </c>
      <c r="BC112">
        <v>1</v>
      </c>
      <c r="BD112" t="s">
        <v>3</v>
      </c>
      <c r="BE112" t="s">
        <v>3</v>
      </c>
      <c r="BF112" t="s">
        <v>3</v>
      </c>
      <c r="BG112" t="s">
        <v>3</v>
      </c>
      <c r="BH112">
        <v>3</v>
      </c>
      <c r="BI112">
        <v>4</v>
      </c>
      <c r="BJ112" t="s">
        <v>3</v>
      </c>
      <c r="BM112">
        <v>0</v>
      </c>
      <c r="BN112">
        <v>0</v>
      </c>
      <c r="BO112" t="s">
        <v>3</v>
      </c>
      <c r="BP112">
        <v>0</v>
      </c>
      <c r="BQ112">
        <v>1</v>
      </c>
      <c r="BR112">
        <v>0</v>
      </c>
      <c r="BS112">
        <v>1</v>
      </c>
      <c r="BT112">
        <v>1</v>
      </c>
      <c r="BU112">
        <v>1</v>
      </c>
      <c r="BV112">
        <v>1</v>
      </c>
      <c r="BW112">
        <v>1</v>
      </c>
      <c r="BX112">
        <v>1</v>
      </c>
      <c r="BY112" t="s">
        <v>3</v>
      </c>
      <c r="BZ112">
        <v>70</v>
      </c>
      <c r="CA112">
        <v>10</v>
      </c>
      <c r="CE112">
        <v>0</v>
      </c>
      <c r="CF112">
        <v>0</v>
      </c>
      <c r="CG112">
        <v>0</v>
      </c>
      <c r="CM112">
        <v>0</v>
      </c>
      <c r="CN112" t="s">
        <v>3</v>
      </c>
      <c r="CO112">
        <v>0</v>
      </c>
      <c r="CP112">
        <f t="shared" si="97"/>
        <v>43083.33</v>
      </c>
      <c r="CQ112">
        <f t="shared" si="98"/>
        <v>43083.33</v>
      </c>
      <c r="CR112">
        <f t="shared" si="99"/>
        <v>0</v>
      </c>
      <c r="CS112">
        <f t="shared" si="100"/>
        <v>0</v>
      </c>
      <c r="CT112">
        <f t="shared" si="101"/>
        <v>0</v>
      </c>
      <c r="CU112">
        <f t="shared" si="102"/>
        <v>0</v>
      </c>
      <c r="CV112">
        <f t="shared" si="103"/>
        <v>0</v>
      </c>
      <c r="CW112">
        <f t="shared" si="104"/>
        <v>0</v>
      </c>
      <c r="CX112">
        <f t="shared" si="105"/>
        <v>0</v>
      </c>
      <c r="CY112">
        <f t="shared" si="106"/>
        <v>0</v>
      </c>
      <c r="CZ112">
        <f t="shared" si="107"/>
        <v>0</v>
      </c>
      <c r="DC112" t="s">
        <v>3</v>
      </c>
      <c r="DD112" t="s">
        <v>3</v>
      </c>
      <c r="DE112" t="s">
        <v>3</v>
      </c>
      <c r="DF112" t="s">
        <v>3</v>
      </c>
      <c r="DG112" t="s">
        <v>3</v>
      </c>
      <c r="DH112" t="s">
        <v>3</v>
      </c>
      <c r="DI112" t="s">
        <v>3</v>
      </c>
      <c r="DJ112" t="s">
        <v>3</v>
      </c>
      <c r="DK112" t="s">
        <v>3</v>
      </c>
      <c r="DL112" t="s">
        <v>3</v>
      </c>
      <c r="DM112" t="s">
        <v>3</v>
      </c>
      <c r="DN112">
        <v>0</v>
      </c>
      <c r="DO112">
        <v>0</v>
      </c>
      <c r="DP112">
        <v>1</v>
      </c>
      <c r="DQ112">
        <v>1</v>
      </c>
      <c r="DU112">
        <v>1010</v>
      </c>
      <c r="DV112" t="s">
        <v>106</v>
      </c>
      <c r="DW112" t="s">
        <v>106</v>
      </c>
      <c r="DX112">
        <v>1</v>
      </c>
      <c r="EE112">
        <v>52362078</v>
      </c>
      <c r="EF112">
        <v>1</v>
      </c>
      <c r="EG112" t="s">
        <v>22</v>
      </c>
      <c r="EH112">
        <v>0</v>
      </c>
      <c r="EI112" t="s">
        <v>3</v>
      </c>
      <c r="EJ112">
        <v>4</v>
      </c>
      <c r="EK112">
        <v>0</v>
      </c>
      <c r="EL112" t="s">
        <v>23</v>
      </c>
      <c r="EM112" t="s">
        <v>24</v>
      </c>
      <c r="EO112" t="s">
        <v>3</v>
      </c>
      <c r="EQ112">
        <v>0</v>
      </c>
      <c r="ER112">
        <v>43083.33</v>
      </c>
      <c r="ES112">
        <v>43083.33</v>
      </c>
      <c r="ET112">
        <v>0</v>
      </c>
      <c r="EU112">
        <v>0</v>
      </c>
      <c r="EV112">
        <v>0</v>
      </c>
      <c r="EW112">
        <v>0</v>
      </c>
      <c r="EX112">
        <v>0</v>
      </c>
      <c r="EZ112">
        <v>5</v>
      </c>
      <c r="FC112">
        <v>1</v>
      </c>
      <c r="FD112">
        <v>18</v>
      </c>
      <c r="FF112">
        <v>51700</v>
      </c>
      <c r="FQ112">
        <v>0</v>
      </c>
      <c r="FR112">
        <f t="shared" si="108"/>
        <v>0</v>
      </c>
      <c r="FS112">
        <v>0</v>
      </c>
      <c r="FX112">
        <v>70</v>
      </c>
      <c r="FY112">
        <v>10</v>
      </c>
      <c r="GA112" t="s">
        <v>201</v>
      </c>
      <c r="GD112">
        <v>0</v>
      </c>
      <c r="GF112">
        <v>-797437268</v>
      </c>
      <c r="GG112">
        <v>2</v>
      </c>
      <c r="GH112">
        <v>3</v>
      </c>
      <c r="GI112">
        <v>-2</v>
      </c>
      <c r="GJ112">
        <v>0</v>
      </c>
      <c r="GK112">
        <f>ROUND(R112*(R12)/100,2)</f>
        <v>0</v>
      </c>
      <c r="GL112">
        <f t="shared" si="109"/>
        <v>0</v>
      </c>
      <c r="GM112">
        <f t="shared" si="110"/>
        <v>43083.33</v>
      </c>
      <c r="GN112">
        <f t="shared" si="111"/>
        <v>0</v>
      </c>
      <c r="GO112">
        <f t="shared" si="112"/>
        <v>0</v>
      </c>
      <c r="GP112">
        <f t="shared" si="113"/>
        <v>43083.33</v>
      </c>
      <c r="GR112">
        <v>1</v>
      </c>
      <c r="GS112">
        <v>1</v>
      </c>
      <c r="GT112">
        <v>0</v>
      </c>
      <c r="GU112" t="s">
        <v>3</v>
      </c>
      <c r="GV112">
        <f t="shared" si="114"/>
        <v>0</v>
      </c>
      <c r="GW112">
        <v>1</v>
      </c>
      <c r="GX112">
        <f t="shared" si="115"/>
        <v>0</v>
      </c>
      <c r="HA112">
        <v>0</v>
      </c>
      <c r="HB112">
        <v>0</v>
      </c>
      <c r="HC112">
        <f t="shared" si="116"/>
        <v>0</v>
      </c>
      <c r="HE112" t="s">
        <v>108</v>
      </c>
      <c r="HF112" t="s">
        <v>108</v>
      </c>
      <c r="IK112">
        <v>0</v>
      </c>
    </row>
    <row r="113" spans="1:245" x14ac:dyDescent="0.2">
      <c r="A113">
        <v>18</v>
      </c>
      <c r="B113">
        <v>1</v>
      </c>
      <c r="C113">
        <v>123</v>
      </c>
      <c r="E113" t="s">
        <v>202</v>
      </c>
      <c r="F113" t="s">
        <v>104</v>
      </c>
      <c r="G113" t="s">
        <v>203</v>
      </c>
      <c r="H113" t="s">
        <v>106</v>
      </c>
      <c r="I113">
        <f>I104*J113</f>
        <v>1</v>
      </c>
      <c r="J113">
        <v>20</v>
      </c>
      <c r="O113">
        <f t="shared" si="77"/>
        <v>40166.67</v>
      </c>
      <c r="P113">
        <f t="shared" si="78"/>
        <v>40166.67</v>
      </c>
      <c r="Q113">
        <f t="shared" si="79"/>
        <v>0</v>
      </c>
      <c r="R113">
        <f t="shared" si="80"/>
        <v>0</v>
      </c>
      <c r="S113">
        <f t="shared" si="81"/>
        <v>0</v>
      </c>
      <c r="T113">
        <f t="shared" si="82"/>
        <v>0</v>
      </c>
      <c r="U113">
        <f t="shared" si="83"/>
        <v>0</v>
      </c>
      <c r="V113">
        <f t="shared" si="84"/>
        <v>0</v>
      </c>
      <c r="W113">
        <f t="shared" si="85"/>
        <v>0</v>
      </c>
      <c r="X113">
        <f t="shared" si="86"/>
        <v>0</v>
      </c>
      <c r="Y113">
        <f t="shared" si="87"/>
        <v>0</v>
      </c>
      <c r="AA113">
        <v>52430918</v>
      </c>
      <c r="AB113">
        <f t="shared" si="88"/>
        <v>40166.67</v>
      </c>
      <c r="AC113">
        <f t="shared" si="89"/>
        <v>40166.67</v>
      </c>
      <c r="AD113">
        <f t="shared" si="90"/>
        <v>0</v>
      </c>
      <c r="AE113">
        <f t="shared" si="91"/>
        <v>0</v>
      </c>
      <c r="AF113">
        <f t="shared" si="92"/>
        <v>0</v>
      </c>
      <c r="AG113">
        <f t="shared" si="93"/>
        <v>0</v>
      </c>
      <c r="AH113">
        <f t="shared" si="94"/>
        <v>0</v>
      </c>
      <c r="AI113">
        <f t="shared" si="95"/>
        <v>0</v>
      </c>
      <c r="AJ113">
        <f t="shared" si="96"/>
        <v>0</v>
      </c>
      <c r="AK113">
        <v>40166.67</v>
      </c>
      <c r="AL113">
        <v>40166.67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70</v>
      </c>
      <c r="AU113">
        <v>10</v>
      </c>
      <c r="AV113">
        <v>1</v>
      </c>
      <c r="AW113">
        <v>1</v>
      </c>
      <c r="AZ113">
        <v>1</v>
      </c>
      <c r="BA113">
        <v>1</v>
      </c>
      <c r="BB113">
        <v>1</v>
      </c>
      <c r="BC113">
        <v>1</v>
      </c>
      <c r="BD113" t="s">
        <v>3</v>
      </c>
      <c r="BE113" t="s">
        <v>3</v>
      </c>
      <c r="BF113" t="s">
        <v>3</v>
      </c>
      <c r="BG113" t="s">
        <v>3</v>
      </c>
      <c r="BH113">
        <v>3</v>
      </c>
      <c r="BI113">
        <v>4</v>
      </c>
      <c r="BJ113" t="s">
        <v>3</v>
      </c>
      <c r="BM113">
        <v>0</v>
      </c>
      <c r="BN113">
        <v>0</v>
      </c>
      <c r="BO113" t="s">
        <v>3</v>
      </c>
      <c r="BP113">
        <v>0</v>
      </c>
      <c r="BQ113">
        <v>1</v>
      </c>
      <c r="BR113">
        <v>0</v>
      </c>
      <c r="BS113">
        <v>1</v>
      </c>
      <c r="BT113">
        <v>1</v>
      </c>
      <c r="BU113">
        <v>1</v>
      </c>
      <c r="BV113">
        <v>1</v>
      </c>
      <c r="BW113">
        <v>1</v>
      </c>
      <c r="BX113">
        <v>1</v>
      </c>
      <c r="BY113" t="s">
        <v>3</v>
      </c>
      <c r="BZ113">
        <v>70</v>
      </c>
      <c r="CA113">
        <v>10</v>
      </c>
      <c r="CE113">
        <v>0</v>
      </c>
      <c r="CF113">
        <v>0</v>
      </c>
      <c r="CG113">
        <v>0</v>
      </c>
      <c r="CM113">
        <v>0</v>
      </c>
      <c r="CN113" t="s">
        <v>3</v>
      </c>
      <c r="CO113">
        <v>0</v>
      </c>
      <c r="CP113">
        <f t="shared" si="97"/>
        <v>40166.67</v>
      </c>
      <c r="CQ113">
        <f t="shared" si="98"/>
        <v>40166.67</v>
      </c>
      <c r="CR113">
        <f t="shared" si="99"/>
        <v>0</v>
      </c>
      <c r="CS113">
        <f t="shared" si="100"/>
        <v>0</v>
      </c>
      <c r="CT113">
        <f t="shared" si="101"/>
        <v>0</v>
      </c>
      <c r="CU113">
        <f t="shared" si="102"/>
        <v>0</v>
      </c>
      <c r="CV113">
        <f t="shared" si="103"/>
        <v>0</v>
      </c>
      <c r="CW113">
        <f t="shared" si="104"/>
        <v>0</v>
      </c>
      <c r="CX113">
        <f t="shared" si="105"/>
        <v>0</v>
      </c>
      <c r="CY113">
        <f t="shared" si="106"/>
        <v>0</v>
      </c>
      <c r="CZ113">
        <f t="shared" si="107"/>
        <v>0</v>
      </c>
      <c r="DC113" t="s">
        <v>3</v>
      </c>
      <c r="DD113" t="s">
        <v>3</v>
      </c>
      <c r="DE113" t="s">
        <v>3</v>
      </c>
      <c r="DF113" t="s">
        <v>3</v>
      </c>
      <c r="DG113" t="s">
        <v>3</v>
      </c>
      <c r="DH113" t="s">
        <v>3</v>
      </c>
      <c r="DI113" t="s">
        <v>3</v>
      </c>
      <c r="DJ113" t="s">
        <v>3</v>
      </c>
      <c r="DK113" t="s">
        <v>3</v>
      </c>
      <c r="DL113" t="s">
        <v>3</v>
      </c>
      <c r="DM113" t="s">
        <v>3</v>
      </c>
      <c r="DN113">
        <v>0</v>
      </c>
      <c r="DO113">
        <v>0</v>
      </c>
      <c r="DP113">
        <v>1</v>
      </c>
      <c r="DQ113">
        <v>1</v>
      </c>
      <c r="DU113">
        <v>1010</v>
      </c>
      <c r="DV113" t="s">
        <v>106</v>
      </c>
      <c r="DW113" t="s">
        <v>106</v>
      </c>
      <c r="DX113">
        <v>1</v>
      </c>
      <c r="EE113">
        <v>52362078</v>
      </c>
      <c r="EF113">
        <v>1</v>
      </c>
      <c r="EG113" t="s">
        <v>22</v>
      </c>
      <c r="EH113">
        <v>0</v>
      </c>
      <c r="EI113" t="s">
        <v>3</v>
      </c>
      <c r="EJ113">
        <v>4</v>
      </c>
      <c r="EK113">
        <v>0</v>
      </c>
      <c r="EL113" t="s">
        <v>23</v>
      </c>
      <c r="EM113" t="s">
        <v>24</v>
      </c>
      <c r="EO113" t="s">
        <v>3</v>
      </c>
      <c r="EQ113">
        <v>0</v>
      </c>
      <c r="ER113">
        <v>40166.67</v>
      </c>
      <c r="ES113">
        <v>40166.67</v>
      </c>
      <c r="ET113">
        <v>0</v>
      </c>
      <c r="EU113">
        <v>0</v>
      </c>
      <c r="EV113">
        <v>0</v>
      </c>
      <c r="EW113">
        <v>0</v>
      </c>
      <c r="EX113">
        <v>0</v>
      </c>
      <c r="EZ113">
        <v>5</v>
      </c>
      <c r="FC113">
        <v>1</v>
      </c>
      <c r="FD113">
        <v>18</v>
      </c>
      <c r="FF113">
        <v>48200</v>
      </c>
      <c r="FQ113">
        <v>0</v>
      </c>
      <c r="FR113">
        <f t="shared" si="108"/>
        <v>0</v>
      </c>
      <c r="FS113">
        <v>0</v>
      </c>
      <c r="FX113">
        <v>70</v>
      </c>
      <c r="FY113">
        <v>10</v>
      </c>
      <c r="GA113" t="s">
        <v>204</v>
      </c>
      <c r="GD113">
        <v>0</v>
      </c>
      <c r="GF113">
        <v>954585822</v>
      </c>
      <c r="GG113">
        <v>2</v>
      </c>
      <c r="GH113">
        <v>3</v>
      </c>
      <c r="GI113">
        <v>-2</v>
      </c>
      <c r="GJ113">
        <v>0</v>
      </c>
      <c r="GK113">
        <f>ROUND(R113*(R12)/100,2)</f>
        <v>0</v>
      </c>
      <c r="GL113">
        <f t="shared" si="109"/>
        <v>0</v>
      </c>
      <c r="GM113">
        <f t="shared" si="110"/>
        <v>40166.67</v>
      </c>
      <c r="GN113">
        <f t="shared" si="111"/>
        <v>0</v>
      </c>
      <c r="GO113">
        <f t="shared" si="112"/>
        <v>0</v>
      </c>
      <c r="GP113">
        <f t="shared" si="113"/>
        <v>40166.67</v>
      </c>
      <c r="GR113">
        <v>1</v>
      </c>
      <c r="GS113">
        <v>1</v>
      </c>
      <c r="GT113">
        <v>0</v>
      </c>
      <c r="GU113" t="s">
        <v>3</v>
      </c>
      <c r="GV113">
        <f t="shared" si="114"/>
        <v>0</v>
      </c>
      <c r="GW113">
        <v>1</v>
      </c>
      <c r="GX113">
        <f t="shared" si="115"/>
        <v>0</v>
      </c>
      <c r="HA113">
        <v>0</v>
      </c>
      <c r="HB113">
        <v>0</v>
      </c>
      <c r="HC113">
        <f t="shared" si="116"/>
        <v>0</v>
      </c>
      <c r="HE113" t="s">
        <v>108</v>
      </c>
      <c r="HF113" t="s">
        <v>108</v>
      </c>
      <c r="IK113">
        <v>0</v>
      </c>
    </row>
    <row r="114" spans="1:245" x14ac:dyDescent="0.2">
      <c r="A114">
        <v>18</v>
      </c>
      <c r="B114">
        <v>1</v>
      </c>
      <c r="C114">
        <v>124</v>
      </c>
      <c r="E114" t="s">
        <v>205</v>
      </c>
      <c r="F114" t="s">
        <v>104</v>
      </c>
      <c r="G114" t="s">
        <v>206</v>
      </c>
      <c r="H114" t="s">
        <v>106</v>
      </c>
      <c r="I114">
        <f>I104*J114</f>
        <v>1</v>
      </c>
      <c r="J114">
        <v>20</v>
      </c>
      <c r="O114">
        <f t="shared" si="77"/>
        <v>48916.67</v>
      </c>
      <c r="P114">
        <f t="shared" si="78"/>
        <v>48916.67</v>
      </c>
      <c r="Q114">
        <f t="shared" si="79"/>
        <v>0</v>
      </c>
      <c r="R114">
        <f t="shared" si="80"/>
        <v>0</v>
      </c>
      <c r="S114">
        <f t="shared" si="81"/>
        <v>0</v>
      </c>
      <c r="T114">
        <f t="shared" si="82"/>
        <v>0</v>
      </c>
      <c r="U114">
        <f t="shared" si="83"/>
        <v>0</v>
      </c>
      <c r="V114">
        <f t="shared" si="84"/>
        <v>0</v>
      </c>
      <c r="W114">
        <f t="shared" si="85"/>
        <v>0</v>
      </c>
      <c r="X114">
        <f t="shared" si="86"/>
        <v>0</v>
      </c>
      <c r="Y114">
        <f t="shared" si="87"/>
        <v>0</v>
      </c>
      <c r="AA114">
        <v>52430918</v>
      </c>
      <c r="AB114">
        <f t="shared" si="88"/>
        <v>48916.67</v>
      </c>
      <c r="AC114">
        <f t="shared" si="89"/>
        <v>48916.67</v>
      </c>
      <c r="AD114">
        <f t="shared" si="90"/>
        <v>0</v>
      </c>
      <c r="AE114">
        <f t="shared" si="91"/>
        <v>0</v>
      </c>
      <c r="AF114">
        <f t="shared" si="92"/>
        <v>0</v>
      </c>
      <c r="AG114">
        <f t="shared" si="93"/>
        <v>0</v>
      </c>
      <c r="AH114">
        <f t="shared" si="94"/>
        <v>0</v>
      </c>
      <c r="AI114">
        <f t="shared" si="95"/>
        <v>0</v>
      </c>
      <c r="AJ114">
        <f t="shared" si="96"/>
        <v>0</v>
      </c>
      <c r="AK114">
        <v>48916.67</v>
      </c>
      <c r="AL114">
        <v>48916.67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70</v>
      </c>
      <c r="AU114">
        <v>10</v>
      </c>
      <c r="AV114">
        <v>1</v>
      </c>
      <c r="AW114">
        <v>1</v>
      </c>
      <c r="AZ114">
        <v>1</v>
      </c>
      <c r="BA114">
        <v>1</v>
      </c>
      <c r="BB114">
        <v>1</v>
      </c>
      <c r="BC114">
        <v>1</v>
      </c>
      <c r="BD114" t="s">
        <v>3</v>
      </c>
      <c r="BE114" t="s">
        <v>3</v>
      </c>
      <c r="BF114" t="s">
        <v>3</v>
      </c>
      <c r="BG114" t="s">
        <v>3</v>
      </c>
      <c r="BH114">
        <v>3</v>
      </c>
      <c r="BI114">
        <v>4</v>
      </c>
      <c r="BJ114" t="s">
        <v>3</v>
      </c>
      <c r="BM114">
        <v>0</v>
      </c>
      <c r="BN114">
        <v>0</v>
      </c>
      <c r="BO114" t="s">
        <v>3</v>
      </c>
      <c r="BP114">
        <v>0</v>
      </c>
      <c r="BQ114">
        <v>1</v>
      </c>
      <c r="BR114">
        <v>0</v>
      </c>
      <c r="BS114">
        <v>1</v>
      </c>
      <c r="BT114">
        <v>1</v>
      </c>
      <c r="BU114">
        <v>1</v>
      </c>
      <c r="BV114">
        <v>1</v>
      </c>
      <c r="BW114">
        <v>1</v>
      </c>
      <c r="BX114">
        <v>1</v>
      </c>
      <c r="BY114" t="s">
        <v>3</v>
      </c>
      <c r="BZ114">
        <v>70</v>
      </c>
      <c r="CA114">
        <v>10</v>
      </c>
      <c r="CE114">
        <v>0</v>
      </c>
      <c r="CF114">
        <v>0</v>
      </c>
      <c r="CG114">
        <v>0</v>
      </c>
      <c r="CM114">
        <v>0</v>
      </c>
      <c r="CN114" t="s">
        <v>3</v>
      </c>
      <c r="CO114">
        <v>0</v>
      </c>
      <c r="CP114">
        <f t="shared" si="97"/>
        <v>48916.67</v>
      </c>
      <c r="CQ114">
        <f t="shared" si="98"/>
        <v>48916.67</v>
      </c>
      <c r="CR114">
        <f t="shared" si="99"/>
        <v>0</v>
      </c>
      <c r="CS114">
        <f t="shared" si="100"/>
        <v>0</v>
      </c>
      <c r="CT114">
        <f t="shared" si="101"/>
        <v>0</v>
      </c>
      <c r="CU114">
        <f t="shared" si="102"/>
        <v>0</v>
      </c>
      <c r="CV114">
        <f t="shared" si="103"/>
        <v>0</v>
      </c>
      <c r="CW114">
        <f t="shared" si="104"/>
        <v>0</v>
      </c>
      <c r="CX114">
        <f t="shared" si="105"/>
        <v>0</v>
      </c>
      <c r="CY114">
        <f t="shared" si="106"/>
        <v>0</v>
      </c>
      <c r="CZ114">
        <f t="shared" si="107"/>
        <v>0</v>
      </c>
      <c r="DC114" t="s">
        <v>3</v>
      </c>
      <c r="DD114" t="s">
        <v>3</v>
      </c>
      <c r="DE114" t="s">
        <v>3</v>
      </c>
      <c r="DF114" t="s">
        <v>3</v>
      </c>
      <c r="DG114" t="s">
        <v>3</v>
      </c>
      <c r="DH114" t="s">
        <v>3</v>
      </c>
      <c r="DI114" t="s">
        <v>3</v>
      </c>
      <c r="DJ114" t="s">
        <v>3</v>
      </c>
      <c r="DK114" t="s">
        <v>3</v>
      </c>
      <c r="DL114" t="s">
        <v>3</v>
      </c>
      <c r="DM114" t="s">
        <v>3</v>
      </c>
      <c r="DN114">
        <v>0</v>
      </c>
      <c r="DO114">
        <v>0</v>
      </c>
      <c r="DP114">
        <v>1</v>
      </c>
      <c r="DQ114">
        <v>1</v>
      </c>
      <c r="DU114">
        <v>1010</v>
      </c>
      <c r="DV114" t="s">
        <v>106</v>
      </c>
      <c r="DW114" t="s">
        <v>106</v>
      </c>
      <c r="DX114">
        <v>1</v>
      </c>
      <c r="EE114">
        <v>52362078</v>
      </c>
      <c r="EF114">
        <v>1</v>
      </c>
      <c r="EG114" t="s">
        <v>22</v>
      </c>
      <c r="EH114">
        <v>0</v>
      </c>
      <c r="EI114" t="s">
        <v>3</v>
      </c>
      <c r="EJ114">
        <v>4</v>
      </c>
      <c r="EK114">
        <v>0</v>
      </c>
      <c r="EL114" t="s">
        <v>23</v>
      </c>
      <c r="EM114" t="s">
        <v>24</v>
      </c>
      <c r="EO114" t="s">
        <v>3</v>
      </c>
      <c r="EQ114">
        <v>0</v>
      </c>
      <c r="ER114">
        <v>48916.67</v>
      </c>
      <c r="ES114">
        <v>48916.67</v>
      </c>
      <c r="ET114">
        <v>0</v>
      </c>
      <c r="EU114">
        <v>0</v>
      </c>
      <c r="EV114">
        <v>0</v>
      </c>
      <c r="EW114">
        <v>0</v>
      </c>
      <c r="EX114">
        <v>0</v>
      </c>
      <c r="EZ114">
        <v>5</v>
      </c>
      <c r="FC114">
        <v>1</v>
      </c>
      <c r="FD114">
        <v>18</v>
      </c>
      <c r="FF114">
        <v>58700</v>
      </c>
      <c r="FQ114">
        <v>0</v>
      </c>
      <c r="FR114">
        <f t="shared" si="108"/>
        <v>0</v>
      </c>
      <c r="FS114">
        <v>0</v>
      </c>
      <c r="FX114">
        <v>70</v>
      </c>
      <c r="FY114">
        <v>10</v>
      </c>
      <c r="GA114" t="s">
        <v>207</v>
      </c>
      <c r="GD114">
        <v>0</v>
      </c>
      <c r="GF114">
        <v>-696338570</v>
      </c>
      <c r="GG114">
        <v>2</v>
      </c>
      <c r="GH114">
        <v>3</v>
      </c>
      <c r="GI114">
        <v>-2</v>
      </c>
      <c r="GJ114">
        <v>0</v>
      </c>
      <c r="GK114">
        <f>ROUND(R114*(R12)/100,2)</f>
        <v>0</v>
      </c>
      <c r="GL114">
        <f t="shared" si="109"/>
        <v>0</v>
      </c>
      <c r="GM114">
        <f t="shared" si="110"/>
        <v>48916.67</v>
      </c>
      <c r="GN114">
        <f t="shared" si="111"/>
        <v>0</v>
      </c>
      <c r="GO114">
        <f t="shared" si="112"/>
        <v>0</v>
      </c>
      <c r="GP114">
        <f t="shared" si="113"/>
        <v>48916.67</v>
      </c>
      <c r="GR114">
        <v>1</v>
      </c>
      <c r="GS114">
        <v>1</v>
      </c>
      <c r="GT114">
        <v>0</v>
      </c>
      <c r="GU114" t="s">
        <v>3</v>
      </c>
      <c r="GV114">
        <f t="shared" si="114"/>
        <v>0</v>
      </c>
      <c r="GW114">
        <v>1</v>
      </c>
      <c r="GX114">
        <f t="shared" si="115"/>
        <v>0</v>
      </c>
      <c r="HA114">
        <v>0</v>
      </c>
      <c r="HB114">
        <v>0</v>
      </c>
      <c r="HC114">
        <f t="shared" si="116"/>
        <v>0</v>
      </c>
      <c r="HE114" t="s">
        <v>108</v>
      </c>
      <c r="HF114" t="s">
        <v>108</v>
      </c>
      <c r="IK114">
        <v>0</v>
      </c>
    </row>
    <row r="115" spans="1:245" x14ac:dyDescent="0.2">
      <c r="A115">
        <v>18</v>
      </c>
      <c r="B115">
        <v>1</v>
      </c>
      <c r="C115">
        <v>125</v>
      </c>
      <c r="E115" t="s">
        <v>208</v>
      </c>
      <c r="F115" t="s">
        <v>104</v>
      </c>
      <c r="G115" t="s">
        <v>209</v>
      </c>
      <c r="H115" t="s">
        <v>106</v>
      </c>
      <c r="I115">
        <f>I104*J115</f>
        <v>1</v>
      </c>
      <c r="J115">
        <v>20</v>
      </c>
      <c r="O115">
        <f t="shared" si="77"/>
        <v>10833.33</v>
      </c>
      <c r="P115">
        <f t="shared" si="78"/>
        <v>10833.33</v>
      </c>
      <c r="Q115">
        <f t="shared" si="79"/>
        <v>0</v>
      </c>
      <c r="R115">
        <f t="shared" si="80"/>
        <v>0</v>
      </c>
      <c r="S115">
        <f t="shared" si="81"/>
        <v>0</v>
      </c>
      <c r="T115">
        <f t="shared" si="82"/>
        <v>0</v>
      </c>
      <c r="U115">
        <f t="shared" si="83"/>
        <v>0</v>
      </c>
      <c r="V115">
        <f t="shared" si="84"/>
        <v>0</v>
      </c>
      <c r="W115">
        <f t="shared" si="85"/>
        <v>0</v>
      </c>
      <c r="X115">
        <f t="shared" si="86"/>
        <v>0</v>
      </c>
      <c r="Y115">
        <f t="shared" si="87"/>
        <v>0</v>
      </c>
      <c r="AA115">
        <v>52430918</v>
      </c>
      <c r="AB115">
        <f t="shared" si="88"/>
        <v>10833.33</v>
      </c>
      <c r="AC115">
        <f t="shared" si="89"/>
        <v>10833.33</v>
      </c>
      <c r="AD115">
        <f t="shared" si="90"/>
        <v>0</v>
      </c>
      <c r="AE115">
        <f t="shared" si="91"/>
        <v>0</v>
      </c>
      <c r="AF115">
        <f t="shared" si="92"/>
        <v>0</v>
      </c>
      <c r="AG115">
        <f t="shared" si="93"/>
        <v>0</v>
      </c>
      <c r="AH115">
        <f t="shared" si="94"/>
        <v>0</v>
      </c>
      <c r="AI115">
        <f t="shared" si="95"/>
        <v>0</v>
      </c>
      <c r="AJ115">
        <f t="shared" si="96"/>
        <v>0</v>
      </c>
      <c r="AK115">
        <v>10833.33</v>
      </c>
      <c r="AL115">
        <v>10833.33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70</v>
      </c>
      <c r="AU115">
        <v>10</v>
      </c>
      <c r="AV115">
        <v>1</v>
      </c>
      <c r="AW115">
        <v>1</v>
      </c>
      <c r="AZ115">
        <v>1</v>
      </c>
      <c r="BA115">
        <v>1</v>
      </c>
      <c r="BB115">
        <v>1</v>
      </c>
      <c r="BC115">
        <v>1</v>
      </c>
      <c r="BD115" t="s">
        <v>3</v>
      </c>
      <c r="BE115" t="s">
        <v>3</v>
      </c>
      <c r="BF115" t="s">
        <v>3</v>
      </c>
      <c r="BG115" t="s">
        <v>3</v>
      </c>
      <c r="BH115">
        <v>3</v>
      </c>
      <c r="BI115">
        <v>4</v>
      </c>
      <c r="BJ115" t="s">
        <v>3</v>
      </c>
      <c r="BM115">
        <v>0</v>
      </c>
      <c r="BN115">
        <v>0</v>
      </c>
      <c r="BO115" t="s">
        <v>3</v>
      </c>
      <c r="BP115">
        <v>0</v>
      </c>
      <c r="BQ115">
        <v>1</v>
      </c>
      <c r="BR115">
        <v>0</v>
      </c>
      <c r="BS115">
        <v>1</v>
      </c>
      <c r="BT115">
        <v>1</v>
      </c>
      <c r="BU115">
        <v>1</v>
      </c>
      <c r="BV115">
        <v>1</v>
      </c>
      <c r="BW115">
        <v>1</v>
      </c>
      <c r="BX115">
        <v>1</v>
      </c>
      <c r="BY115" t="s">
        <v>3</v>
      </c>
      <c r="BZ115">
        <v>70</v>
      </c>
      <c r="CA115">
        <v>10</v>
      </c>
      <c r="CE115">
        <v>0</v>
      </c>
      <c r="CF115">
        <v>0</v>
      </c>
      <c r="CG115">
        <v>0</v>
      </c>
      <c r="CM115">
        <v>0</v>
      </c>
      <c r="CN115" t="s">
        <v>3</v>
      </c>
      <c r="CO115">
        <v>0</v>
      </c>
      <c r="CP115">
        <f t="shared" si="97"/>
        <v>10833.33</v>
      </c>
      <c r="CQ115">
        <f t="shared" si="98"/>
        <v>10833.33</v>
      </c>
      <c r="CR115">
        <f t="shared" si="99"/>
        <v>0</v>
      </c>
      <c r="CS115">
        <f t="shared" si="100"/>
        <v>0</v>
      </c>
      <c r="CT115">
        <f t="shared" si="101"/>
        <v>0</v>
      </c>
      <c r="CU115">
        <f t="shared" si="102"/>
        <v>0</v>
      </c>
      <c r="CV115">
        <f t="shared" si="103"/>
        <v>0</v>
      </c>
      <c r="CW115">
        <f t="shared" si="104"/>
        <v>0</v>
      </c>
      <c r="CX115">
        <f t="shared" si="105"/>
        <v>0</v>
      </c>
      <c r="CY115">
        <f t="shared" si="106"/>
        <v>0</v>
      </c>
      <c r="CZ115">
        <f t="shared" si="107"/>
        <v>0</v>
      </c>
      <c r="DC115" t="s">
        <v>3</v>
      </c>
      <c r="DD115" t="s">
        <v>3</v>
      </c>
      <c r="DE115" t="s">
        <v>3</v>
      </c>
      <c r="DF115" t="s">
        <v>3</v>
      </c>
      <c r="DG115" t="s">
        <v>3</v>
      </c>
      <c r="DH115" t="s">
        <v>3</v>
      </c>
      <c r="DI115" t="s">
        <v>3</v>
      </c>
      <c r="DJ115" t="s">
        <v>3</v>
      </c>
      <c r="DK115" t="s">
        <v>3</v>
      </c>
      <c r="DL115" t="s">
        <v>3</v>
      </c>
      <c r="DM115" t="s">
        <v>3</v>
      </c>
      <c r="DN115">
        <v>0</v>
      </c>
      <c r="DO115">
        <v>0</v>
      </c>
      <c r="DP115">
        <v>1</v>
      </c>
      <c r="DQ115">
        <v>1</v>
      </c>
      <c r="DU115">
        <v>1010</v>
      </c>
      <c r="DV115" t="s">
        <v>106</v>
      </c>
      <c r="DW115" t="s">
        <v>106</v>
      </c>
      <c r="DX115">
        <v>1</v>
      </c>
      <c r="EE115">
        <v>52362078</v>
      </c>
      <c r="EF115">
        <v>1</v>
      </c>
      <c r="EG115" t="s">
        <v>22</v>
      </c>
      <c r="EH115">
        <v>0</v>
      </c>
      <c r="EI115" t="s">
        <v>3</v>
      </c>
      <c r="EJ115">
        <v>4</v>
      </c>
      <c r="EK115">
        <v>0</v>
      </c>
      <c r="EL115" t="s">
        <v>23</v>
      </c>
      <c r="EM115" t="s">
        <v>24</v>
      </c>
      <c r="EO115" t="s">
        <v>3</v>
      </c>
      <c r="EQ115">
        <v>0</v>
      </c>
      <c r="ER115">
        <v>10833.33</v>
      </c>
      <c r="ES115">
        <v>10833.33</v>
      </c>
      <c r="ET115">
        <v>0</v>
      </c>
      <c r="EU115">
        <v>0</v>
      </c>
      <c r="EV115">
        <v>0</v>
      </c>
      <c r="EW115">
        <v>0</v>
      </c>
      <c r="EX115">
        <v>0</v>
      </c>
      <c r="EZ115">
        <v>5</v>
      </c>
      <c r="FC115">
        <v>1</v>
      </c>
      <c r="FD115">
        <v>18</v>
      </c>
      <c r="FF115">
        <v>13000</v>
      </c>
      <c r="FQ115">
        <v>0</v>
      </c>
      <c r="FR115">
        <f t="shared" si="108"/>
        <v>0</v>
      </c>
      <c r="FS115">
        <v>0</v>
      </c>
      <c r="FX115">
        <v>70</v>
      </c>
      <c r="FY115">
        <v>10</v>
      </c>
      <c r="GA115" t="s">
        <v>210</v>
      </c>
      <c r="GD115">
        <v>0</v>
      </c>
      <c r="GF115">
        <v>1617365214</v>
      </c>
      <c r="GG115">
        <v>2</v>
      </c>
      <c r="GH115">
        <v>3</v>
      </c>
      <c r="GI115">
        <v>-2</v>
      </c>
      <c r="GJ115">
        <v>0</v>
      </c>
      <c r="GK115">
        <f>ROUND(R115*(R12)/100,2)</f>
        <v>0</v>
      </c>
      <c r="GL115">
        <f t="shared" si="109"/>
        <v>0</v>
      </c>
      <c r="GM115">
        <f t="shared" si="110"/>
        <v>10833.33</v>
      </c>
      <c r="GN115">
        <f t="shared" si="111"/>
        <v>0</v>
      </c>
      <c r="GO115">
        <f t="shared" si="112"/>
        <v>0</v>
      </c>
      <c r="GP115">
        <f t="shared" si="113"/>
        <v>10833.33</v>
      </c>
      <c r="GR115">
        <v>1</v>
      </c>
      <c r="GS115">
        <v>1</v>
      </c>
      <c r="GT115">
        <v>0</v>
      </c>
      <c r="GU115" t="s">
        <v>3</v>
      </c>
      <c r="GV115">
        <f t="shared" si="114"/>
        <v>0</v>
      </c>
      <c r="GW115">
        <v>1</v>
      </c>
      <c r="GX115">
        <f t="shared" si="115"/>
        <v>0</v>
      </c>
      <c r="HA115">
        <v>0</v>
      </c>
      <c r="HB115">
        <v>0</v>
      </c>
      <c r="HC115">
        <f t="shared" si="116"/>
        <v>0</v>
      </c>
      <c r="HE115" t="s">
        <v>108</v>
      </c>
      <c r="HF115" t="s">
        <v>108</v>
      </c>
      <c r="IK115">
        <v>0</v>
      </c>
    </row>
    <row r="117" spans="1:245" x14ac:dyDescent="0.2">
      <c r="A117" s="2">
        <v>51</v>
      </c>
      <c r="B117" s="2">
        <f>B89</f>
        <v>1</v>
      </c>
      <c r="C117" s="2">
        <f>A89</f>
        <v>5</v>
      </c>
      <c r="D117" s="2">
        <f>ROW(A89)</f>
        <v>89</v>
      </c>
      <c r="E117" s="2"/>
      <c r="F117" s="2" t="str">
        <f>IF(F89&lt;&gt;"",F89,"")</f>
        <v>Новый подраздел</v>
      </c>
      <c r="G117" s="2" t="str">
        <f>IF(G89&lt;&gt;"",G89,"")</f>
        <v>Игровая площадка группы №12</v>
      </c>
      <c r="H117" s="2">
        <v>0</v>
      </c>
      <c r="I117" s="2"/>
      <c r="J117" s="2"/>
      <c r="K117" s="2"/>
      <c r="L117" s="2"/>
      <c r="M117" s="2"/>
      <c r="N117" s="2"/>
      <c r="O117" s="2">
        <f t="shared" ref="O117:T117" si="117">ROUND(AB117,2)</f>
        <v>370296.35</v>
      </c>
      <c r="P117" s="2">
        <f t="shared" si="117"/>
        <v>323403.34000000003</v>
      </c>
      <c r="Q117" s="2">
        <f t="shared" si="117"/>
        <v>6978.44</v>
      </c>
      <c r="R117" s="2">
        <f t="shared" si="117"/>
        <v>3711.6</v>
      </c>
      <c r="S117" s="2">
        <f t="shared" si="117"/>
        <v>39914.57</v>
      </c>
      <c r="T117" s="2">
        <f t="shared" si="117"/>
        <v>0</v>
      </c>
      <c r="U117" s="2">
        <f>AH117</f>
        <v>185.77454</v>
      </c>
      <c r="V117" s="2">
        <f>AI117</f>
        <v>0</v>
      </c>
      <c r="W117" s="2">
        <f>ROUND(AJ117,2)</f>
        <v>0</v>
      </c>
      <c r="X117" s="2">
        <f>ROUND(AK117,2)</f>
        <v>27940.19</v>
      </c>
      <c r="Y117" s="2">
        <f>ROUND(AL117,2)</f>
        <v>3991.46</v>
      </c>
      <c r="Z117" s="2"/>
      <c r="AA117" s="2"/>
      <c r="AB117" s="2">
        <f>ROUND(SUMIF(AA93:AA115,"=52430918",O93:O115),2)</f>
        <v>370296.35</v>
      </c>
      <c r="AC117" s="2">
        <f>ROUND(SUMIF(AA93:AA115,"=52430918",P93:P115),2)</f>
        <v>323403.34000000003</v>
      </c>
      <c r="AD117" s="2">
        <f>ROUND(SUMIF(AA93:AA115,"=52430918",Q93:Q115),2)</f>
        <v>6978.44</v>
      </c>
      <c r="AE117" s="2">
        <f>ROUND(SUMIF(AA93:AA115,"=52430918",R93:R115),2)</f>
        <v>3711.6</v>
      </c>
      <c r="AF117" s="2">
        <f>ROUND(SUMIF(AA93:AA115,"=52430918",S93:S115),2)</f>
        <v>39914.57</v>
      </c>
      <c r="AG117" s="2">
        <f>ROUND(SUMIF(AA93:AA115,"=52430918",T93:T115),2)</f>
        <v>0</v>
      </c>
      <c r="AH117" s="2">
        <f>SUMIF(AA93:AA115,"=52430918",U93:U115)</f>
        <v>185.77454</v>
      </c>
      <c r="AI117" s="2">
        <f>SUMIF(AA93:AA115,"=52430918",V93:V115)</f>
        <v>0</v>
      </c>
      <c r="AJ117" s="2">
        <f>ROUND(SUMIF(AA93:AA115,"=52430918",W93:W115),2)</f>
        <v>0</v>
      </c>
      <c r="AK117" s="2">
        <f>ROUND(SUMIF(AA93:AA115,"=52430918",X93:X115),2)</f>
        <v>27940.19</v>
      </c>
      <c r="AL117" s="2">
        <f>ROUND(SUMIF(AA93:AA115,"=52430918",Y93:Y115),2)</f>
        <v>3991.46</v>
      </c>
      <c r="AM117" s="2"/>
      <c r="AN117" s="2"/>
      <c r="AO117" s="2">
        <f t="shared" ref="AO117:BD117" si="118">ROUND(BX117,2)</f>
        <v>0</v>
      </c>
      <c r="AP117" s="2">
        <f t="shared" si="118"/>
        <v>0</v>
      </c>
      <c r="AQ117" s="2">
        <f t="shared" si="118"/>
        <v>0</v>
      </c>
      <c r="AR117" s="2">
        <f t="shared" si="118"/>
        <v>406236.52</v>
      </c>
      <c r="AS117" s="2">
        <f t="shared" si="118"/>
        <v>0</v>
      </c>
      <c r="AT117" s="2">
        <f t="shared" si="118"/>
        <v>0</v>
      </c>
      <c r="AU117" s="2">
        <f t="shared" si="118"/>
        <v>406236.52</v>
      </c>
      <c r="AV117" s="2">
        <f t="shared" si="118"/>
        <v>323403.34000000003</v>
      </c>
      <c r="AW117" s="2">
        <f t="shared" si="118"/>
        <v>323403.34000000003</v>
      </c>
      <c r="AX117" s="2">
        <f t="shared" si="118"/>
        <v>0</v>
      </c>
      <c r="AY117" s="2">
        <f t="shared" si="118"/>
        <v>323403.34000000003</v>
      </c>
      <c r="AZ117" s="2">
        <f t="shared" si="118"/>
        <v>0</v>
      </c>
      <c r="BA117" s="2">
        <f t="shared" si="118"/>
        <v>0</v>
      </c>
      <c r="BB117" s="2">
        <f t="shared" si="118"/>
        <v>0</v>
      </c>
      <c r="BC117" s="2">
        <f t="shared" si="118"/>
        <v>0</v>
      </c>
      <c r="BD117" s="2">
        <f t="shared" si="118"/>
        <v>0</v>
      </c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>
        <f>ROUND(SUMIF(AA93:AA115,"=52430918",FQ93:FQ115),2)</f>
        <v>0</v>
      </c>
      <c r="BY117" s="2">
        <f>ROUND(SUMIF(AA93:AA115,"=52430918",FR93:FR115),2)</f>
        <v>0</v>
      </c>
      <c r="BZ117" s="2">
        <f>ROUND(SUMIF(AA93:AA115,"=52430918",GL93:GL115),2)</f>
        <v>0</v>
      </c>
      <c r="CA117" s="2">
        <f>ROUND(SUMIF(AA93:AA115,"=52430918",GM93:GM115),2)</f>
        <v>406236.52</v>
      </c>
      <c r="CB117" s="2">
        <f>ROUND(SUMIF(AA93:AA115,"=52430918",GN93:GN115),2)</f>
        <v>0</v>
      </c>
      <c r="CC117" s="2">
        <f>ROUND(SUMIF(AA93:AA115,"=52430918",GO93:GO115),2)</f>
        <v>0</v>
      </c>
      <c r="CD117" s="2">
        <f>ROUND(SUMIF(AA93:AA115,"=52430918",GP93:GP115),2)</f>
        <v>406236.52</v>
      </c>
      <c r="CE117" s="2">
        <f>AC117-BX117</f>
        <v>323403.34000000003</v>
      </c>
      <c r="CF117" s="2">
        <f>AC117-BY117</f>
        <v>323403.34000000003</v>
      </c>
      <c r="CG117" s="2">
        <f>BX117-BZ117</f>
        <v>0</v>
      </c>
      <c r="CH117" s="2">
        <f>AC117-BX117-BY117+BZ117</f>
        <v>323403.34000000003</v>
      </c>
      <c r="CI117" s="2">
        <f>BY117-BZ117</f>
        <v>0</v>
      </c>
      <c r="CJ117" s="2">
        <f>ROUND(SUMIF(AA93:AA115,"=52430918",GX93:GX115),2)</f>
        <v>0</v>
      </c>
      <c r="CK117" s="2">
        <f>ROUND(SUMIF(AA93:AA115,"=52430918",GY93:GY115),2)</f>
        <v>0</v>
      </c>
      <c r="CL117" s="2">
        <f>ROUND(SUMIF(AA93:AA115,"=52430918",GZ93:GZ115),2)</f>
        <v>0</v>
      </c>
      <c r="CM117" s="2">
        <f>ROUND(SUMIF(AA93:AA115,"=52430918",HD93:HD115),2)</f>
        <v>0</v>
      </c>
      <c r="CN117" s="2"/>
      <c r="CO117" s="2"/>
      <c r="CP117" s="2"/>
      <c r="CQ117" s="2"/>
      <c r="CR117" s="2"/>
      <c r="CS117" s="2"/>
      <c r="CT117" s="2"/>
      <c r="CU117" s="2"/>
      <c r="CV117" s="2"/>
      <c r="CW117" s="2"/>
      <c r="CX117" s="2"/>
      <c r="CY117" s="2"/>
      <c r="CZ117" s="2"/>
      <c r="DA117" s="2"/>
      <c r="DB117" s="2"/>
      <c r="DC117" s="2"/>
      <c r="DD117" s="2"/>
      <c r="DE117" s="2"/>
      <c r="DF117" s="2"/>
      <c r="DG117" s="3"/>
      <c r="DH117" s="3"/>
      <c r="DI117" s="3"/>
      <c r="DJ117" s="3"/>
      <c r="DK117" s="3"/>
      <c r="DL117" s="3"/>
      <c r="DM117" s="3"/>
      <c r="DN117" s="3"/>
      <c r="DO117" s="3"/>
      <c r="DP117" s="3"/>
      <c r="DQ117" s="3"/>
      <c r="DR117" s="3"/>
      <c r="DS117" s="3"/>
      <c r="DT117" s="3"/>
      <c r="DU117" s="3"/>
      <c r="DV117" s="3"/>
      <c r="DW117" s="3"/>
      <c r="DX117" s="3"/>
      <c r="DY117" s="3"/>
      <c r="DZ117" s="3"/>
      <c r="EA117" s="3"/>
      <c r="EB117" s="3"/>
      <c r="EC117" s="3"/>
      <c r="ED117" s="3"/>
      <c r="EE117" s="3"/>
      <c r="EF117" s="3"/>
      <c r="EG117" s="3"/>
      <c r="EH117" s="3"/>
      <c r="EI117" s="3"/>
      <c r="EJ117" s="3"/>
      <c r="EK117" s="3"/>
      <c r="EL117" s="3"/>
      <c r="EM117" s="3"/>
      <c r="EN117" s="3"/>
      <c r="EO117" s="3"/>
      <c r="EP117" s="3"/>
      <c r="EQ117" s="3"/>
      <c r="ER117" s="3"/>
      <c r="ES117" s="3"/>
      <c r="ET117" s="3"/>
      <c r="EU117" s="3"/>
      <c r="EV117" s="3"/>
      <c r="EW117" s="3"/>
      <c r="EX117" s="3"/>
      <c r="EY117" s="3"/>
      <c r="EZ117" s="3"/>
      <c r="FA117" s="3"/>
      <c r="FB117" s="3"/>
      <c r="FC117" s="3"/>
      <c r="FD117" s="3"/>
      <c r="FE117" s="3"/>
      <c r="FF117" s="3"/>
      <c r="FG117" s="3"/>
      <c r="FH117" s="3"/>
      <c r="FI117" s="3"/>
      <c r="FJ117" s="3"/>
      <c r="FK117" s="3"/>
      <c r="FL117" s="3"/>
      <c r="FM117" s="3"/>
      <c r="FN117" s="3"/>
      <c r="FO117" s="3"/>
      <c r="FP117" s="3"/>
      <c r="FQ117" s="3"/>
      <c r="FR117" s="3"/>
      <c r="FS117" s="3"/>
      <c r="FT117" s="3"/>
      <c r="FU117" s="3"/>
      <c r="FV117" s="3"/>
      <c r="FW117" s="3"/>
      <c r="FX117" s="3"/>
      <c r="FY117" s="3"/>
      <c r="FZ117" s="3"/>
      <c r="GA117" s="3"/>
      <c r="GB117" s="3"/>
      <c r="GC117" s="3"/>
      <c r="GD117" s="3"/>
      <c r="GE117" s="3"/>
      <c r="GF117" s="3"/>
      <c r="GG117" s="3"/>
      <c r="GH117" s="3"/>
      <c r="GI117" s="3"/>
      <c r="GJ117" s="3"/>
      <c r="GK117" s="3"/>
      <c r="GL117" s="3"/>
      <c r="GM117" s="3"/>
      <c r="GN117" s="3"/>
      <c r="GO117" s="3"/>
      <c r="GP117" s="3"/>
      <c r="GQ117" s="3"/>
      <c r="GR117" s="3"/>
      <c r="GS117" s="3"/>
      <c r="GT117" s="3"/>
      <c r="GU117" s="3"/>
      <c r="GV117" s="3"/>
      <c r="GW117" s="3"/>
      <c r="GX117" s="3">
        <v>0</v>
      </c>
    </row>
    <row r="119" spans="1:245" x14ac:dyDescent="0.2">
      <c r="A119" s="4">
        <v>50</v>
      </c>
      <c r="B119" s="4">
        <v>0</v>
      </c>
      <c r="C119" s="4">
        <v>0</v>
      </c>
      <c r="D119" s="4">
        <v>1</v>
      </c>
      <c r="E119" s="4">
        <v>201</v>
      </c>
      <c r="F119" s="4">
        <f>ROUND(Source!O117,O119)</f>
        <v>370296.35</v>
      </c>
      <c r="G119" s="4" t="s">
        <v>118</v>
      </c>
      <c r="H119" s="4" t="s">
        <v>119</v>
      </c>
      <c r="I119" s="4"/>
      <c r="J119" s="4"/>
      <c r="K119" s="4">
        <v>201</v>
      </c>
      <c r="L119" s="4">
        <v>1</v>
      </c>
      <c r="M119" s="4">
        <v>3</v>
      </c>
      <c r="N119" s="4" t="s">
        <v>3</v>
      </c>
      <c r="O119" s="4">
        <v>2</v>
      </c>
      <c r="P119" s="4"/>
      <c r="Q119" s="4"/>
      <c r="R119" s="4"/>
      <c r="S119" s="4"/>
      <c r="T119" s="4"/>
      <c r="U119" s="4"/>
      <c r="V119" s="4"/>
      <c r="W119" s="4"/>
    </row>
    <row r="120" spans="1:245" x14ac:dyDescent="0.2">
      <c r="A120" s="4">
        <v>50</v>
      </c>
      <c r="B120" s="4">
        <v>0</v>
      </c>
      <c r="C120" s="4">
        <v>0</v>
      </c>
      <c r="D120" s="4">
        <v>1</v>
      </c>
      <c r="E120" s="4">
        <v>202</v>
      </c>
      <c r="F120" s="4">
        <f>ROUND(Source!P117,O120)</f>
        <v>323403.34000000003</v>
      </c>
      <c r="G120" s="4" t="s">
        <v>120</v>
      </c>
      <c r="H120" s="4" t="s">
        <v>121</v>
      </c>
      <c r="I120" s="4"/>
      <c r="J120" s="4"/>
      <c r="K120" s="4">
        <v>202</v>
      </c>
      <c r="L120" s="4">
        <v>2</v>
      </c>
      <c r="M120" s="4">
        <v>3</v>
      </c>
      <c r="N120" s="4" t="s">
        <v>3</v>
      </c>
      <c r="O120" s="4">
        <v>2</v>
      </c>
      <c r="P120" s="4"/>
      <c r="Q120" s="4"/>
      <c r="R120" s="4"/>
      <c r="S120" s="4"/>
      <c r="T120" s="4"/>
      <c r="U120" s="4"/>
      <c r="V120" s="4"/>
      <c r="W120" s="4"/>
    </row>
    <row r="121" spans="1:245" x14ac:dyDescent="0.2">
      <c r="A121" s="4">
        <v>50</v>
      </c>
      <c r="B121" s="4">
        <v>0</v>
      </c>
      <c r="C121" s="4">
        <v>0</v>
      </c>
      <c r="D121" s="4">
        <v>1</v>
      </c>
      <c r="E121" s="4">
        <v>222</v>
      </c>
      <c r="F121" s="4">
        <f>ROUND(Source!AO117,O121)</f>
        <v>0</v>
      </c>
      <c r="G121" s="4" t="s">
        <v>122</v>
      </c>
      <c r="H121" s="4" t="s">
        <v>123</v>
      </c>
      <c r="I121" s="4"/>
      <c r="J121" s="4"/>
      <c r="K121" s="4">
        <v>222</v>
      </c>
      <c r="L121" s="4">
        <v>3</v>
      </c>
      <c r="M121" s="4">
        <v>3</v>
      </c>
      <c r="N121" s="4" t="s">
        <v>3</v>
      </c>
      <c r="O121" s="4">
        <v>2</v>
      </c>
      <c r="P121" s="4"/>
      <c r="Q121" s="4"/>
      <c r="R121" s="4"/>
      <c r="S121" s="4"/>
      <c r="T121" s="4"/>
      <c r="U121" s="4"/>
      <c r="V121" s="4"/>
      <c r="W121" s="4"/>
    </row>
    <row r="122" spans="1:245" x14ac:dyDescent="0.2">
      <c r="A122" s="4">
        <v>50</v>
      </c>
      <c r="B122" s="4">
        <v>0</v>
      </c>
      <c r="C122" s="4">
        <v>0</v>
      </c>
      <c r="D122" s="4">
        <v>1</v>
      </c>
      <c r="E122" s="4">
        <v>225</v>
      </c>
      <c r="F122" s="4">
        <f>ROUND(Source!AV117,O122)</f>
        <v>323403.34000000003</v>
      </c>
      <c r="G122" s="4" t="s">
        <v>124</v>
      </c>
      <c r="H122" s="4" t="s">
        <v>125</v>
      </c>
      <c r="I122" s="4"/>
      <c r="J122" s="4"/>
      <c r="K122" s="4">
        <v>225</v>
      </c>
      <c r="L122" s="4">
        <v>4</v>
      </c>
      <c r="M122" s="4">
        <v>3</v>
      </c>
      <c r="N122" s="4" t="s">
        <v>3</v>
      </c>
      <c r="O122" s="4">
        <v>2</v>
      </c>
      <c r="P122" s="4"/>
      <c r="Q122" s="4"/>
      <c r="R122" s="4"/>
      <c r="S122" s="4"/>
      <c r="T122" s="4"/>
      <c r="U122" s="4"/>
      <c r="V122" s="4"/>
      <c r="W122" s="4"/>
    </row>
    <row r="123" spans="1:245" x14ac:dyDescent="0.2">
      <c r="A123" s="4">
        <v>50</v>
      </c>
      <c r="B123" s="4">
        <v>0</v>
      </c>
      <c r="C123" s="4">
        <v>0</v>
      </c>
      <c r="D123" s="4">
        <v>1</v>
      </c>
      <c r="E123" s="4">
        <v>226</v>
      </c>
      <c r="F123" s="4">
        <f>ROUND(Source!AW117,O123)</f>
        <v>323403.34000000003</v>
      </c>
      <c r="G123" s="4" t="s">
        <v>126</v>
      </c>
      <c r="H123" s="4" t="s">
        <v>127</v>
      </c>
      <c r="I123" s="4"/>
      <c r="J123" s="4"/>
      <c r="K123" s="4">
        <v>226</v>
      </c>
      <c r="L123" s="4">
        <v>5</v>
      </c>
      <c r="M123" s="4">
        <v>3</v>
      </c>
      <c r="N123" s="4" t="s">
        <v>3</v>
      </c>
      <c r="O123" s="4">
        <v>2</v>
      </c>
      <c r="P123" s="4"/>
      <c r="Q123" s="4"/>
      <c r="R123" s="4"/>
      <c r="S123" s="4"/>
      <c r="T123" s="4"/>
      <c r="U123" s="4"/>
      <c r="V123" s="4"/>
      <c r="W123" s="4"/>
    </row>
    <row r="124" spans="1:245" x14ac:dyDescent="0.2">
      <c r="A124" s="4">
        <v>50</v>
      </c>
      <c r="B124" s="4">
        <v>0</v>
      </c>
      <c r="C124" s="4">
        <v>0</v>
      </c>
      <c r="D124" s="4">
        <v>1</v>
      </c>
      <c r="E124" s="4">
        <v>227</v>
      </c>
      <c r="F124" s="4">
        <f>ROUND(Source!AX117,O124)</f>
        <v>0</v>
      </c>
      <c r="G124" s="4" t="s">
        <v>128</v>
      </c>
      <c r="H124" s="4" t="s">
        <v>129</v>
      </c>
      <c r="I124" s="4"/>
      <c r="J124" s="4"/>
      <c r="K124" s="4">
        <v>227</v>
      </c>
      <c r="L124" s="4">
        <v>6</v>
      </c>
      <c r="M124" s="4">
        <v>3</v>
      </c>
      <c r="N124" s="4" t="s">
        <v>3</v>
      </c>
      <c r="O124" s="4">
        <v>2</v>
      </c>
      <c r="P124" s="4"/>
      <c r="Q124" s="4"/>
      <c r="R124" s="4"/>
      <c r="S124" s="4"/>
      <c r="T124" s="4"/>
      <c r="U124" s="4"/>
      <c r="V124" s="4"/>
      <c r="W124" s="4"/>
    </row>
    <row r="125" spans="1:245" x14ac:dyDescent="0.2">
      <c r="A125" s="4">
        <v>50</v>
      </c>
      <c r="B125" s="4">
        <v>0</v>
      </c>
      <c r="C125" s="4">
        <v>0</v>
      </c>
      <c r="D125" s="4">
        <v>1</v>
      </c>
      <c r="E125" s="4">
        <v>228</v>
      </c>
      <c r="F125" s="4">
        <f>ROUND(Source!AY117,O125)</f>
        <v>323403.34000000003</v>
      </c>
      <c r="G125" s="4" t="s">
        <v>130</v>
      </c>
      <c r="H125" s="4" t="s">
        <v>131</v>
      </c>
      <c r="I125" s="4"/>
      <c r="J125" s="4"/>
      <c r="K125" s="4">
        <v>228</v>
      </c>
      <c r="L125" s="4">
        <v>7</v>
      </c>
      <c r="M125" s="4">
        <v>3</v>
      </c>
      <c r="N125" s="4" t="s">
        <v>3</v>
      </c>
      <c r="O125" s="4">
        <v>2</v>
      </c>
      <c r="P125" s="4"/>
      <c r="Q125" s="4"/>
      <c r="R125" s="4"/>
      <c r="S125" s="4"/>
      <c r="T125" s="4"/>
      <c r="U125" s="4"/>
      <c r="V125" s="4"/>
      <c r="W125" s="4"/>
    </row>
    <row r="126" spans="1:245" x14ac:dyDescent="0.2">
      <c r="A126" s="4">
        <v>50</v>
      </c>
      <c r="B126" s="4">
        <v>0</v>
      </c>
      <c r="C126" s="4">
        <v>0</v>
      </c>
      <c r="D126" s="4">
        <v>1</v>
      </c>
      <c r="E126" s="4">
        <v>216</v>
      </c>
      <c r="F126" s="4">
        <f>ROUND(Source!AP117,O126)</f>
        <v>0</v>
      </c>
      <c r="G126" s="4" t="s">
        <v>132</v>
      </c>
      <c r="H126" s="4" t="s">
        <v>133</v>
      </c>
      <c r="I126" s="4"/>
      <c r="J126" s="4"/>
      <c r="K126" s="4">
        <v>216</v>
      </c>
      <c r="L126" s="4">
        <v>8</v>
      </c>
      <c r="M126" s="4">
        <v>3</v>
      </c>
      <c r="N126" s="4" t="s">
        <v>3</v>
      </c>
      <c r="O126" s="4">
        <v>2</v>
      </c>
      <c r="P126" s="4"/>
      <c r="Q126" s="4"/>
      <c r="R126" s="4"/>
      <c r="S126" s="4"/>
      <c r="T126" s="4"/>
      <c r="U126" s="4"/>
      <c r="V126" s="4"/>
      <c r="W126" s="4"/>
    </row>
    <row r="127" spans="1:245" x14ac:dyDescent="0.2">
      <c r="A127" s="4">
        <v>50</v>
      </c>
      <c r="B127" s="4">
        <v>0</v>
      </c>
      <c r="C127" s="4">
        <v>0</v>
      </c>
      <c r="D127" s="4">
        <v>1</v>
      </c>
      <c r="E127" s="4">
        <v>223</v>
      </c>
      <c r="F127" s="4">
        <f>ROUND(Source!AQ117,O127)</f>
        <v>0</v>
      </c>
      <c r="G127" s="4" t="s">
        <v>134</v>
      </c>
      <c r="H127" s="4" t="s">
        <v>135</v>
      </c>
      <c r="I127" s="4"/>
      <c r="J127" s="4"/>
      <c r="K127" s="4">
        <v>223</v>
      </c>
      <c r="L127" s="4">
        <v>9</v>
      </c>
      <c r="M127" s="4">
        <v>3</v>
      </c>
      <c r="N127" s="4" t="s">
        <v>3</v>
      </c>
      <c r="O127" s="4">
        <v>2</v>
      </c>
      <c r="P127" s="4"/>
      <c r="Q127" s="4"/>
      <c r="R127" s="4"/>
      <c r="S127" s="4"/>
      <c r="T127" s="4"/>
      <c r="U127" s="4"/>
      <c r="V127" s="4"/>
      <c r="W127" s="4"/>
    </row>
    <row r="128" spans="1:245" x14ac:dyDescent="0.2">
      <c r="A128" s="4">
        <v>50</v>
      </c>
      <c r="B128" s="4">
        <v>0</v>
      </c>
      <c r="C128" s="4">
        <v>0</v>
      </c>
      <c r="D128" s="4">
        <v>1</v>
      </c>
      <c r="E128" s="4">
        <v>229</v>
      </c>
      <c r="F128" s="4">
        <f>ROUND(Source!AZ117,O128)</f>
        <v>0</v>
      </c>
      <c r="G128" s="4" t="s">
        <v>136</v>
      </c>
      <c r="H128" s="4" t="s">
        <v>137</v>
      </c>
      <c r="I128" s="4"/>
      <c r="J128" s="4"/>
      <c r="K128" s="4">
        <v>229</v>
      </c>
      <c r="L128" s="4">
        <v>10</v>
      </c>
      <c r="M128" s="4">
        <v>3</v>
      </c>
      <c r="N128" s="4" t="s">
        <v>3</v>
      </c>
      <c r="O128" s="4">
        <v>2</v>
      </c>
      <c r="P128" s="4"/>
      <c r="Q128" s="4"/>
      <c r="R128" s="4"/>
      <c r="S128" s="4"/>
      <c r="T128" s="4"/>
      <c r="U128" s="4"/>
      <c r="V128" s="4"/>
      <c r="W128" s="4"/>
    </row>
    <row r="129" spans="1:23" x14ac:dyDescent="0.2">
      <c r="A129" s="4">
        <v>50</v>
      </c>
      <c r="B129" s="4">
        <v>0</v>
      </c>
      <c r="C129" s="4">
        <v>0</v>
      </c>
      <c r="D129" s="4">
        <v>1</v>
      </c>
      <c r="E129" s="4">
        <v>203</v>
      </c>
      <c r="F129" s="4">
        <f>ROUND(Source!Q117,O129)</f>
        <v>6978.44</v>
      </c>
      <c r="G129" s="4" t="s">
        <v>138</v>
      </c>
      <c r="H129" s="4" t="s">
        <v>139</v>
      </c>
      <c r="I129" s="4"/>
      <c r="J129" s="4"/>
      <c r="K129" s="4">
        <v>203</v>
      </c>
      <c r="L129" s="4">
        <v>11</v>
      </c>
      <c r="M129" s="4">
        <v>3</v>
      </c>
      <c r="N129" s="4" t="s">
        <v>3</v>
      </c>
      <c r="O129" s="4">
        <v>2</v>
      </c>
      <c r="P129" s="4"/>
      <c r="Q129" s="4"/>
      <c r="R129" s="4"/>
      <c r="S129" s="4"/>
      <c r="T129" s="4"/>
      <c r="U129" s="4"/>
      <c r="V129" s="4"/>
      <c r="W129" s="4"/>
    </row>
    <row r="130" spans="1:23" x14ac:dyDescent="0.2">
      <c r="A130" s="4">
        <v>50</v>
      </c>
      <c r="B130" s="4">
        <v>0</v>
      </c>
      <c r="C130" s="4">
        <v>0</v>
      </c>
      <c r="D130" s="4">
        <v>1</v>
      </c>
      <c r="E130" s="4">
        <v>231</v>
      </c>
      <c r="F130" s="4">
        <f>ROUND(Source!BB117,O130)</f>
        <v>0</v>
      </c>
      <c r="G130" s="4" t="s">
        <v>140</v>
      </c>
      <c r="H130" s="4" t="s">
        <v>141</v>
      </c>
      <c r="I130" s="4"/>
      <c r="J130" s="4"/>
      <c r="K130" s="4">
        <v>231</v>
      </c>
      <c r="L130" s="4">
        <v>12</v>
      </c>
      <c r="M130" s="4">
        <v>3</v>
      </c>
      <c r="N130" s="4" t="s">
        <v>3</v>
      </c>
      <c r="O130" s="4">
        <v>2</v>
      </c>
      <c r="P130" s="4"/>
      <c r="Q130" s="4"/>
      <c r="R130" s="4"/>
      <c r="S130" s="4"/>
      <c r="T130" s="4"/>
      <c r="U130" s="4"/>
      <c r="V130" s="4"/>
      <c r="W130" s="4"/>
    </row>
    <row r="131" spans="1:23" x14ac:dyDescent="0.2">
      <c r="A131" s="4">
        <v>50</v>
      </c>
      <c r="B131" s="4">
        <v>0</v>
      </c>
      <c r="C131" s="4">
        <v>0</v>
      </c>
      <c r="D131" s="4">
        <v>1</v>
      </c>
      <c r="E131" s="4">
        <v>204</v>
      </c>
      <c r="F131" s="4">
        <f>ROUND(Source!R117,O131)</f>
        <v>3711.6</v>
      </c>
      <c r="G131" s="4" t="s">
        <v>142</v>
      </c>
      <c r="H131" s="4" t="s">
        <v>143</v>
      </c>
      <c r="I131" s="4"/>
      <c r="J131" s="4"/>
      <c r="K131" s="4">
        <v>204</v>
      </c>
      <c r="L131" s="4">
        <v>13</v>
      </c>
      <c r="M131" s="4">
        <v>3</v>
      </c>
      <c r="N131" s="4" t="s">
        <v>3</v>
      </c>
      <c r="O131" s="4">
        <v>2</v>
      </c>
      <c r="P131" s="4"/>
      <c r="Q131" s="4"/>
      <c r="R131" s="4"/>
      <c r="S131" s="4"/>
      <c r="T131" s="4"/>
      <c r="U131" s="4"/>
      <c r="V131" s="4"/>
      <c r="W131" s="4"/>
    </row>
    <row r="132" spans="1:23" x14ac:dyDescent="0.2">
      <c r="A132" s="4">
        <v>50</v>
      </c>
      <c r="B132" s="4">
        <v>0</v>
      </c>
      <c r="C132" s="4">
        <v>0</v>
      </c>
      <c r="D132" s="4">
        <v>1</v>
      </c>
      <c r="E132" s="4">
        <v>205</v>
      </c>
      <c r="F132" s="4">
        <f>ROUND(Source!S117,O132)</f>
        <v>39914.57</v>
      </c>
      <c r="G132" s="4" t="s">
        <v>144</v>
      </c>
      <c r="H132" s="4" t="s">
        <v>145</v>
      </c>
      <c r="I132" s="4"/>
      <c r="J132" s="4"/>
      <c r="K132" s="4">
        <v>205</v>
      </c>
      <c r="L132" s="4">
        <v>14</v>
      </c>
      <c r="M132" s="4">
        <v>3</v>
      </c>
      <c r="N132" s="4" t="s">
        <v>3</v>
      </c>
      <c r="O132" s="4">
        <v>2</v>
      </c>
      <c r="P132" s="4"/>
      <c r="Q132" s="4"/>
      <c r="R132" s="4"/>
      <c r="S132" s="4"/>
      <c r="T132" s="4"/>
      <c r="U132" s="4"/>
      <c r="V132" s="4"/>
      <c r="W132" s="4"/>
    </row>
    <row r="133" spans="1:23" x14ac:dyDescent="0.2">
      <c r="A133" s="4">
        <v>50</v>
      </c>
      <c r="B133" s="4">
        <v>0</v>
      </c>
      <c r="C133" s="4">
        <v>0</v>
      </c>
      <c r="D133" s="4">
        <v>1</v>
      </c>
      <c r="E133" s="4">
        <v>232</v>
      </c>
      <c r="F133" s="4">
        <f>ROUND(Source!BC117,O133)</f>
        <v>0</v>
      </c>
      <c r="G133" s="4" t="s">
        <v>146</v>
      </c>
      <c r="H133" s="4" t="s">
        <v>147</v>
      </c>
      <c r="I133" s="4"/>
      <c r="J133" s="4"/>
      <c r="K133" s="4">
        <v>232</v>
      </c>
      <c r="L133" s="4">
        <v>15</v>
      </c>
      <c r="M133" s="4">
        <v>3</v>
      </c>
      <c r="N133" s="4" t="s">
        <v>3</v>
      </c>
      <c r="O133" s="4">
        <v>2</v>
      </c>
      <c r="P133" s="4"/>
      <c r="Q133" s="4"/>
      <c r="R133" s="4"/>
      <c r="S133" s="4"/>
      <c r="T133" s="4"/>
      <c r="U133" s="4"/>
      <c r="V133" s="4"/>
      <c r="W133" s="4"/>
    </row>
    <row r="134" spans="1:23" x14ac:dyDescent="0.2">
      <c r="A134" s="4">
        <v>50</v>
      </c>
      <c r="B134" s="4">
        <v>0</v>
      </c>
      <c r="C134" s="4">
        <v>0</v>
      </c>
      <c r="D134" s="4">
        <v>1</v>
      </c>
      <c r="E134" s="4">
        <v>214</v>
      </c>
      <c r="F134" s="4">
        <f>ROUND(Source!AS117,O134)</f>
        <v>0</v>
      </c>
      <c r="G134" s="4" t="s">
        <v>148</v>
      </c>
      <c r="H134" s="4" t="s">
        <v>149</v>
      </c>
      <c r="I134" s="4"/>
      <c r="J134" s="4"/>
      <c r="K134" s="4">
        <v>214</v>
      </c>
      <c r="L134" s="4">
        <v>16</v>
      </c>
      <c r="M134" s="4">
        <v>3</v>
      </c>
      <c r="N134" s="4" t="s">
        <v>3</v>
      </c>
      <c r="O134" s="4">
        <v>2</v>
      </c>
      <c r="P134" s="4"/>
      <c r="Q134" s="4"/>
      <c r="R134" s="4"/>
      <c r="S134" s="4"/>
      <c r="T134" s="4"/>
      <c r="U134" s="4"/>
      <c r="V134" s="4"/>
      <c r="W134" s="4"/>
    </row>
    <row r="135" spans="1:23" x14ac:dyDescent="0.2">
      <c r="A135" s="4">
        <v>50</v>
      </c>
      <c r="B135" s="4">
        <v>0</v>
      </c>
      <c r="C135" s="4">
        <v>0</v>
      </c>
      <c r="D135" s="4">
        <v>1</v>
      </c>
      <c r="E135" s="4">
        <v>215</v>
      </c>
      <c r="F135" s="4">
        <f>ROUND(Source!AT117,O135)</f>
        <v>0</v>
      </c>
      <c r="G135" s="4" t="s">
        <v>150</v>
      </c>
      <c r="H135" s="4" t="s">
        <v>151</v>
      </c>
      <c r="I135" s="4"/>
      <c r="J135" s="4"/>
      <c r="K135" s="4">
        <v>215</v>
      </c>
      <c r="L135" s="4">
        <v>17</v>
      </c>
      <c r="M135" s="4">
        <v>3</v>
      </c>
      <c r="N135" s="4" t="s">
        <v>3</v>
      </c>
      <c r="O135" s="4">
        <v>2</v>
      </c>
      <c r="P135" s="4"/>
      <c r="Q135" s="4"/>
      <c r="R135" s="4"/>
      <c r="S135" s="4"/>
      <c r="T135" s="4"/>
      <c r="U135" s="4"/>
      <c r="V135" s="4"/>
      <c r="W135" s="4"/>
    </row>
    <row r="136" spans="1:23" x14ac:dyDescent="0.2">
      <c r="A136" s="4">
        <v>50</v>
      </c>
      <c r="B136" s="4">
        <v>0</v>
      </c>
      <c r="C136" s="4">
        <v>0</v>
      </c>
      <c r="D136" s="4">
        <v>1</v>
      </c>
      <c r="E136" s="4">
        <v>217</v>
      </c>
      <c r="F136" s="4">
        <f>ROUND(Source!AU117,O136)</f>
        <v>406236.52</v>
      </c>
      <c r="G136" s="4" t="s">
        <v>152</v>
      </c>
      <c r="H136" s="4" t="s">
        <v>153</v>
      </c>
      <c r="I136" s="4"/>
      <c r="J136" s="4"/>
      <c r="K136" s="4">
        <v>217</v>
      </c>
      <c r="L136" s="4">
        <v>18</v>
      </c>
      <c r="M136" s="4">
        <v>3</v>
      </c>
      <c r="N136" s="4" t="s">
        <v>3</v>
      </c>
      <c r="O136" s="4">
        <v>2</v>
      </c>
      <c r="P136" s="4"/>
      <c r="Q136" s="4"/>
      <c r="R136" s="4"/>
      <c r="S136" s="4"/>
      <c r="T136" s="4"/>
      <c r="U136" s="4"/>
      <c r="V136" s="4"/>
      <c r="W136" s="4"/>
    </row>
    <row r="137" spans="1:23" x14ac:dyDescent="0.2">
      <c r="A137" s="4">
        <v>50</v>
      </c>
      <c r="B137" s="4">
        <v>0</v>
      </c>
      <c r="C137" s="4">
        <v>0</v>
      </c>
      <c r="D137" s="4">
        <v>1</v>
      </c>
      <c r="E137" s="4">
        <v>230</v>
      </c>
      <c r="F137" s="4">
        <f>ROUND(Source!BA117,O137)</f>
        <v>0</v>
      </c>
      <c r="G137" s="4" t="s">
        <v>154</v>
      </c>
      <c r="H137" s="4" t="s">
        <v>155</v>
      </c>
      <c r="I137" s="4"/>
      <c r="J137" s="4"/>
      <c r="K137" s="4">
        <v>230</v>
      </c>
      <c r="L137" s="4">
        <v>19</v>
      </c>
      <c r="M137" s="4">
        <v>3</v>
      </c>
      <c r="N137" s="4" t="s">
        <v>3</v>
      </c>
      <c r="O137" s="4">
        <v>2</v>
      </c>
      <c r="P137" s="4"/>
      <c r="Q137" s="4"/>
      <c r="R137" s="4"/>
      <c r="S137" s="4"/>
      <c r="T137" s="4"/>
      <c r="U137" s="4"/>
      <c r="V137" s="4"/>
      <c r="W137" s="4"/>
    </row>
    <row r="138" spans="1:23" x14ac:dyDescent="0.2">
      <c r="A138" s="4">
        <v>50</v>
      </c>
      <c r="B138" s="4">
        <v>0</v>
      </c>
      <c r="C138" s="4">
        <v>0</v>
      </c>
      <c r="D138" s="4">
        <v>1</v>
      </c>
      <c r="E138" s="4">
        <v>206</v>
      </c>
      <c r="F138" s="4">
        <f>ROUND(Source!T117,O138)</f>
        <v>0</v>
      </c>
      <c r="G138" s="4" t="s">
        <v>156</v>
      </c>
      <c r="H138" s="4" t="s">
        <v>157</v>
      </c>
      <c r="I138" s="4"/>
      <c r="J138" s="4"/>
      <c r="K138" s="4">
        <v>206</v>
      </c>
      <c r="L138" s="4">
        <v>20</v>
      </c>
      <c r="M138" s="4">
        <v>3</v>
      </c>
      <c r="N138" s="4" t="s">
        <v>3</v>
      </c>
      <c r="O138" s="4">
        <v>2</v>
      </c>
      <c r="P138" s="4"/>
      <c r="Q138" s="4"/>
      <c r="R138" s="4"/>
      <c r="S138" s="4"/>
      <c r="T138" s="4"/>
      <c r="U138" s="4"/>
      <c r="V138" s="4"/>
      <c r="W138" s="4"/>
    </row>
    <row r="139" spans="1:23" x14ac:dyDescent="0.2">
      <c r="A139" s="4">
        <v>50</v>
      </c>
      <c r="B139" s="4">
        <v>0</v>
      </c>
      <c r="C139" s="4">
        <v>0</v>
      </c>
      <c r="D139" s="4">
        <v>1</v>
      </c>
      <c r="E139" s="4">
        <v>207</v>
      </c>
      <c r="F139" s="4">
        <f>Source!U117</f>
        <v>185.77454</v>
      </c>
      <c r="G139" s="4" t="s">
        <v>158</v>
      </c>
      <c r="H139" s="4" t="s">
        <v>159</v>
      </c>
      <c r="I139" s="4"/>
      <c r="J139" s="4"/>
      <c r="K139" s="4">
        <v>207</v>
      </c>
      <c r="L139" s="4">
        <v>21</v>
      </c>
      <c r="M139" s="4">
        <v>3</v>
      </c>
      <c r="N139" s="4" t="s">
        <v>3</v>
      </c>
      <c r="O139" s="4">
        <v>-1</v>
      </c>
      <c r="P139" s="4"/>
      <c r="Q139" s="4"/>
      <c r="R139" s="4"/>
      <c r="S139" s="4"/>
      <c r="T139" s="4"/>
      <c r="U139" s="4"/>
      <c r="V139" s="4"/>
      <c r="W139" s="4"/>
    </row>
    <row r="140" spans="1:23" x14ac:dyDescent="0.2">
      <c r="A140" s="4">
        <v>50</v>
      </c>
      <c r="B140" s="4">
        <v>0</v>
      </c>
      <c r="C140" s="4">
        <v>0</v>
      </c>
      <c r="D140" s="4">
        <v>1</v>
      </c>
      <c r="E140" s="4">
        <v>208</v>
      </c>
      <c r="F140" s="4">
        <f>Source!V117</f>
        <v>0</v>
      </c>
      <c r="G140" s="4" t="s">
        <v>160</v>
      </c>
      <c r="H140" s="4" t="s">
        <v>161</v>
      </c>
      <c r="I140" s="4"/>
      <c r="J140" s="4"/>
      <c r="K140" s="4">
        <v>208</v>
      </c>
      <c r="L140" s="4">
        <v>22</v>
      </c>
      <c r="M140" s="4">
        <v>3</v>
      </c>
      <c r="N140" s="4" t="s">
        <v>3</v>
      </c>
      <c r="O140" s="4">
        <v>-1</v>
      </c>
      <c r="P140" s="4"/>
      <c r="Q140" s="4"/>
      <c r="R140" s="4"/>
      <c r="S140" s="4"/>
      <c r="T140" s="4"/>
      <c r="U140" s="4"/>
      <c r="V140" s="4"/>
      <c r="W140" s="4"/>
    </row>
    <row r="141" spans="1:23" x14ac:dyDescent="0.2">
      <c r="A141" s="4">
        <v>50</v>
      </c>
      <c r="B141" s="4">
        <v>0</v>
      </c>
      <c r="C141" s="4">
        <v>0</v>
      </c>
      <c r="D141" s="4">
        <v>1</v>
      </c>
      <c r="E141" s="4">
        <v>209</v>
      </c>
      <c r="F141" s="4">
        <f>ROUND(Source!W117,O141)</f>
        <v>0</v>
      </c>
      <c r="G141" s="4" t="s">
        <v>162</v>
      </c>
      <c r="H141" s="4" t="s">
        <v>163</v>
      </c>
      <c r="I141" s="4"/>
      <c r="J141" s="4"/>
      <c r="K141" s="4">
        <v>209</v>
      </c>
      <c r="L141" s="4">
        <v>23</v>
      </c>
      <c r="M141" s="4">
        <v>3</v>
      </c>
      <c r="N141" s="4" t="s">
        <v>3</v>
      </c>
      <c r="O141" s="4">
        <v>2</v>
      </c>
      <c r="P141" s="4"/>
      <c r="Q141" s="4"/>
      <c r="R141" s="4"/>
      <c r="S141" s="4"/>
      <c r="T141" s="4"/>
      <c r="U141" s="4"/>
      <c r="V141" s="4"/>
      <c r="W141" s="4"/>
    </row>
    <row r="142" spans="1:23" x14ac:dyDescent="0.2">
      <c r="A142" s="4">
        <v>50</v>
      </c>
      <c r="B142" s="4">
        <v>0</v>
      </c>
      <c r="C142" s="4">
        <v>0</v>
      </c>
      <c r="D142" s="4">
        <v>1</v>
      </c>
      <c r="E142" s="4">
        <v>233</v>
      </c>
      <c r="F142" s="4">
        <f>ROUND(Source!BD117,O142)</f>
        <v>0</v>
      </c>
      <c r="G142" s="4" t="s">
        <v>164</v>
      </c>
      <c r="H142" s="4" t="s">
        <v>165</v>
      </c>
      <c r="I142" s="4"/>
      <c r="J142" s="4"/>
      <c r="K142" s="4">
        <v>233</v>
      </c>
      <c r="L142" s="4">
        <v>24</v>
      </c>
      <c r="M142" s="4">
        <v>3</v>
      </c>
      <c r="N142" s="4" t="s">
        <v>3</v>
      </c>
      <c r="O142" s="4">
        <v>2</v>
      </c>
      <c r="P142" s="4"/>
      <c r="Q142" s="4"/>
      <c r="R142" s="4"/>
      <c r="S142" s="4"/>
      <c r="T142" s="4"/>
      <c r="U142" s="4"/>
      <c r="V142" s="4"/>
      <c r="W142" s="4"/>
    </row>
    <row r="143" spans="1:23" x14ac:dyDescent="0.2">
      <c r="A143" s="4">
        <v>50</v>
      </c>
      <c r="B143" s="4">
        <v>0</v>
      </c>
      <c r="C143" s="4">
        <v>0</v>
      </c>
      <c r="D143" s="4">
        <v>1</v>
      </c>
      <c r="E143" s="4">
        <v>210</v>
      </c>
      <c r="F143" s="4">
        <f>ROUND(Source!X117,O143)</f>
        <v>27940.19</v>
      </c>
      <c r="G143" s="4" t="s">
        <v>166</v>
      </c>
      <c r="H143" s="4" t="s">
        <v>167</v>
      </c>
      <c r="I143" s="4"/>
      <c r="J143" s="4"/>
      <c r="K143" s="4">
        <v>210</v>
      </c>
      <c r="L143" s="4">
        <v>25</v>
      </c>
      <c r="M143" s="4">
        <v>3</v>
      </c>
      <c r="N143" s="4" t="s">
        <v>3</v>
      </c>
      <c r="O143" s="4">
        <v>2</v>
      </c>
      <c r="P143" s="4"/>
      <c r="Q143" s="4"/>
      <c r="R143" s="4"/>
      <c r="S143" s="4"/>
      <c r="T143" s="4"/>
      <c r="U143" s="4"/>
      <c r="V143" s="4"/>
      <c r="W143" s="4"/>
    </row>
    <row r="144" spans="1:23" x14ac:dyDescent="0.2">
      <c r="A144" s="4">
        <v>50</v>
      </c>
      <c r="B144" s="4">
        <v>0</v>
      </c>
      <c r="C144" s="4">
        <v>0</v>
      </c>
      <c r="D144" s="4">
        <v>1</v>
      </c>
      <c r="E144" s="4">
        <v>211</v>
      </c>
      <c r="F144" s="4">
        <f>ROUND(Source!Y117,O144)</f>
        <v>3991.46</v>
      </c>
      <c r="G144" s="4" t="s">
        <v>168</v>
      </c>
      <c r="H144" s="4" t="s">
        <v>169</v>
      </c>
      <c r="I144" s="4"/>
      <c r="J144" s="4"/>
      <c r="K144" s="4">
        <v>211</v>
      </c>
      <c r="L144" s="4">
        <v>26</v>
      </c>
      <c r="M144" s="4">
        <v>3</v>
      </c>
      <c r="N144" s="4" t="s">
        <v>3</v>
      </c>
      <c r="O144" s="4">
        <v>2</v>
      </c>
      <c r="P144" s="4"/>
      <c r="Q144" s="4"/>
      <c r="R144" s="4"/>
      <c r="S144" s="4"/>
      <c r="T144" s="4"/>
      <c r="U144" s="4"/>
      <c r="V144" s="4"/>
      <c r="W144" s="4"/>
    </row>
    <row r="145" spans="1:245" x14ac:dyDescent="0.2">
      <c r="A145" s="4">
        <v>50</v>
      </c>
      <c r="B145" s="4">
        <v>0</v>
      </c>
      <c r="C145" s="4">
        <v>0</v>
      </c>
      <c r="D145" s="4">
        <v>1</v>
      </c>
      <c r="E145" s="4">
        <v>224</v>
      </c>
      <c r="F145" s="4">
        <f>ROUND(Source!AR117,O145)</f>
        <v>406236.52</v>
      </c>
      <c r="G145" s="4" t="s">
        <v>170</v>
      </c>
      <c r="H145" s="4" t="s">
        <v>171</v>
      </c>
      <c r="I145" s="4"/>
      <c r="J145" s="4"/>
      <c r="K145" s="4">
        <v>224</v>
      </c>
      <c r="L145" s="4">
        <v>27</v>
      </c>
      <c r="M145" s="4">
        <v>3</v>
      </c>
      <c r="N145" s="4" t="s">
        <v>3</v>
      </c>
      <c r="O145" s="4">
        <v>2</v>
      </c>
      <c r="P145" s="4"/>
      <c r="Q145" s="4"/>
      <c r="R145" s="4"/>
      <c r="S145" s="4"/>
      <c r="T145" s="4"/>
      <c r="U145" s="4"/>
      <c r="V145" s="4"/>
      <c r="W145" s="4"/>
    </row>
    <row r="147" spans="1:245" x14ac:dyDescent="0.2">
      <c r="A147" s="1">
        <v>5</v>
      </c>
      <c r="B147" s="1">
        <v>1</v>
      </c>
      <c r="C147" s="1"/>
      <c r="D147" s="1">
        <f>ROW(A173)</f>
        <v>173</v>
      </c>
      <c r="E147" s="1"/>
      <c r="F147" s="1" t="s">
        <v>15</v>
      </c>
      <c r="G147" s="1" t="s">
        <v>211</v>
      </c>
      <c r="H147" s="1" t="s">
        <v>3</v>
      </c>
      <c r="I147" s="1">
        <v>0</v>
      </c>
      <c r="J147" s="1"/>
      <c r="K147" s="1">
        <v>-1</v>
      </c>
      <c r="L147" s="1"/>
      <c r="M147" s="1"/>
      <c r="N147" s="1"/>
      <c r="O147" s="1"/>
      <c r="P147" s="1"/>
      <c r="Q147" s="1"/>
      <c r="R147" s="1"/>
      <c r="S147" s="1"/>
      <c r="T147" s="1"/>
      <c r="U147" s="1" t="s">
        <v>3</v>
      </c>
      <c r="V147" s="1">
        <v>0</v>
      </c>
      <c r="W147" s="1"/>
      <c r="X147" s="1"/>
      <c r="Y147" s="1"/>
      <c r="Z147" s="1"/>
      <c r="AA147" s="1"/>
      <c r="AB147" s="1" t="s">
        <v>3</v>
      </c>
      <c r="AC147" s="1" t="s">
        <v>3</v>
      </c>
      <c r="AD147" s="1" t="s">
        <v>3</v>
      </c>
      <c r="AE147" s="1" t="s">
        <v>3</v>
      </c>
      <c r="AF147" s="1" t="s">
        <v>3</v>
      </c>
      <c r="AG147" s="1" t="s">
        <v>3</v>
      </c>
      <c r="AH147" s="1"/>
      <c r="AI147" s="1"/>
      <c r="AJ147" s="1"/>
      <c r="AK147" s="1"/>
      <c r="AL147" s="1"/>
      <c r="AM147" s="1"/>
      <c r="AN147" s="1"/>
      <c r="AO147" s="1"/>
      <c r="AP147" s="1" t="s">
        <v>3</v>
      </c>
      <c r="AQ147" s="1" t="s">
        <v>3</v>
      </c>
      <c r="AR147" s="1" t="s">
        <v>3</v>
      </c>
      <c r="AS147" s="1"/>
      <c r="AT147" s="1"/>
      <c r="AU147" s="1"/>
      <c r="AV147" s="1"/>
      <c r="AW147" s="1"/>
      <c r="AX147" s="1"/>
      <c r="AY147" s="1"/>
      <c r="AZ147" s="1" t="s">
        <v>3</v>
      </c>
      <c r="BA147" s="1"/>
      <c r="BB147" s="1" t="s">
        <v>3</v>
      </c>
      <c r="BC147" s="1" t="s">
        <v>3</v>
      </c>
      <c r="BD147" s="1" t="s">
        <v>3</v>
      </c>
      <c r="BE147" s="1" t="s">
        <v>3</v>
      </c>
      <c r="BF147" s="1" t="s">
        <v>3</v>
      </c>
      <c r="BG147" s="1" t="s">
        <v>3</v>
      </c>
      <c r="BH147" s="1" t="s">
        <v>3</v>
      </c>
      <c r="BI147" s="1" t="s">
        <v>3</v>
      </c>
      <c r="BJ147" s="1" t="s">
        <v>3</v>
      </c>
      <c r="BK147" s="1" t="s">
        <v>3</v>
      </c>
      <c r="BL147" s="1" t="s">
        <v>3</v>
      </c>
      <c r="BM147" s="1" t="s">
        <v>3</v>
      </c>
      <c r="BN147" s="1" t="s">
        <v>3</v>
      </c>
      <c r="BO147" s="1" t="s">
        <v>3</v>
      </c>
      <c r="BP147" s="1" t="s">
        <v>3</v>
      </c>
      <c r="BQ147" s="1"/>
      <c r="BR147" s="1"/>
      <c r="BS147" s="1"/>
      <c r="BT147" s="1"/>
      <c r="BU147" s="1"/>
      <c r="BV147" s="1"/>
      <c r="BW147" s="1"/>
      <c r="BX147" s="1">
        <v>0</v>
      </c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>
        <v>0</v>
      </c>
    </row>
    <row r="149" spans="1:245" x14ac:dyDescent="0.2">
      <c r="A149" s="2">
        <v>52</v>
      </c>
      <c r="B149" s="2">
        <f t="shared" ref="B149:G149" si="119">B173</f>
        <v>1</v>
      </c>
      <c r="C149" s="2">
        <f t="shared" si="119"/>
        <v>5</v>
      </c>
      <c r="D149" s="2">
        <f t="shared" si="119"/>
        <v>147</v>
      </c>
      <c r="E149" s="2">
        <f t="shared" si="119"/>
        <v>0</v>
      </c>
      <c r="F149" s="2" t="str">
        <f t="shared" si="119"/>
        <v>Новый подраздел</v>
      </c>
      <c r="G149" s="2" t="str">
        <f t="shared" si="119"/>
        <v>Игровая площадка группы № 11</v>
      </c>
      <c r="H149" s="2"/>
      <c r="I149" s="2"/>
      <c r="J149" s="2"/>
      <c r="K149" s="2"/>
      <c r="L149" s="2"/>
      <c r="M149" s="2"/>
      <c r="N149" s="2"/>
      <c r="O149" s="2">
        <f t="shared" ref="O149:AT149" si="120">O173</f>
        <v>317860.96999999997</v>
      </c>
      <c r="P149" s="2">
        <f t="shared" si="120"/>
        <v>268052.18</v>
      </c>
      <c r="Q149" s="2">
        <f t="shared" si="120"/>
        <v>8504.98</v>
      </c>
      <c r="R149" s="2">
        <f t="shared" si="120"/>
        <v>4522.68</v>
      </c>
      <c r="S149" s="2">
        <f t="shared" si="120"/>
        <v>41303.81</v>
      </c>
      <c r="T149" s="2">
        <f t="shared" si="120"/>
        <v>0</v>
      </c>
      <c r="U149" s="2">
        <f t="shared" si="120"/>
        <v>197.21099400000003</v>
      </c>
      <c r="V149" s="2">
        <f t="shared" si="120"/>
        <v>0</v>
      </c>
      <c r="W149" s="2">
        <f t="shared" si="120"/>
        <v>0</v>
      </c>
      <c r="X149" s="2">
        <f t="shared" si="120"/>
        <v>28912.67</v>
      </c>
      <c r="Y149" s="2">
        <f t="shared" si="120"/>
        <v>4130.38</v>
      </c>
      <c r="Z149" s="2">
        <f t="shared" si="120"/>
        <v>0</v>
      </c>
      <c r="AA149" s="2">
        <f t="shared" si="120"/>
        <v>0</v>
      </c>
      <c r="AB149" s="2">
        <f t="shared" si="120"/>
        <v>317860.96999999997</v>
      </c>
      <c r="AC149" s="2">
        <f t="shared" si="120"/>
        <v>268052.18</v>
      </c>
      <c r="AD149" s="2">
        <f t="shared" si="120"/>
        <v>8504.98</v>
      </c>
      <c r="AE149" s="2">
        <f t="shared" si="120"/>
        <v>4522.68</v>
      </c>
      <c r="AF149" s="2">
        <f t="shared" si="120"/>
        <v>41303.81</v>
      </c>
      <c r="AG149" s="2">
        <f t="shared" si="120"/>
        <v>0</v>
      </c>
      <c r="AH149" s="2">
        <f t="shared" si="120"/>
        <v>197.21099400000003</v>
      </c>
      <c r="AI149" s="2">
        <f t="shared" si="120"/>
        <v>0</v>
      </c>
      <c r="AJ149" s="2">
        <f t="shared" si="120"/>
        <v>0</v>
      </c>
      <c r="AK149" s="2">
        <f t="shared" si="120"/>
        <v>28912.67</v>
      </c>
      <c r="AL149" s="2">
        <f t="shared" si="120"/>
        <v>4130.38</v>
      </c>
      <c r="AM149" s="2">
        <f t="shared" si="120"/>
        <v>0</v>
      </c>
      <c r="AN149" s="2">
        <f t="shared" si="120"/>
        <v>0</v>
      </c>
      <c r="AO149" s="2">
        <f t="shared" si="120"/>
        <v>0</v>
      </c>
      <c r="AP149" s="2">
        <f t="shared" si="120"/>
        <v>0</v>
      </c>
      <c r="AQ149" s="2">
        <f t="shared" si="120"/>
        <v>0</v>
      </c>
      <c r="AR149" s="2">
        <f t="shared" si="120"/>
        <v>355788.51</v>
      </c>
      <c r="AS149" s="2">
        <f t="shared" si="120"/>
        <v>0</v>
      </c>
      <c r="AT149" s="2">
        <f t="shared" si="120"/>
        <v>0</v>
      </c>
      <c r="AU149" s="2">
        <f t="shared" ref="AU149:BZ149" si="121">AU173</f>
        <v>355788.51</v>
      </c>
      <c r="AV149" s="2">
        <f t="shared" si="121"/>
        <v>268052.18</v>
      </c>
      <c r="AW149" s="2">
        <f t="shared" si="121"/>
        <v>268052.18</v>
      </c>
      <c r="AX149" s="2">
        <f t="shared" si="121"/>
        <v>0</v>
      </c>
      <c r="AY149" s="2">
        <f t="shared" si="121"/>
        <v>268052.18</v>
      </c>
      <c r="AZ149" s="2">
        <f t="shared" si="121"/>
        <v>0</v>
      </c>
      <c r="BA149" s="2">
        <f t="shared" si="121"/>
        <v>0</v>
      </c>
      <c r="BB149" s="2">
        <f t="shared" si="121"/>
        <v>0</v>
      </c>
      <c r="BC149" s="2">
        <f t="shared" si="121"/>
        <v>0</v>
      </c>
      <c r="BD149" s="2">
        <f t="shared" si="121"/>
        <v>0</v>
      </c>
      <c r="BE149" s="2">
        <f t="shared" si="121"/>
        <v>0</v>
      </c>
      <c r="BF149" s="2">
        <f t="shared" si="121"/>
        <v>0</v>
      </c>
      <c r="BG149" s="2">
        <f t="shared" si="121"/>
        <v>0</v>
      </c>
      <c r="BH149" s="2">
        <f t="shared" si="121"/>
        <v>0</v>
      </c>
      <c r="BI149" s="2">
        <f t="shared" si="121"/>
        <v>0</v>
      </c>
      <c r="BJ149" s="2">
        <f t="shared" si="121"/>
        <v>0</v>
      </c>
      <c r="BK149" s="2">
        <f t="shared" si="121"/>
        <v>0</v>
      </c>
      <c r="BL149" s="2">
        <f t="shared" si="121"/>
        <v>0</v>
      </c>
      <c r="BM149" s="2">
        <f t="shared" si="121"/>
        <v>0</v>
      </c>
      <c r="BN149" s="2">
        <f t="shared" si="121"/>
        <v>0</v>
      </c>
      <c r="BO149" s="2">
        <f t="shared" si="121"/>
        <v>0</v>
      </c>
      <c r="BP149" s="2">
        <f t="shared" si="121"/>
        <v>0</v>
      </c>
      <c r="BQ149" s="2">
        <f t="shared" si="121"/>
        <v>0</v>
      </c>
      <c r="BR149" s="2">
        <f t="shared" si="121"/>
        <v>0</v>
      </c>
      <c r="BS149" s="2">
        <f t="shared" si="121"/>
        <v>0</v>
      </c>
      <c r="BT149" s="2">
        <f t="shared" si="121"/>
        <v>0</v>
      </c>
      <c r="BU149" s="2">
        <f t="shared" si="121"/>
        <v>0</v>
      </c>
      <c r="BV149" s="2">
        <f t="shared" si="121"/>
        <v>0</v>
      </c>
      <c r="BW149" s="2">
        <f t="shared" si="121"/>
        <v>0</v>
      </c>
      <c r="BX149" s="2">
        <f t="shared" si="121"/>
        <v>0</v>
      </c>
      <c r="BY149" s="2">
        <f t="shared" si="121"/>
        <v>0</v>
      </c>
      <c r="BZ149" s="2">
        <f t="shared" si="121"/>
        <v>0</v>
      </c>
      <c r="CA149" s="2">
        <f t="shared" ref="CA149:DF149" si="122">CA173</f>
        <v>355788.51</v>
      </c>
      <c r="CB149" s="2">
        <f t="shared" si="122"/>
        <v>0</v>
      </c>
      <c r="CC149" s="2">
        <f t="shared" si="122"/>
        <v>0</v>
      </c>
      <c r="CD149" s="2">
        <f t="shared" si="122"/>
        <v>355788.51</v>
      </c>
      <c r="CE149" s="2">
        <f t="shared" si="122"/>
        <v>268052.18</v>
      </c>
      <c r="CF149" s="2">
        <f t="shared" si="122"/>
        <v>268052.18</v>
      </c>
      <c r="CG149" s="2">
        <f t="shared" si="122"/>
        <v>0</v>
      </c>
      <c r="CH149" s="2">
        <f t="shared" si="122"/>
        <v>268052.18</v>
      </c>
      <c r="CI149" s="2">
        <f t="shared" si="122"/>
        <v>0</v>
      </c>
      <c r="CJ149" s="2">
        <f t="shared" si="122"/>
        <v>0</v>
      </c>
      <c r="CK149" s="2">
        <f t="shared" si="122"/>
        <v>0</v>
      </c>
      <c r="CL149" s="2">
        <f t="shared" si="122"/>
        <v>0</v>
      </c>
      <c r="CM149" s="2">
        <f t="shared" si="122"/>
        <v>0</v>
      </c>
      <c r="CN149" s="2">
        <f t="shared" si="122"/>
        <v>0</v>
      </c>
      <c r="CO149" s="2">
        <f t="shared" si="122"/>
        <v>0</v>
      </c>
      <c r="CP149" s="2">
        <f t="shared" si="122"/>
        <v>0</v>
      </c>
      <c r="CQ149" s="2">
        <f t="shared" si="122"/>
        <v>0</v>
      </c>
      <c r="CR149" s="2">
        <f t="shared" si="122"/>
        <v>0</v>
      </c>
      <c r="CS149" s="2">
        <f t="shared" si="122"/>
        <v>0</v>
      </c>
      <c r="CT149" s="2">
        <f t="shared" si="122"/>
        <v>0</v>
      </c>
      <c r="CU149" s="2">
        <f t="shared" si="122"/>
        <v>0</v>
      </c>
      <c r="CV149" s="2">
        <f t="shared" si="122"/>
        <v>0</v>
      </c>
      <c r="CW149" s="2">
        <f t="shared" si="122"/>
        <v>0</v>
      </c>
      <c r="CX149" s="2">
        <f t="shared" si="122"/>
        <v>0</v>
      </c>
      <c r="CY149" s="2">
        <f t="shared" si="122"/>
        <v>0</v>
      </c>
      <c r="CZ149" s="2">
        <f t="shared" si="122"/>
        <v>0</v>
      </c>
      <c r="DA149" s="2">
        <f t="shared" si="122"/>
        <v>0</v>
      </c>
      <c r="DB149" s="2">
        <f t="shared" si="122"/>
        <v>0</v>
      </c>
      <c r="DC149" s="2">
        <f t="shared" si="122"/>
        <v>0</v>
      </c>
      <c r="DD149" s="2">
        <f t="shared" si="122"/>
        <v>0</v>
      </c>
      <c r="DE149" s="2">
        <f t="shared" si="122"/>
        <v>0</v>
      </c>
      <c r="DF149" s="2">
        <f t="shared" si="122"/>
        <v>0</v>
      </c>
      <c r="DG149" s="3">
        <f t="shared" ref="DG149:EL149" si="123">DG173</f>
        <v>0</v>
      </c>
      <c r="DH149" s="3">
        <f t="shared" si="123"/>
        <v>0</v>
      </c>
      <c r="DI149" s="3">
        <f t="shared" si="123"/>
        <v>0</v>
      </c>
      <c r="DJ149" s="3">
        <f t="shared" si="123"/>
        <v>0</v>
      </c>
      <c r="DK149" s="3">
        <f t="shared" si="123"/>
        <v>0</v>
      </c>
      <c r="DL149" s="3">
        <f t="shared" si="123"/>
        <v>0</v>
      </c>
      <c r="DM149" s="3">
        <f t="shared" si="123"/>
        <v>0</v>
      </c>
      <c r="DN149" s="3">
        <f t="shared" si="123"/>
        <v>0</v>
      </c>
      <c r="DO149" s="3">
        <f t="shared" si="123"/>
        <v>0</v>
      </c>
      <c r="DP149" s="3">
        <f t="shared" si="123"/>
        <v>0</v>
      </c>
      <c r="DQ149" s="3">
        <f t="shared" si="123"/>
        <v>0</v>
      </c>
      <c r="DR149" s="3">
        <f t="shared" si="123"/>
        <v>0</v>
      </c>
      <c r="DS149" s="3">
        <f t="shared" si="123"/>
        <v>0</v>
      </c>
      <c r="DT149" s="3">
        <f t="shared" si="123"/>
        <v>0</v>
      </c>
      <c r="DU149" s="3">
        <f t="shared" si="123"/>
        <v>0</v>
      </c>
      <c r="DV149" s="3">
        <f t="shared" si="123"/>
        <v>0</v>
      </c>
      <c r="DW149" s="3">
        <f t="shared" si="123"/>
        <v>0</v>
      </c>
      <c r="DX149" s="3">
        <f t="shared" si="123"/>
        <v>0</v>
      </c>
      <c r="DY149" s="3">
        <f t="shared" si="123"/>
        <v>0</v>
      </c>
      <c r="DZ149" s="3">
        <f t="shared" si="123"/>
        <v>0</v>
      </c>
      <c r="EA149" s="3">
        <f t="shared" si="123"/>
        <v>0</v>
      </c>
      <c r="EB149" s="3">
        <f t="shared" si="123"/>
        <v>0</v>
      </c>
      <c r="EC149" s="3">
        <f t="shared" si="123"/>
        <v>0</v>
      </c>
      <c r="ED149" s="3">
        <f t="shared" si="123"/>
        <v>0</v>
      </c>
      <c r="EE149" s="3">
        <f t="shared" si="123"/>
        <v>0</v>
      </c>
      <c r="EF149" s="3">
        <f t="shared" si="123"/>
        <v>0</v>
      </c>
      <c r="EG149" s="3">
        <f t="shared" si="123"/>
        <v>0</v>
      </c>
      <c r="EH149" s="3">
        <f t="shared" si="123"/>
        <v>0</v>
      </c>
      <c r="EI149" s="3">
        <f t="shared" si="123"/>
        <v>0</v>
      </c>
      <c r="EJ149" s="3">
        <f t="shared" si="123"/>
        <v>0</v>
      </c>
      <c r="EK149" s="3">
        <f t="shared" si="123"/>
        <v>0</v>
      </c>
      <c r="EL149" s="3">
        <f t="shared" si="123"/>
        <v>0</v>
      </c>
      <c r="EM149" s="3">
        <f t="shared" ref="EM149:FR149" si="124">EM173</f>
        <v>0</v>
      </c>
      <c r="EN149" s="3">
        <f t="shared" si="124"/>
        <v>0</v>
      </c>
      <c r="EO149" s="3">
        <f t="shared" si="124"/>
        <v>0</v>
      </c>
      <c r="EP149" s="3">
        <f t="shared" si="124"/>
        <v>0</v>
      </c>
      <c r="EQ149" s="3">
        <f t="shared" si="124"/>
        <v>0</v>
      </c>
      <c r="ER149" s="3">
        <f t="shared" si="124"/>
        <v>0</v>
      </c>
      <c r="ES149" s="3">
        <f t="shared" si="124"/>
        <v>0</v>
      </c>
      <c r="ET149" s="3">
        <f t="shared" si="124"/>
        <v>0</v>
      </c>
      <c r="EU149" s="3">
        <f t="shared" si="124"/>
        <v>0</v>
      </c>
      <c r="EV149" s="3">
        <f t="shared" si="124"/>
        <v>0</v>
      </c>
      <c r="EW149" s="3">
        <f t="shared" si="124"/>
        <v>0</v>
      </c>
      <c r="EX149" s="3">
        <f t="shared" si="124"/>
        <v>0</v>
      </c>
      <c r="EY149" s="3">
        <f t="shared" si="124"/>
        <v>0</v>
      </c>
      <c r="EZ149" s="3">
        <f t="shared" si="124"/>
        <v>0</v>
      </c>
      <c r="FA149" s="3">
        <f t="shared" si="124"/>
        <v>0</v>
      </c>
      <c r="FB149" s="3">
        <f t="shared" si="124"/>
        <v>0</v>
      </c>
      <c r="FC149" s="3">
        <f t="shared" si="124"/>
        <v>0</v>
      </c>
      <c r="FD149" s="3">
        <f t="shared" si="124"/>
        <v>0</v>
      </c>
      <c r="FE149" s="3">
        <f t="shared" si="124"/>
        <v>0</v>
      </c>
      <c r="FF149" s="3">
        <f t="shared" si="124"/>
        <v>0</v>
      </c>
      <c r="FG149" s="3">
        <f t="shared" si="124"/>
        <v>0</v>
      </c>
      <c r="FH149" s="3">
        <f t="shared" si="124"/>
        <v>0</v>
      </c>
      <c r="FI149" s="3">
        <f t="shared" si="124"/>
        <v>0</v>
      </c>
      <c r="FJ149" s="3">
        <f t="shared" si="124"/>
        <v>0</v>
      </c>
      <c r="FK149" s="3">
        <f t="shared" si="124"/>
        <v>0</v>
      </c>
      <c r="FL149" s="3">
        <f t="shared" si="124"/>
        <v>0</v>
      </c>
      <c r="FM149" s="3">
        <f t="shared" si="124"/>
        <v>0</v>
      </c>
      <c r="FN149" s="3">
        <f t="shared" si="124"/>
        <v>0</v>
      </c>
      <c r="FO149" s="3">
        <f t="shared" si="124"/>
        <v>0</v>
      </c>
      <c r="FP149" s="3">
        <f t="shared" si="124"/>
        <v>0</v>
      </c>
      <c r="FQ149" s="3">
        <f t="shared" si="124"/>
        <v>0</v>
      </c>
      <c r="FR149" s="3">
        <f t="shared" si="124"/>
        <v>0</v>
      </c>
      <c r="FS149" s="3">
        <f t="shared" ref="FS149:GX149" si="125">FS173</f>
        <v>0</v>
      </c>
      <c r="FT149" s="3">
        <f t="shared" si="125"/>
        <v>0</v>
      </c>
      <c r="FU149" s="3">
        <f t="shared" si="125"/>
        <v>0</v>
      </c>
      <c r="FV149" s="3">
        <f t="shared" si="125"/>
        <v>0</v>
      </c>
      <c r="FW149" s="3">
        <f t="shared" si="125"/>
        <v>0</v>
      </c>
      <c r="FX149" s="3">
        <f t="shared" si="125"/>
        <v>0</v>
      </c>
      <c r="FY149" s="3">
        <f t="shared" si="125"/>
        <v>0</v>
      </c>
      <c r="FZ149" s="3">
        <f t="shared" si="125"/>
        <v>0</v>
      </c>
      <c r="GA149" s="3">
        <f t="shared" si="125"/>
        <v>0</v>
      </c>
      <c r="GB149" s="3">
        <f t="shared" si="125"/>
        <v>0</v>
      </c>
      <c r="GC149" s="3">
        <f t="shared" si="125"/>
        <v>0</v>
      </c>
      <c r="GD149" s="3">
        <f t="shared" si="125"/>
        <v>0</v>
      </c>
      <c r="GE149" s="3">
        <f t="shared" si="125"/>
        <v>0</v>
      </c>
      <c r="GF149" s="3">
        <f t="shared" si="125"/>
        <v>0</v>
      </c>
      <c r="GG149" s="3">
        <f t="shared" si="125"/>
        <v>0</v>
      </c>
      <c r="GH149" s="3">
        <f t="shared" si="125"/>
        <v>0</v>
      </c>
      <c r="GI149" s="3">
        <f t="shared" si="125"/>
        <v>0</v>
      </c>
      <c r="GJ149" s="3">
        <f t="shared" si="125"/>
        <v>0</v>
      </c>
      <c r="GK149" s="3">
        <f t="shared" si="125"/>
        <v>0</v>
      </c>
      <c r="GL149" s="3">
        <f t="shared" si="125"/>
        <v>0</v>
      </c>
      <c r="GM149" s="3">
        <f t="shared" si="125"/>
        <v>0</v>
      </c>
      <c r="GN149" s="3">
        <f t="shared" si="125"/>
        <v>0</v>
      </c>
      <c r="GO149" s="3">
        <f t="shared" si="125"/>
        <v>0</v>
      </c>
      <c r="GP149" s="3">
        <f t="shared" si="125"/>
        <v>0</v>
      </c>
      <c r="GQ149" s="3">
        <f t="shared" si="125"/>
        <v>0</v>
      </c>
      <c r="GR149" s="3">
        <f t="shared" si="125"/>
        <v>0</v>
      </c>
      <c r="GS149" s="3">
        <f t="shared" si="125"/>
        <v>0</v>
      </c>
      <c r="GT149" s="3">
        <f t="shared" si="125"/>
        <v>0</v>
      </c>
      <c r="GU149" s="3">
        <f t="shared" si="125"/>
        <v>0</v>
      </c>
      <c r="GV149" s="3">
        <f t="shared" si="125"/>
        <v>0</v>
      </c>
      <c r="GW149" s="3">
        <f t="shared" si="125"/>
        <v>0</v>
      </c>
      <c r="GX149" s="3">
        <f t="shared" si="125"/>
        <v>0</v>
      </c>
    </row>
    <row r="151" spans="1:245" x14ac:dyDescent="0.2">
      <c r="A151">
        <v>17</v>
      </c>
      <c r="B151">
        <v>1</v>
      </c>
      <c r="C151">
        <f>ROW(SmtRes!A127)</f>
        <v>127</v>
      </c>
      <c r="D151">
        <f>ROW(EtalonRes!A120)</f>
        <v>120</v>
      </c>
      <c r="E151" t="s">
        <v>212</v>
      </c>
      <c r="F151" t="s">
        <v>26</v>
      </c>
      <c r="G151" t="s">
        <v>27</v>
      </c>
      <c r="H151" t="s">
        <v>28</v>
      </c>
      <c r="I151">
        <v>28.64</v>
      </c>
      <c r="J151">
        <v>0</v>
      </c>
      <c r="O151">
        <f t="shared" ref="O151:O171" si="126">ROUND(CP151,2)</f>
        <v>14748.17</v>
      </c>
      <c r="P151">
        <f t="shared" ref="P151:P171" si="127">ROUND(CQ151*I151,2)</f>
        <v>0</v>
      </c>
      <c r="Q151">
        <f t="shared" ref="Q151:Q171" si="128">ROUND(CR151*I151,2)</f>
        <v>0</v>
      </c>
      <c r="R151">
        <f t="shared" ref="R151:R171" si="129">ROUND(CS151*I151,2)</f>
        <v>0</v>
      </c>
      <c r="S151">
        <f t="shared" ref="S151:S171" si="130">ROUND(CT151*I151,2)</f>
        <v>14748.17</v>
      </c>
      <c r="T151">
        <f t="shared" ref="T151:T171" si="131">ROUND(CU151*I151,2)</f>
        <v>0</v>
      </c>
      <c r="U151">
        <f t="shared" ref="U151:U171" si="132">CV151*I151</f>
        <v>76.182400000000001</v>
      </c>
      <c r="V151">
        <f t="shared" ref="V151:V171" si="133">CW151*I151</f>
        <v>0</v>
      </c>
      <c r="W151">
        <f t="shared" ref="W151:W171" si="134">ROUND(CX151*I151,2)</f>
        <v>0</v>
      </c>
      <c r="X151">
        <f t="shared" ref="X151:X171" si="135">ROUND(CY151,2)</f>
        <v>10323.719999999999</v>
      </c>
      <c r="Y151">
        <f t="shared" ref="Y151:Y171" si="136">ROUND(CZ151,2)</f>
        <v>1474.82</v>
      </c>
      <c r="AA151">
        <v>52430918</v>
      </c>
      <c r="AB151">
        <f t="shared" ref="AB151:AB171" si="137">ROUND((AC151+AD151+AF151),6)</f>
        <v>514.95000000000005</v>
      </c>
      <c r="AC151">
        <f t="shared" ref="AC151:AC171" si="138">ROUND((ES151),6)</f>
        <v>0</v>
      </c>
      <c r="AD151">
        <f t="shared" ref="AD151:AD171" si="139">ROUND((((ET151)-(EU151))+AE151),6)</f>
        <v>0</v>
      </c>
      <c r="AE151">
        <f t="shared" ref="AE151:AE171" si="140">ROUND((EU151),6)</f>
        <v>0</v>
      </c>
      <c r="AF151">
        <f t="shared" ref="AF151:AF171" si="141">ROUND((EV151),6)</f>
        <v>514.95000000000005</v>
      </c>
      <c r="AG151">
        <f t="shared" ref="AG151:AG171" si="142">ROUND((AP151),6)</f>
        <v>0</v>
      </c>
      <c r="AH151">
        <f t="shared" ref="AH151:AH171" si="143">(EW151)</f>
        <v>2.66</v>
      </c>
      <c r="AI151">
        <f t="shared" ref="AI151:AI171" si="144">(EX151)</f>
        <v>0</v>
      </c>
      <c r="AJ151">
        <f t="shared" ref="AJ151:AJ171" si="145">(AS151)</f>
        <v>0</v>
      </c>
      <c r="AK151">
        <v>514.95000000000005</v>
      </c>
      <c r="AL151">
        <v>0</v>
      </c>
      <c r="AM151">
        <v>0</v>
      </c>
      <c r="AN151">
        <v>0</v>
      </c>
      <c r="AO151">
        <v>514.95000000000005</v>
      </c>
      <c r="AP151">
        <v>0</v>
      </c>
      <c r="AQ151">
        <v>2.66</v>
      </c>
      <c r="AR151">
        <v>0</v>
      </c>
      <c r="AS151">
        <v>0</v>
      </c>
      <c r="AT151">
        <v>70</v>
      </c>
      <c r="AU151">
        <v>10</v>
      </c>
      <c r="AV151">
        <v>1</v>
      </c>
      <c r="AW151">
        <v>1</v>
      </c>
      <c r="AZ151">
        <v>1</v>
      </c>
      <c r="BA151">
        <v>1</v>
      </c>
      <c r="BB151">
        <v>1</v>
      </c>
      <c r="BC151">
        <v>1</v>
      </c>
      <c r="BD151" t="s">
        <v>3</v>
      </c>
      <c r="BE151" t="s">
        <v>3</v>
      </c>
      <c r="BF151" t="s">
        <v>3</v>
      </c>
      <c r="BG151" t="s">
        <v>3</v>
      </c>
      <c r="BH151">
        <v>0</v>
      </c>
      <c r="BI151">
        <v>4</v>
      </c>
      <c r="BJ151" t="s">
        <v>29</v>
      </c>
      <c r="BM151">
        <v>0</v>
      </c>
      <c r="BN151">
        <v>0</v>
      </c>
      <c r="BO151" t="s">
        <v>3</v>
      </c>
      <c r="BP151">
        <v>0</v>
      </c>
      <c r="BQ151">
        <v>1</v>
      </c>
      <c r="BR151">
        <v>0</v>
      </c>
      <c r="BS151">
        <v>1</v>
      </c>
      <c r="BT151">
        <v>1</v>
      </c>
      <c r="BU151">
        <v>1</v>
      </c>
      <c r="BV151">
        <v>1</v>
      </c>
      <c r="BW151">
        <v>1</v>
      </c>
      <c r="BX151">
        <v>1</v>
      </c>
      <c r="BY151" t="s">
        <v>3</v>
      </c>
      <c r="BZ151">
        <v>70</v>
      </c>
      <c r="CA151">
        <v>10</v>
      </c>
      <c r="CE151">
        <v>0</v>
      </c>
      <c r="CF151">
        <v>0</v>
      </c>
      <c r="CG151">
        <v>0</v>
      </c>
      <c r="CM151">
        <v>0</v>
      </c>
      <c r="CN151" t="s">
        <v>3</v>
      </c>
      <c r="CO151">
        <v>0</v>
      </c>
      <c r="CP151">
        <f t="shared" ref="CP151:CP171" si="146">(P151+Q151+S151)</f>
        <v>14748.17</v>
      </c>
      <c r="CQ151">
        <f t="shared" ref="CQ151:CQ171" si="147">(AC151*BC151*AW151)</f>
        <v>0</v>
      </c>
      <c r="CR151">
        <f t="shared" ref="CR151:CR171" si="148">((((ET151)*BB151-(EU151)*BS151)+AE151*BS151)*AV151)</f>
        <v>0</v>
      </c>
      <c r="CS151">
        <f t="shared" ref="CS151:CS171" si="149">(AE151*BS151*AV151)</f>
        <v>0</v>
      </c>
      <c r="CT151">
        <f t="shared" ref="CT151:CT171" si="150">(AF151*BA151*AV151)</f>
        <v>514.95000000000005</v>
      </c>
      <c r="CU151">
        <f t="shared" ref="CU151:CU171" si="151">AG151</f>
        <v>0</v>
      </c>
      <c r="CV151">
        <f t="shared" ref="CV151:CV171" si="152">(AH151*AV151)</f>
        <v>2.66</v>
      </c>
      <c r="CW151">
        <f t="shared" ref="CW151:CW171" si="153">AI151</f>
        <v>0</v>
      </c>
      <c r="CX151">
        <f t="shared" ref="CX151:CX171" si="154">AJ151</f>
        <v>0</v>
      </c>
      <c r="CY151">
        <f t="shared" ref="CY151:CY171" si="155">((S151*BZ151)/100)</f>
        <v>10323.719000000001</v>
      </c>
      <c r="CZ151">
        <f t="shared" ref="CZ151:CZ171" si="156">((S151*CA151)/100)</f>
        <v>1474.817</v>
      </c>
      <c r="DC151" t="s">
        <v>3</v>
      </c>
      <c r="DD151" t="s">
        <v>3</v>
      </c>
      <c r="DE151" t="s">
        <v>3</v>
      </c>
      <c r="DF151" t="s">
        <v>3</v>
      </c>
      <c r="DG151" t="s">
        <v>3</v>
      </c>
      <c r="DH151" t="s">
        <v>3</v>
      </c>
      <c r="DI151" t="s">
        <v>3</v>
      </c>
      <c r="DJ151" t="s">
        <v>3</v>
      </c>
      <c r="DK151" t="s">
        <v>3</v>
      </c>
      <c r="DL151" t="s">
        <v>3</v>
      </c>
      <c r="DM151" t="s">
        <v>3</v>
      </c>
      <c r="DN151">
        <v>0</v>
      </c>
      <c r="DO151">
        <v>0</v>
      </c>
      <c r="DP151">
        <v>1</v>
      </c>
      <c r="DQ151">
        <v>1</v>
      </c>
      <c r="DU151">
        <v>1007</v>
      </c>
      <c r="DV151" t="s">
        <v>28</v>
      </c>
      <c r="DW151" t="s">
        <v>28</v>
      </c>
      <c r="DX151">
        <v>1</v>
      </c>
      <c r="EE151">
        <v>52362078</v>
      </c>
      <c r="EF151">
        <v>1</v>
      </c>
      <c r="EG151" t="s">
        <v>22</v>
      </c>
      <c r="EH151">
        <v>0</v>
      </c>
      <c r="EI151" t="s">
        <v>3</v>
      </c>
      <c r="EJ151">
        <v>4</v>
      </c>
      <c r="EK151">
        <v>0</v>
      </c>
      <c r="EL151" t="s">
        <v>23</v>
      </c>
      <c r="EM151" t="s">
        <v>24</v>
      </c>
      <c r="EO151" t="s">
        <v>3</v>
      </c>
      <c r="EQ151">
        <v>131072</v>
      </c>
      <c r="ER151">
        <v>514.95000000000005</v>
      </c>
      <c r="ES151">
        <v>0</v>
      </c>
      <c r="ET151">
        <v>0</v>
      </c>
      <c r="EU151">
        <v>0</v>
      </c>
      <c r="EV151">
        <v>514.95000000000005</v>
      </c>
      <c r="EW151">
        <v>2.66</v>
      </c>
      <c r="EX151">
        <v>0</v>
      </c>
      <c r="EY151">
        <v>0</v>
      </c>
      <c r="FQ151">
        <v>0</v>
      </c>
      <c r="FR151">
        <f t="shared" ref="FR151:FR171" si="157">ROUND(IF(AND(BH151=3,BI151=3),P151,0),2)</f>
        <v>0</v>
      </c>
      <c r="FS151">
        <v>0</v>
      </c>
      <c r="FX151">
        <v>70</v>
      </c>
      <c r="FY151">
        <v>10</v>
      </c>
      <c r="GA151" t="s">
        <v>3</v>
      </c>
      <c r="GD151">
        <v>0</v>
      </c>
      <c r="GF151">
        <v>-559256742</v>
      </c>
      <c r="GG151">
        <v>2</v>
      </c>
      <c r="GH151">
        <v>1</v>
      </c>
      <c r="GI151">
        <v>-2</v>
      </c>
      <c r="GJ151">
        <v>0</v>
      </c>
      <c r="GK151">
        <f>ROUND(R151*(R12)/100,2)</f>
        <v>0</v>
      </c>
      <c r="GL151">
        <f t="shared" ref="GL151:GL171" si="158">ROUND(IF(AND(BH151=3,BI151=3,FS151&lt;&gt;0),P151,0),2)</f>
        <v>0</v>
      </c>
      <c r="GM151">
        <f t="shared" ref="GM151:GM171" si="159">ROUND(O151+X151+Y151+GK151,2)+GX151</f>
        <v>26546.71</v>
      </c>
      <c r="GN151">
        <f t="shared" ref="GN151:GN171" si="160">IF(OR(BI151=0,BI151=1),ROUND(O151+X151+Y151+GK151,2),0)</f>
        <v>0</v>
      </c>
      <c r="GO151">
        <f t="shared" ref="GO151:GO171" si="161">IF(BI151=2,ROUND(O151+X151+Y151+GK151,2),0)</f>
        <v>0</v>
      </c>
      <c r="GP151">
        <f t="shared" ref="GP151:GP171" si="162">IF(BI151=4,ROUND(O151+X151+Y151+GK151,2)+GX151,0)</f>
        <v>26546.71</v>
      </c>
      <c r="GR151">
        <v>0</v>
      </c>
      <c r="GS151">
        <v>3</v>
      </c>
      <c r="GT151">
        <v>0</v>
      </c>
      <c r="GU151" t="s">
        <v>3</v>
      </c>
      <c r="GV151">
        <f t="shared" ref="GV151:GV171" si="163">ROUND((GT151),6)</f>
        <v>0</v>
      </c>
      <c r="GW151">
        <v>1</v>
      </c>
      <c r="GX151">
        <f t="shared" ref="GX151:GX171" si="164">ROUND(HC151*I151,2)</f>
        <v>0</v>
      </c>
      <c r="HA151">
        <v>0</v>
      </c>
      <c r="HB151">
        <v>0</v>
      </c>
      <c r="HC151">
        <f t="shared" ref="HC151:HC171" si="165">GV151*GW151</f>
        <v>0</v>
      </c>
      <c r="HE151" t="s">
        <v>3</v>
      </c>
      <c r="HF151" t="s">
        <v>3</v>
      </c>
      <c r="IK151">
        <v>0</v>
      </c>
    </row>
    <row r="152" spans="1:245" x14ac:dyDescent="0.2">
      <c r="A152">
        <v>17</v>
      </c>
      <c r="B152">
        <v>1</v>
      </c>
      <c r="C152">
        <f>ROW(SmtRes!A135)</f>
        <v>135</v>
      </c>
      <c r="D152">
        <f>ROW(EtalonRes!A128)</f>
        <v>128</v>
      </c>
      <c r="E152" t="s">
        <v>213</v>
      </c>
      <c r="F152" t="s">
        <v>31</v>
      </c>
      <c r="G152" t="s">
        <v>180</v>
      </c>
      <c r="H152" t="s">
        <v>33</v>
      </c>
      <c r="I152">
        <f>ROUND(10.33/100,9)</f>
        <v>0.1033</v>
      </c>
      <c r="J152">
        <v>0</v>
      </c>
      <c r="O152">
        <f t="shared" si="126"/>
        <v>7836.73</v>
      </c>
      <c r="P152">
        <f t="shared" si="127"/>
        <v>6731.24</v>
      </c>
      <c r="Q152">
        <f t="shared" si="128"/>
        <v>785.31</v>
      </c>
      <c r="R152">
        <f t="shared" si="129"/>
        <v>332.93</v>
      </c>
      <c r="S152">
        <f t="shared" si="130"/>
        <v>320.18</v>
      </c>
      <c r="T152">
        <f t="shared" si="131"/>
        <v>0</v>
      </c>
      <c r="U152">
        <f t="shared" si="132"/>
        <v>1.7106479999999999</v>
      </c>
      <c r="V152">
        <f t="shared" si="133"/>
        <v>0</v>
      </c>
      <c r="W152">
        <f t="shared" si="134"/>
        <v>0</v>
      </c>
      <c r="X152">
        <f t="shared" si="135"/>
        <v>224.13</v>
      </c>
      <c r="Y152">
        <f t="shared" si="136"/>
        <v>32.020000000000003</v>
      </c>
      <c r="AA152">
        <v>52430918</v>
      </c>
      <c r="AB152">
        <f t="shared" si="137"/>
        <v>75863.820000000007</v>
      </c>
      <c r="AC152">
        <f t="shared" si="138"/>
        <v>65162.05</v>
      </c>
      <c r="AD152">
        <f t="shared" si="139"/>
        <v>7602.23</v>
      </c>
      <c r="AE152">
        <f t="shared" si="140"/>
        <v>3222.98</v>
      </c>
      <c r="AF152">
        <f t="shared" si="141"/>
        <v>3099.54</v>
      </c>
      <c r="AG152">
        <f t="shared" si="142"/>
        <v>0</v>
      </c>
      <c r="AH152">
        <f t="shared" si="143"/>
        <v>16.559999999999999</v>
      </c>
      <c r="AI152">
        <f t="shared" si="144"/>
        <v>0</v>
      </c>
      <c r="AJ152">
        <f t="shared" si="145"/>
        <v>0</v>
      </c>
      <c r="AK152">
        <v>75863.820000000007</v>
      </c>
      <c r="AL152">
        <v>65162.05</v>
      </c>
      <c r="AM152">
        <v>7602.23</v>
      </c>
      <c r="AN152">
        <v>3222.98</v>
      </c>
      <c r="AO152">
        <v>3099.54</v>
      </c>
      <c r="AP152">
        <v>0</v>
      </c>
      <c r="AQ152">
        <v>16.559999999999999</v>
      </c>
      <c r="AR152">
        <v>0</v>
      </c>
      <c r="AS152">
        <v>0</v>
      </c>
      <c r="AT152">
        <v>70</v>
      </c>
      <c r="AU152">
        <v>10</v>
      </c>
      <c r="AV152">
        <v>1</v>
      </c>
      <c r="AW152">
        <v>1</v>
      </c>
      <c r="AZ152">
        <v>1</v>
      </c>
      <c r="BA152">
        <v>1</v>
      </c>
      <c r="BB152">
        <v>1</v>
      </c>
      <c r="BC152">
        <v>1</v>
      </c>
      <c r="BD152" t="s">
        <v>3</v>
      </c>
      <c r="BE152" t="s">
        <v>3</v>
      </c>
      <c r="BF152" t="s">
        <v>3</v>
      </c>
      <c r="BG152" t="s">
        <v>3</v>
      </c>
      <c r="BH152">
        <v>0</v>
      </c>
      <c r="BI152">
        <v>4</v>
      </c>
      <c r="BJ152" t="s">
        <v>34</v>
      </c>
      <c r="BM152">
        <v>0</v>
      </c>
      <c r="BN152">
        <v>0</v>
      </c>
      <c r="BO152" t="s">
        <v>3</v>
      </c>
      <c r="BP152">
        <v>0</v>
      </c>
      <c r="BQ152">
        <v>1</v>
      </c>
      <c r="BR152">
        <v>0</v>
      </c>
      <c r="BS152">
        <v>1</v>
      </c>
      <c r="BT152">
        <v>1</v>
      </c>
      <c r="BU152">
        <v>1</v>
      </c>
      <c r="BV152">
        <v>1</v>
      </c>
      <c r="BW152">
        <v>1</v>
      </c>
      <c r="BX152">
        <v>1</v>
      </c>
      <c r="BY152" t="s">
        <v>3</v>
      </c>
      <c r="BZ152">
        <v>70</v>
      </c>
      <c r="CA152">
        <v>10</v>
      </c>
      <c r="CE152">
        <v>0</v>
      </c>
      <c r="CF152">
        <v>0</v>
      </c>
      <c r="CG152">
        <v>0</v>
      </c>
      <c r="CM152">
        <v>0</v>
      </c>
      <c r="CN152" t="s">
        <v>3</v>
      </c>
      <c r="CO152">
        <v>0</v>
      </c>
      <c r="CP152">
        <f t="shared" si="146"/>
        <v>7836.73</v>
      </c>
      <c r="CQ152">
        <f t="shared" si="147"/>
        <v>65162.05</v>
      </c>
      <c r="CR152">
        <f t="shared" si="148"/>
        <v>7602.23</v>
      </c>
      <c r="CS152">
        <f t="shared" si="149"/>
        <v>3222.98</v>
      </c>
      <c r="CT152">
        <f t="shared" si="150"/>
        <v>3099.54</v>
      </c>
      <c r="CU152">
        <f t="shared" si="151"/>
        <v>0</v>
      </c>
      <c r="CV152">
        <f t="shared" si="152"/>
        <v>16.559999999999999</v>
      </c>
      <c r="CW152">
        <f t="shared" si="153"/>
        <v>0</v>
      </c>
      <c r="CX152">
        <f t="shared" si="154"/>
        <v>0</v>
      </c>
      <c r="CY152">
        <f t="shared" si="155"/>
        <v>224.12600000000003</v>
      </c>
      <c r="CZ152">
        <f t="shared" si="156"/>
        <v>32.018000000000001</v>
      </c>
      <c r="DC152" t="s">
        <v>3</v>
      </c>
      <c r="DD152" t="s">
        <v>3</v>
      </c>
      <c r="DE152" t="s">
        <v>3</v>
      </c>
      <c r="DF152" t="s">
        <v>3</v>
      </c>
      <c r="DG152" t="s">
        <v>3</v>
      </c>
      <c r="DH152" t="s">
        <v>3</v>
      </c>
      <c r="DI152" t="s">
        <v>3</v>
      </c>
      <c r="DJ152" t="s">
        <v>3</v>
      </c>
      <c r="DK152" t="s">
        <v>3</v>
      </c>
      <c r="DL152" t="s">
        <v>3</v>
      </c>
      <c r="DM152" t="s">
        <v>3</v>
      </c>
      <c r="DN152">
        <v>0</v>
      </c>
      <c r="DO152">
        <v>0</v>
      </c>
      <c r="DP152">
        <v>1</v>
      </c>
      <c r="DQ152">
        <v>1</v>
      </c>
      <c r="DU152">
        <v>1007</v>
      </c>
      <c r="DV152" t="s">
        <v>33</v>
      </c>
      <c r="DW152" t="s">
        <v>33</v>
      </c>
      <c r="DX152">
        <v>100</v>
      </c>
      <c r="EE152">
        <v>52362078</v>
      </c>
      <c r="EF152">
        <v>1</v>
      </c>
      <c r="EG152" t="s">
        <v>22</v>
      </c>
      <c r="EH152">
        <v>0</v>
      </c>
      <c r="EI152" t="s">
        <v>3</v>
      </c>
      <c r="EJ152">
        <v>4</v>
      </c>
      <c r="EK152">
        <v>0</v>
      </c>
      <c r="EL152" t="s">
        <v>23</v>
      </c>
      <c r="EM152" t="s">
        <v>24</v>
      </c>
      <c r="EO152" t="s">
        <v>3</v>
      </c>
      <c r="EQ152">
        <v>131072</v>
      </c>
      <c r="ER152">
        <v>75863.820000000007</v>
      </c>
      <c r="ES152">
        <v>65162.05</v>
      </c>
      <c r="ET152">
        <v>7602.23</v>
      </c>
      <c r="EU152">
        <v>3222.98</v>
      </c>
      <c r="EV152">
        <v>3099.54</v>
      </c>
      <c r="EW152">
        <v>16.559999999999999</v>
      </c>
      <c r="EX152">
        <v>0</v>
      </c>
      <c r="EY152">
        <v>0</v>
      </c>
      <c r="FQ152">
        <v>0</v>
      </c>
      <c r="FR152">
        <f t="shared" si="157"/>
        <v>0</v>
      </c>
      <c r="FS152">
        <v>0</v>
      </c>
      <c r="FX152">
        <v>70</v>
      </c>
      <c r="FY152">
        <v>10</v>
      </c>
      <c r="GA152" t="s">
        <v>3</v>
      </c>
      <c r="GD152">
        <v>0</v>
      </c>
      <c r="GF152">
        <v>-831871559</v>
      </c>
      <c r="GG152">
        <v>2</v>
      </c>
      <c r="GH152">
        <v>1</v>
      </c>
      <c r="GI152">
        <v>-2</v>
      </c>
      <c r="GJ152">
        <v>0</v>
      </c>
      <c r="GK152">
        <f>ROUND(R152*(R12)/100,2)</f>
        <v>359.56</v>
      </c>
      <c r="GL152">
        <f t="shared" si="158"/>
        <v>0</v>
      </c>
      <c r="GM152">
        <f t="shared" si="159"/>
        <v>8452.44</v>
      </c>
      <c r="GN152">
        <f t="shared" si="160"/>
        <v>0</v>
      </c>
      <c r="GO152">
        <f t="shared" si="161"/>
        <v>0</v>
      </c>
      <c r="GP152">
        <f t="shared" si="162"/>
        <v>8452.44</v>
      </c>
      <c r="GR152">
        <v>0</v>
      </c>
      <c r="GS152">
        <v>3</v>
      </c>
      <c r="GT152">
        <v>0</v>
      </c>
      <c r="GU152" t="s">
        <v>3</v>
      </c>
      <c r="GV152">
        <f t="shared" si="163"/>
        <v>0</v>
      </c>
      <c r="GW152">
        <v>1</v>
      </c>
      <c r="GX152">
        <f t="shared" si="164"/>
        <v>0</v>
      </c>
      <c r="HA152">
        <v>0</v>
      </c>
      <c r="HB152">
        <v>0</v>
      </c>
      <c r="HC152">
        <f t="shared" si="165"/>
        <v>0</v>
      </c>
      <c r="HE152" t="s">
        <v>3</v>
      </c>
      <c r="HF152" t="s">
        <v>3</v>
      </c>
      <c r="IK152">
        <v>0</v>
      </c>
    </row>
    <row r="153" spans="1:245" x14ac:dyDescent="0.2">
      <c r="A153">
        <v>17</v>
      </c>
      <c r="B153">
        <v>1</v>
      </c>
      <c r="C153">
        <f>ROW(SmtRes!A141)</f>
        <v>141</v>
      </c>
      <c r="D153">
        <f>ROW(EtalonRes!A133)</f>
        <v>133</v>
      </c>
      <c r="E153" t="s">
        <v>214</v>
      </c>
      <c r="F153" t="s">
        <v>36</v>
      </c>
      <c r="G153" t="s">
        <v>37</v>
      </c>
      <c r="H153" t="s">
        <v>38</v>
      </c>
      <c r="I153">
        <f>ROUND(102.32/100,9)</f>
        <v>1.0232000000000001</v>
      </c>
      <c r="J153">
        <v>0</v>
      </c>
      <c r="O153">
        <f t="shared" si="126"/>
        <v>34737.97</v>
      </c>
      <c r="P153">
        <f t="shared" si="127"/>
        <v>25647.119999999999</v>
      </c>
      <c r="Q153">
        <f t="shared" si="128"/>
        <v>3311.46</v>
      </c>
      <c r="R153">
        <f t="shared" si="129"/>
        <v>1155.3800000000001</v>
      </c>
      <c r="S153">
        <f t="shared" si="130"/>
        <v>5779.39</v>
      </c>
      <c r="T153">
        <f t="shared" si="131"/>
        <v>0</v>
      </c>
      <c r="U153">
        <f t="shared" si="132"/>
        <v>28.588208000000005</v>
      </c>
      <c r="V153">
        <f t="shared" si="133"/>
        <v>0</v>
      </c>
      <c r="W153">
        <f t="shared" si="134"/>
        <v>0</v>
      </c>
      <c r="X153">
        <f t="shared" si="135"/>
        <v>4045.57</v>
      </c>
      <c r="Y153">
        <f t="shared" si="136"/>
        <v>577.94000000000005</v>
      </c>
      <c r="AA153">
        <v>52430918</v>
      </c>
      <c r="AB153">
        <f t="shared" si="137"/>
        <v>33950.33</v>
      </c>
      <c r="AC153">
        <f t="shared" si="138"/>
        <v>25065.599999999999</v>
      </c>
      <c r="AD153">
        <f t="shared" si="139"/>
        <v>3236.38</v>
      </c>
      <c r="AE153">
        <f t="shared" si="140"/>
        <v>1129.18</v>
      </c>
      <c r="AF153">
        <f t="shared" si="141"/>
        <v>5648.35</v>
      </c>
      <c r="AG153">
        <f t="shared" si="142"/>
        <v>0</v>
      </c>
      <c r="AH153">
        <f t="shared" si="143"/>
        <v>27.94</v>
      </c>
      <c r="AI153">
        <f t="shared" si="144"/>
        <v>0</v>
      </c>
      <c r="AJ153">
        <f t="shared" si="145"/>
        <v>0</v>
      </c>
      <c r="AK153">
        <v>33950.33</v>
      </c>
      <c r="AL153">
        <v>25065.599999999999</v>
      </c>
      <c r="AM153">
        <v>3236.38</v>
      </c>
      <c r="AN153">
        <v>1129.18</v>
      </c>
      <c r="AO153">
        <v>5648.35</v>
      </c>
      <c r="AP153">
        <v>0</v>
      </c>
      <c r="AQ153">
        <v>27.94</v>
      </c>
      <c r="AR153">
        <v>0</v>
      </c>
      <c r="AS153">
        <v>0</v>
      </c>
      <c r="AT153">
        <v>70</v>
      </c>
      <c r="AU153">
        <v>10</v>
      </c>
      <c r="AV153">
        <v>1</v>
      </c>
      <c r="AW153">
        <v>1</v>
      </c>
      <c r="AZ153">
        <v>1</v>
      </c>
      <c r="BA153">
        <v>1</v>
      </c>
      <c r="BB153">
        <v>1</v>
      </c>
      <c r="BC153">
        <v>1</v>
      </c>
      <c r="BD153" t="s">
        <v>3</v>
      </c>
      <c r="BE153" t="s">
        <v>3</v>
      </c>
      <c r="BF153" t="s">
        <v>3</v>
      </c>
      <c r="BG153" t="s">
        <v>3</v>
      </c>
      <c r="BH153">
        <v>0</v>
      </c>
      <c r="BI153">
        <v>4</v>
      </c>
      <c r="BJ153" t="s">
        <v>39</v>
      </c>
      <c r="BM153">
        <v>0</v>
      </c>
      <c r="BN153">
        <v>0</v>
      </c>
      <c r="BO153" t="s">
        <v>3</v>
      </c>
      <c r="BP153">
        <v>0</v>
      </c>
      <c r="BQ153">
        <v>1</v>
      </c>
      <c r="BR153">
        <v>0</v>
      </c>
      <c r="BS153">
        <v>1</v>
      </c>
      <c r="BT153">
        <v>1</v>
      </c>
      <c r="BU153">
        <v>1</v>
      </c>
      <c r="BV153">
        <v>1</v>
      </c>
      <c r="BW153">
        <v>1</v>
      </c>
      <c r="BX153">
        <v>1</v>
      </c>
      <c r="BY153" t="s">
        <v>3</v>
      </c>
      <c r="BZ153">
        <v>70</v>
      </c>
      <c r="CA153">
        <v>10</v>
      </c>
      <c r="CE153">
        <v>0</v>
      </c>
      <c r="CF153">
        <v>0</v>
      </c>
      <c r="CG153">
        <v>0</v>
      </c>
      <c r="CM153">
        <v>0</v>
      </c>
      <c r="CN153" t="s">
        <v>3</v>
      </c>
      <c r="CO153">
        <v>0</v>
      </c>
      <c r="CP153">
        <f t="shared" si="146"/>
        <v>34737.97</v>
      </c>
      <c r="CQ153">
        <f t="shared" si="147"/>
        <v>25065.599999999999</v>
      </c>
      <c r="CR153">
        <f t="shared" si="148"/>
        <v>3236.38</v>
      </c>
      <c r="CS153">
        <f t="shared" si="149"/>
        <v>1129.18</v>
      </c>
      <c r="CT153">
        <f t="shared" si="150"/>
        <v>5648.35</v>
      </c>
      <c r="CU153">
        <f t="shared" si="151"/>
        <v>0</v>
      </c>
      <c r="CV153">
        <f t="shared" si="152"/>
        <v>27.94</v>
      </c>
      <c r="CW153">
        <f t="shared" si="153"/>
        <v>0</v>
      </c>
      <c r="CX153">
        <f t="shared" si="154"/>
        <v>0</v>
      </c>
      <c r="CY153">
        <f t="shared" si="155"/>
        <v>4045.5730000000003</v>
      </c>
      <c r="CZ153">
        <f t="shared" si="156"/>
        <v>577.93899999999996</v>
      </c>
      <c r="DC153" t="s">
        <v>3</v>
      </c>
      <c r="DD153" t="s">
        <v>3</v>
      </c>
      <c r="DE153" t="s">
        <v>3</v>
      </c>
      <c r="DF153" t="s">
        <v>3</v>
      </c>
      <c r="DG153" t="s">
        <v>3</v>
      </c>
      <c r="DH153" t="s">
        <v>3</v>
      </c>
      <c r="DI153" t="s">
        <v>3</v>
      </c>
      <c r="DJ153" t="s">
        <v>3</v>
      </c>
      <c r="DK153" t="s">
        <v>3</v>
      </c>
      <c r="DL153" t="s">
        <v>3</v>
      </c>
      <c r="DM153" t="s">
        <v>3</v>
      </c>
      <c r="DN153">
        <v>0</v>
      </c>
      <c r="DO153">
        <v>0</v>
      </c>
      <c r="DP153">
        <v>1</v>
      </c>
      <c r="DQ153">
        <v>1</v>
      </c>
      <c r="DU153">
        <v>1005</v>
      </c>
      <c r="DV153" t="s">
        <v>38</v>
      </c>
      <c r="DW153" t="s">
        <v>38</v>
      </c>
      <c r="DX153">
        <v>100</v>
      </c>
      <c r="EE153">
        <v>52362078</v>
      </c>
      <c r="EF153">
        <v>1</v>
      </c>
      <c r="EG153" t="s">
        <v>22</v>
      </c>
      <c r="EH153">
        <v>0</v>
      </c>
      <c r="EI153" t="s">
        <v>3</v>
      </c>
      <c r="EJ153">
        <v>4</v>
      </c>
      <c r="EK153">
        <v>0</v>
      </c>
      <c r="EL153" t="s">
        <v>23</v>
      </c>
      <c r="EM153" t="s">
        <v>24</v>
      </c>
      <c r="EO153" t="s">
        <v>3</v>
      </c>
      <c r="EQ153">
        <v>131072</v>
      </c>
      <c r="ER153">
        <v>33950.33</v>
      </c>
      <c r="ES153">
        <v>25065.599999999999</v>
      </c>
      <c r="ET153">
        <v>3236.38</v>
      </c>
      <c r="EU153">
        <v>1129.18</v>
      </c>
      <c r="EV153">
        <v>5648.35</v>
      </c>
      <c r="EW153">
        <v>27.94</v>
      </c>
      <c r="EX153">
        <v>0</v>
      </c>
      <c r="EY153">
        <v>0</v>
      </c>
      <c r="FQ153">
        <v>0</v>
      </c>
      <c r="FR153">
        <f t="shared" si="157"/>
        <v>0</v>
      </c>
      <c r="FS153">
        <v>0</v>
      </c>
      <c r="FX153">
        <v>70</v>
      </c>
      <c r="FY153">
        <v>10</v>
      </c>
      <c r="GA153" t="s">
        <v>3</v>
      </c>
      <c r="GD153">
        <v>0</v>
      </c>
      <c r="GF153">
        <v>-1973864012</v>
      </c>
      <c r="GG153">
        <v>2</v>
      </c>
      <c r="GH153">
        <v>1</v>
      </c>
      <c r="GI153">
        <v>-2</v>
      </c>
      <c r="GJ153">
        <v>0</v>
      </c>
      <c r="GK153">
        <f>ROUND(R153*(R12)/100,2)</f>
        <v>1247.81</v>
      </c>
      <c r="GL153">
        <f t="shared" si="158"/>
        <v>0</v>
      </c>
      <c r="GM153">
        <f t="shared" si="159"/>
        <v>40609.29</v>
      </c>
      <c r="GN153">
        <f t="shared" si="160"/>
        <v>0</v>
      </c>
      <c r="GO153">
        <f t="shared" si="161"/>
        <v>0</v>
      </c>
      <c r="GP153">
        <f t="shared" si="162"/>
        <v>40609.29</v>
      </c>
      <c r="GR153">
        <v>0</v>
      </c>
      <c r="GS153">
        <v>3</v>
      </c>
      <c r="GT153">
        <v>0</v>
      </c>
      <c r="GU153" t="s">
        <v>3</v>
      </c>
      <c r="GV153">
        <f t="shared" si="163"/>
        <v>0</v>
      </c>
      <c r="GW153">
        <v>1</v>
      </c>
      <c r="GX153">
        <f t="shared" si="164"/>
        <v>0</v>
      </c>
      <c r="HA153">
        <v>0</v>
      </c>
      <c r="HB153">
        <v>0</v>
      </c>
      <c r="HC153">
        <f t="shared" si="165"/>
        <v>0</v>
      </c>
      <c r="HE153" t="s">
        <v>3</v>
      </c>
      <c r="HF153" t="s">
        <v>3</v>
      </c>
      <c r="IK153">
        <v>0</v>
      </c>
    </row>
    <row r="154" spans="1:245" x14ac:dyDescent="0.2">
      <c r="A154">
        <v>18</v>
      </c>
      <c r="B154">
        <v>1</v>
      </c>
      <c r="C154">
        <v>139</v>
      </c>
      <c r="E154" t="s">
        <v>215</v>
      </c>
      <c r="F154" t="s">
        <v>41</v>
      </c>
      <c r="G154" t="s">
        <v>42</v>
      </c>
      <c r="H154" t="s">
        <v>28</v>
      </c>
      <c r="I154">
        <f>I153*J154</f>
        <v>17.80368</v>
      </c>
      <c r="J154">
        <v>17.399999999999999</v>
      </c>
      <c r="O154">
        <f t="shared" si="126"/>
        <v>31401.24</v>
      </c>
      <c r="P154">
        <f t="shared" si="127"/>
        <v>31401.24</v>
      </c>
      <c r="Q154">
        <f t="shared" si="128"/>
        <v>0</v>
      </c>
      <c r="R154">
        <f t="shared" si="129"/>
        <v>0</v>
      </c>
      <c r="S154">
        <f t="shared" si="130"/>
        <v>0</v>
      </c>
      <c r="T154">
        <f t="shared" si="131"/>
        <v>0</v>
      </c>
      <c r="U154">
        <f t="shared" si="132"/>
        <v>0</v>
      </c>
      <c r="V154">
        <f t="shared" si="133"/>
        <v>0</v>
      </c>
      <c r="W154">
        <f t="shared" si="134"/>
        <v>0</v>
      </c>
      <c r="X154">
        <f t="shared" si="135"/>
        <v>0</v>
      </c>
      <c r="Y154">
        <f t="shared" si="136"/>
        <v>0</v>
      </c>
      <c r="AA154">
        <v>52430918</v>
      </c>
      <c r="AB154">
        <f t="shared" si="137"/>
        <v>1763.75</v>
      </c>
      <c r="AC154">
        <f t="shared" si="138"/>
        <v>1763.75</v>
      </c>
      <c r="AD154">
        <f t="shared" si="139"/>
        <v>0</v>
      </c>
      <c r="AE154">
        <f t="shared" si="140"/>
        <v>0</v>
      </c>
      <c r="AF154">
        <f t="shared" si="141"/>
        <v>0</v>
      </c>
      <c r="AG154">
        <f t="shared" si="142"/>
        <v>0</v>
      </c>
      <c r="AH154">
        <f t="shared" si="143"/>
        <v>0</v>
      </c>
      <c r="AI154">
        <f t="shared" si="144"/>
        <v>0</v>
      </c>
      <c r="AJ154">
        <f t="shared" si="145"/>
        <v>0</v>
      </c>
      <c r="AK154">
        <v>1763.75</v>
      </c>
      <c r="AL154">
        <v>1763.75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70</v>
      </c>
      <c r="AU154">
        <v>10</v>
      </c>
      <c r="AV154">
        <v>1</v>
      </c>
      <c r="AW154">
        <v>1</v>
      </c>
      <c r="AZ154">
        <v>1</v>
      </c>
      <c r="BA154">
        <v>1</v>
      </c>
      <c r="BB154">
        <v>1</v>
      </c>
      <c r="BC154">
        <v>1</v>
      </c>
      <c r="BD154" t="s">
        <v>3</v>
      </c>
      <c r="BE154" t="s">
        <v>3</v>
      </c>
      <c r="BF154" t="s">
        <v>3</v>
      </c>
      <c r="BG154" t="s">
        <v>3</v>
      </c>
      <c r="BH154">
        <v>3</v>
      </c>
      <c r="BI154">
        <v>4</v>
      </c>
      <c r="BJ154" t="s">
        <v>43</v>
      </c>
      <c r="BM154">
        <v>0</v>
      </c>
      <c r="BN154">
        <v>0</v>
      </c>
      <c r="BO154" t="s">
        <v>3</v>
      </c>
      <c r="BP154">
        <v>0</v>
      </c>
      <c r="BQ154">
        <v>1</v>
      </c>
      <c r="BR154">
        <v>0</v>
      </c>
      <c r="BS154">
        <v>1</v>
      </c>
      <c r="BT154">
        <v>1</v>
      </c>
      <c r="BU154">
        <v>1</v>
      </c>
      <c r="BV154">
        <v>1</v>
      </c>
      <c r="BW154">
        <v>1</v>
      </c>
      <c r="BX154">
        <v>1</v>
      </c>
      <c r="BY154" t="s">
        <v>3</v>
      </c>
      <c r="BZ154">
        <v>70</v>
      </c>
      <c r="CA154">
        <v>10</v>
      </c>
      <c r="CE154">
        <v>0</v>
      </c>
      <c r="CF154">
        <v>0</v>
      </c>
      <c r="CG154">
        <v>0</v>
      </c>
      <c r="CM154">
        <v>0</v>
      </c>
      <c r="CN154" t="s">
        <v>3</v>
      </c>
      <c r="CO154">
        <v>0</v>
      </c>
      <c r="CP154">
        <f t="shared" si="146"/>
        <v>31401.24</v>
      </c>
      <c r="CQ154">
        <f t="shared" si="147"/>
        <v>1763.75</v>
      </c>
      <c r="CR154">
        <f t="shared" si="148"/>
        <v>0</v>
      </c>
      <c r="CS154">
        <f t="shared" si="149"/>
        <v>0</v>
      </c>
      <c r="CT154">
        <f t="shared" si="150"/>
        <v>0</v>
      </c>
      <c r="CU154">
        <f t="shared" si="151"/>
        <v>0</v>
      </c>
      <c r="CV154">
        <f t="shared" si="152"/>
        <v>0</v>
      </c>
      <c r="CW154">
        <f t="shared" si="153"/>
        <v>0</v>
      </c>
      <c r="CX154">
        <f t="shared" si="154"/>
        <v>0</v>
      </c>
      <c r="CY154">
        <f t="shared" si="155"/>
        <v>0</v>
      </c>
      <c r="CZ154">
        <f t="shared" si="156"/>
        <v>0</v>
      </c>
      <c r="DC154" t="s">
        <v>3</v>
      </c>
      <c r="DD154" t="s">
        <v>3</v>
      </c>
      <c r="DE154" t="s">
        <v>3</v>
      </c>
      <c r="DF154" t="s">
        <v>3</v>
      </c>
      <c r="DG154" t="s">
        <v>3</v>
      </c>
      <c r="DH154" t="s">
        <v>3</v>
      </c>
      <c r="DI154" t="s">
        <v>3</v>
      </c>
      <c r="DJ154" t="s">
        <v>3</v>
      </c>
      <c r="DK154" t="s">
        <v>3</v>
      </c>
      <c r="DL154" t="s">
        <v>3</v>
      </c>
      <c r="DM154" t="s">
        <v>3</v>
      </c>
      <c r="DN154">
        <v>0</v>
      </c>
      <c r="DO154">
        <v>0</v>
      </c>
      <c r="DP154">
        <v>1</v>
      </c>
      <c r="DQ154">
        <v>1</v>
      </c>
      <c r="DU154">
        <v>1007</v>
      </c>
      <c r="DV154" t="s">
        <v>28</v>
      </c>
      <c r="DW154" t="s">
        <v>28</v>
      </c>
      <c r="DX154">
        <v>1</v>
      </c>
      <c r="EE154">
        <v>52362078</v>
      </c>
      <c r="EF154">
        <v>1</v>
      </c>
      <c r="EG154" t="s">
        <v>22</v>
      </c>
      <c r="EH154">
        <v>0</v>
      </c>
      <c r="EI154" t="s">
        <v>3</v>
      </c>
      <c r="EJ154">
        <v>4</v>
      </c>
      <c r="EK154">
        <v>0</v>
      </c>
      <c r="EL154" t="s">
        <v>23</v>
      </c>
      <c r="EM154" t="s">
        <v>24</v>
      </c>
      <c r="EO154" t="s">
        <v>3</v>
      </c>
      <c r="EQ154">
        <v>0</v>
      </c>
      <c r="ER154">
        <v>1763.75</v>
      </c>
      <c r="ES154">
        <v>1763.75</v>
      </c>
      <c r="ET154">
        <v>0</v>
      </c>
      <c r="EU154">
        <v>0</v>
      </c>
      <c r="EV154">
        <v>0</v>
      </c>
      <c r="EW154">
        <v>0</v>
      </c>
      <c r="EX154">
        <v>0</v>
      </c>
      <c r="FQ154">
        <v>0</v>
      </c>
      <c r="FR154">
        <f t="shared" si="157"/>
        <v>0</v>
      </c>
      <c r="FS154">
        <v>0</v>
      </c>
      <c r="FX154">
        <v>70</v>
      </c>
      <c r="FY154">
        <v>10</v>
      </c>
      <c r="GA154" t="s">
        <v>3</v>
      </c>
      <c r="GD154">
        <v>0</v>
      </c>
      <c r="GF154">
        <v>-886425656</v>
      </c>
      <c r="GG154">
        <v>2</v>
      </c>
      <c r="GH154">
        <v>1</v>
      </c>
      <c r="GI154">
        <v>-2</v>
      </c>
      <c r="GJ154">
        <v>0</v>
      </c>
      <c r="GK154">
        <f>ROUND(R154*(R12)/100,2)</f>
        <v>0</v>
      </c>
      <c r="GL154">
        <f t="shared" si="158"/>
        <v>0</v>
      </c>
      <c r="GM154">
        <f t="shared" si="159"/>
        <v>31401.24</v>
      </c>
      <c r="GN154">
        <f t="shared" si="160"/>
        <v>0</v>
      </c>
      <c r="GO154">
        <f t="shared" si="161"/>
        <v>0</v>
      </c>
      <c r="GP154">
        <f t="shared" si="162"/>
        <v>31401.24</v>
      </c>
      <c r="GR154">
        <v>0</v>
      </c>
      <c r="GS154">
        <v>3</v>
      </c>
      <c r="GT154">
        <v>0</v>
      </c>
      <c r="GU154" t="s">
        <v>3</v>
      </c>
      <c r="GV154">
        <f t="shared" si="163"/>
        <v>0</v>
      </c>
      <c r="GW154">
        <v>1</v>
      </c>
      <c r="GX154">
        <f t="shared" si="164"/>
        <v>0</v>
      </c>
      <c r="HA154">
        <v>0</v>
      </c>
      <c r="HB154">
        <v>0</v>
      </c>
      <c r="HC154">
        <f t="shared" si="165"/>
        <v>0</v>
      </c>
      <c r="HE154" t="s">
        <v>3</v>
      </c>
      <c r="HF154" t="s">
        <v>3</v>
      </c>
      <c r="IK154">
        <v>0</v>
      </c>
    </row>
    <row r="155" spans="1:245" x14ac:dyDescent="0.2">
      <c r="A155">
        <v>18</v>
      </c>
      <c r="B155">
        <v>1</v>
      </c>
      <c r="C155">
        <v>140</v>
      </c>
      <c r="E155" t="s">
        <v>216</v>
      </c>
      <c r="F155" t="s">
        <v>45</v>
      </c>
      <c r="G155" t="s">
        <v>46</v>
      </c>
      <c r="H155" t="s">
        <v>28</v>
      </c>
      <c r="I155">
        <f>I153*J155</f>
        <v>-17.80368</v>
      </c>
      <c r="J155">
        <v>-17.399999999999999</v>
      </c>
      <c r="O155">
        <f t="shared" si="126"/>
        <v>-25574.99</v>
      </c>
      <c r="P155">
        <f t="shared" si="127"/>
        <v>-25574.99</v>
      </c>
      <c r="Q155">
        <f t="shared" si="128"/>
        <v>0</v>
      </c>
      <c r="R155">
        <f t="shared" si="129"/>
        <v>0</v>
      </c>
      <c r="S155">
        <f t="shared" si="130"/>
        <v>0</v>
      </c>
      <c r="T155">
        <f t="shared" si="131"/>
        <v>0</v>
      </c>
      <c r="U155">
        <f t="shared" si="132"/>
        <v>0</v>
      </c>
      <c r="V155">
        <f t="shared" si="133"/>
        <v>0</v>
      </c>
      <c r="W155">
        <f t="shared" si="134"/>
        <v>0</v>
      </c>
      <c r="X155">
        <f t="shared" si="135"/>
        <v>0</v>
      </c>
      <c r="Y155">
        <f t="shared" si="136"/>
        <v>0</v>
      </c>
      <c r="AA155">
        <v>52430918</v>
      </c>
      <c r="AB155">
        <f t="shared" si="137"/>
        <v>1436.5</v>
      </c>
      <c r="AC155">
        <f t="shared" si="138"/>
        <v>1436.5</v>
      </c>
      <c r="AD155">
        <f t="shared" si="139"/>
        <v>0</v>
      </c>
      <c r="AE155">
        <f t="shared" si="140"/>
        <v>0</v>
      </c>
      <c r="AF155">
        <f t="shared" si="141"/>
        <v>0</v>
      </c>
      <c r="AG155">
        <f t="shared" si="142"/>
        <v>0</v>
      </c>
      <c r="AH155">
        <f t="shared" si="143"/>
        <v>0</v>
      </c>
      <c r="AI155">
        <f t="shared" si="144"/>
        <v>0</v>
      </c>
      <c r="AJ155">
        <f t="shared" si="145"/>
        <v>0</v>
      </c>
      <c r="AK155">
        <v>1436.5</v>
      </c>
      <c r="AL155">
        <v>1436.5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70</v>
      </c>
      <c r="AU155">
        <v>10</v>
      </c>
      <c r="AV155">
        <v>1</v>
      </c>
      <c r="AW155">
        <v>1</v>
      </c>
      <c r="AZ155">
        <v>1</v>
      </c>
      <c r="BA155">
        <v>1</v>
      </c>
      <c r="BB155">
        <v>1</v>
      </c>
      <c r="BC155">
        <v>1</v>
      </c>
      <c r="BD155" t="s">
        <v>3</v>
      </c>
      <c r="BE155" t="s">
        <v>3</v>
      </c>
      <c r="BF155" t="s">
        <v>3</v>
      </c>
      <c r="BG155" t="s">
        <v>3</v>
      </c>
      <c r="BH155">
        <v>3</v>
      </c>
      <c r="BI155">
        <v>4</v>
      </c>
      <c r="BJ155" t="s">
        <v>47</v>
      </c>
      <c r="BM155">
        <v>0</v>
      </c>
      <c r="BN155">
        <v>0</v>
      </c>
      <c r="BO155" t="s">
        <v>3</v>
      </c>
      <c r="BP155">
        <v>0</v>
      </c>
      <c r="BQ155">
        <v>1</v>
      </c>
      <c r="BR155">
        <v>1</v>
      </c>
      <c r="BS155">
        <v>1</v>
      </c>
      <c r="BT155">
        <v>1</v>
      </c>
      <c r="BU155">
        <v>1</v>
      </c>
      <c r="BV155">
        <v>1</v>
      </c>
      <c r="BW155">
        <v>1</v>
      </c>
      <c r="BX155">
        <v>1</v>
      </c>
      <c r="BY155" t="s">
        <v>3</v>
      </c>
      <c r="BZ155">
        <v>70</v>
      </c>
      <c r="CA155">
        <v>10</v>
      </c>
      <c r="CE155">
        <v>0</v>
      </c>
      <c r="CF155">
        <v>0</v>
      </c>
      <c r="CG155">
        <v>0</v>
      </c>
      <c r="CM155">
        <v>0</v>
      </c>
      <c r="CN155" t="s">
        <v>3</v>
      </c>
      <c r="CO155">
        <v>0</v>
      </c>
      <c r="CP155">
        <f t="shared" si="146"/>
        <v>-25574.99</v>
      </c>
      <c r="CQ155">
        <f t="shared" si="147"/>
        <v>1436.5</v>
      </c>
      <c r="CR155">
        <f t="shared" si="148"/>
        <v>0</v>
      </c>
      <c r="CS155">
        <f t="shared" si="149"/>
        <v>0</v>
      </c>
      <c r="CT155">
        <f t="shared" si="150"/>
        <v>0</v>
      </c>
      <c r="CU155">
        <f t="shared" si="151"/>
        <v>0</v>
      </c>
      <c r="CV155">
        <f t="shared" si="152"/>
        <v>0</v>
      </c>
      <c r="CW155">
        <f t="shared" si="153"/>
        <v>0</v>
      </c>
      <c r="CX155">
        <f t="shared" si="154"/>
        <v>0</v>
      </c>
      <c r="CY155">
        <f t="shared" si="155"/>
        <v>0</v>
      </c>
      <c r="CZ155">
        <f t="shared" si="156"/>
        <v>0</v>
      </c>
      <c r="DC155" t="s">
        <v>3</v>
      </c>
      <c r="DD155" t="s">
        <v>3</v>
      </c>
      <c r="DE155" t="s">
        <v>3</v>
      </c>
      <c r="DF155" t="s">
        <v>3</v>
      </c>
      <c r="DG155" t="s">
        <v>3</v>
      </c>
      <c r="DH155" t="s">
        <v>3</v>
      </c>
      <c r="DI155" t="s">
        <v>3</v>
      </c>
      <c r="DJ155" t="s">
        <v>3</v>
      </c>
      <c r="DK155" t="s">
        <v>3</v>
      </c>
      <c r="DL155" t="s">
        <v>3</v>
      </c>
      <c r="DM155" t="s">
        <v>3</v>
      </c>
      <c r="DN155">
        <v>0</v>
      </c>
      <c r="DO155">
        <v>0</v>
      </c>
      <c r="DP155">
        <v>1</v>
      </c>
      <c r="DQ155">
        <v>1</v>
      </c>
      <c r="DU155">
        <v>1007</v>
      </c>
      <c r="DV155" t="s">
        <v>28</v>
      </c>
      <c r="DW155" t="s">
        <v>28</v>
      </c>
      <c r="DX155">
        <v>1</v>
      </c>
      <c r="EE155">
        <v>52362078</v>
      </c>
      <c r="EF155">
        <v>1</v>
      </c>
      <c r="EG155" t="s">
        <v>22</v>
      </c>
      <c r="EH155">
        <v>0</v>
      </c>
      <c r="EI155" t="s">
        <v>3</v>
      </c>
      <c r="EJ155">
        <v>4</v>
      </c>
      <c r="EK155">
        <v>0</v>
      </c>
      <c r="EL155" t="s">
        <v>23</v>
      </c>
      <c r="EM155" t="s">
        <v>24</v>
      </c>
      <c r="EO155" t="s">
        <v>3</v>
      </c>
      <c r="EQ155">
        <v>32768</v>
      </c>
      <c r="ER155">
        <v>1436.5</v>
      </c>
      <c r="ES155">
        <v>1436.5</v>
      </c>
      <c r="ET155">
        <v>0</v>
      </c>
      <c r="EU155">
        <v>0</v>
      </c>
      <c r="EV155">
        <v>0</v>
      </c>
      <c r="EW155">
        <v>0</v>
      </c>
      <c r="EX155">
        <v>0</v>
      </c>
      <c r="FQ155">
        <v>0</v>
      </c>
      <c r="FR155">
        <f t="shared" si="157"/>
        <v>0</v>
      </c>
      <c r="FS155">
        <v>0</v>
      </c>
      <c r="FX155">
        <v>70</v>
      </c>
      <c r="FY155">
        <v>10</v>
      </c>
      <c r="GA155" t="s">
        <v>3</v>
      </c>
      <c r="GD155">
        <v>0</v>
      </c>
      <c r="GF155">
        <v>1744717608</v>
      </c>
      <c r="GG155">
        <v>2</v>
      </c>
      <c r="GH155">
        <v>1</v>
      </c>
      <c r="GI155">
        <v>-2</v>
      </c>
      <c r="GJ155">
        <v>0</v>
      </c>
      <c r="GK155">
        <f>ROUND(R155*(R12)/100,2)</f>
        <v>0</v>
      </c>
      <c r="GL155">
        <f t="shared" si="158"/>
        <v>0</v>
      </c>
      <c r="GM155">
        <f t="shared" si="159"/>
        <v>-25574.99</v>
      </c>
      <c r="GN155">
        <f t="shared" si="160"/>
        <v>0</v>
      </c>
      <c r="GO155">
        <f t="shared" si="161"/>
        <v>0</v>
      </c>
      <c r="GP155">
        <f t="shared" si="162"/>
        <v>-25574.99</v>
      </c>
      <c r="GR155">
        <v>0</v>
      </c>
      <c r="GS155">
        <v>3</v>
      </c>
      <c r="GT155">
        <v>0</v>
      </c>
      <c r="GU155" t="s">
        <v>3</v>
      </c>
      <c r="GV155">
        <f t="shared" si="163"/>
        <v>0</v>
      </c>
      <c r="GW155">
        <v>1</v>
      </c>
      <c r="GX155">
        <f t="shared" si="164"/>
        <v>0</v>
      </c>
      <c r="HA155">
        <v>0</v>
      </c>
      <c r="HB155">
        <v>0</v>
      </c>
      <c r="HC155">
        <f t="shared" si="165"/>
        <v>0</v>
      </c>
      <c r="HE155" t="s">
        <v>3</v>
      </c>
      <c r="HF155" t="s">
        <v>3</v>
      </c>
      <c r="IK155">
        <v>0</v>
      </c>
    </row>
    <row r="156" spans="1:245" x14ac:dyDescent="0.2">
      <c r="A156">
        <v>17</v>
      </c>
      <c r="B156">
        <v>1</v>
      </c>
      <c r="C156">
        <f>ROW(SmtRes!A145)</f>
        <v>145</v>
      </c>
      <c r="D156">
        <f>ROW(EtalonRes!A137)</f>
        <v>137</v>
      </c>
      <c r="E156" t="s">
        <v>217</v>
      </c>
      <c r="F156" t="s">
        <v>49</v>
      </c>
      <c r="G156" t="s">
        <v>50</v>
      </c>
      <c r="H156" t="s">
        <v>38</v>
      </c>
      <c r="I156">
        <f>ROUND(102.32/100,9)</f>
        <v>1.0232000000000001</v>
      </c>
      <c r="J156">
        <v>0</v>
      </c>
      <c r="O156">
        <f t="shared" si="126"/>
        <v>24522.93</v>
      </c>
      <c r="P156">
        <f t="shared" si="127"/>
        <v>20964.189999999999</v>
      </c>
      <c r="Q156">
        <f t="shared" si="128"/>
        <v>1149.1099999999999</v>
      </c>
      <c r="R156">
        <f t="shared" si="129"/>
        <v>482.66</v>
      </c>
      <c r="S156">
        <f t="shared" si="130"/>
        <v>2409.63</v>
      </c>
      <c r="T156">
        <f t="shared" si="131"/>
        <v>0</v>
      </c>
      <c r="U156">
        <f t="shared" si="132"/>
        <v>10.538960000000001</v>
      </c>
      <c r="V156">
        <f t="shared" si="133"/>
        <v>0</v>
      </c>
      <c r="W156">
        <f t="shared" si="134"/>
        <v>0</v>
      </c>
      <c r="X156">
        <f t="shared" si="135"/>
        <v>1686.74</v>
      </c>
      <c r="Y156">
        <f t="shared" si="136"/>
        <v>240.96</v>
      </c>
      <c r="AA156">
        <v>52430918</v>
      </c>
      <c r="AB156">
        <f t="shared" si="137"/>
        <v>23966.9</v>
      </c>
      <c r="AC156">
        <f t="shared" si="138"/>
        <v>20488.849999999999</v>
      </c>
      <c r="AD156">
        <f t="shared" si="139"/>
        <v>1123.06</v>
      </c>
      <c r="AE156">
        <f t="shared" si="140"/>
        <v>471.72</v>
      </c>
      <c r="AF156">
        <f t="shared" si="141"/>
        <v>2354.9899999999998</v>
      </c>
      <c r="AG156">
        <f t="shared" si="142"/>
        <v>0</v>
      </c>
      <c r="AH156">
        <f t="shared" si="143"/>
        <v>10.3</v>
      </c>
      <c r="AI156">
        <f t="shared" si="144"/>
        <v>0</v>
      </c>
      <c r="AJ156">
        <f t="shared" si="145"/>
        <v>0</v>
      </c>
      <c r="AK156">
        <v>23966.9</v>
      </c>
      <c r="AL156">
        <v>20488.849999999999</v>
      </c>
      <c r="AM156">
        <v>1123.06</v>
      </c>
      <c r="AN156">
        <v>471.72</v>
      </c>
      <c r="AO156">
        <v>2354.9899999999998</v>
      </c>
      <c r="AP156">
        <v>0</v>
      </c>
      <c r="AQ156">
        <v>10.3</v>
      </c>
      <c r="AR156">
        <v>0</v>
      </c>
      <c r="AS156">
        <v>0</v>
      </c>
      <c r="AT156">
        <v>70</v>
      </c>
      <c r="AU156">
        <v>10</v>
      </c>
      <c r="AV156">
        <v>1</v>
      </c>
      <c r="AW156">
        <v>1</v>
      </c>
      <c r="AZ156">
        <v>1</v>
      </c>
      <c r="BA156">
        <v>1</v>
      </c>
      <c r="BB156">
        <v>1</v>
      </c>
      <c r="BC156">
        <v>1</v>
      </c>
      <c r="BD156" t="s">
        <v>3</v>
      </c>
      <c r="BE156" t="s">
        <v>3</v>
      </c>
      <c r="BF156" t="s">
        <v>3</v>
      </c>
      <c r="BG156" t="s">
        <v>3</v>
      </c>
      <c r="BH156">
        <v>0</v>
      </c>
      <c r="BI156">
        <v>4</v>
      </c>
      <c r="BJ156" t="s">
        <v>51</v>
      </c>
      <c r="BM156">
        <v>0</v>
      </c>
      <c r="BN156">
        <v>0</v>
      </c>
      <c r="BO156" t="s">
        <v>3</v>
      </c>
      <c r="BP156">
        <v>0</v>
      </c>
      <c r="BQ156">
        <v>1</v>
      </c>
      <c r="BR156">
        <v>0</v>
      </c>
      <c r="BS156">
        <v>1</v>
      </c>
      <c r="BT156">
        <v>1</v>
      </c>
      <c r="BU156">
        <v>1</v>
      </c>
      <c r="BV156">
        <v>1</v>
      </c>
      <c r="BW156">
        <v>1</v>
      </c>
      <c r="BX156">
        <v>1</v>
      </c>
      <c r="BY156" t="s">
        <v>3</v>
      </c>
      <c r="BZ156">
        <v>70</v>
      </c>
      <c r="CA156">
        <v>10</v>
      </c>
      <c r="CE156">
        <v>0</v>
      </c>
      <c r="CF156">
        <v>0</v>
      </c>
      <c r="CG156">
        <v>0</v>
      </c>
      <c r="CM156">
        <v>0</v>
      </c>
      <c r="CN156" t="s">
        <v>3</v>
      </c>
      <c r="CO156">
        <v>0</v>
      </c>
      <c r="CP156">
        <f t="shared" si="146"/>
        <v>24522.93</v>
      </c>
      <c r="CQ156">
        <f t="shared" si="147"/>
        <v>20488.849999999999</v>
      </c>
      <c r="CR156">
        <f t="shared" si="148"/>
        <v>1123.06</v>
      </c>
      <c r="CS156">
        <f t="shared" si="149"/>
        <v>471.72</v>
      </c>
      <c r="CT156">
        <f t="shared" si="150"/>
        <v>2354.9899999999998</v>
      </c>
      <c r="CU156">
        <f t="shared" si="151"/>
        <v>0</v>
      </c>
      <c r="CV156">
        <f t="shared" si="152"/>
        <v>10.3</v>
      </c>
      <c r="CW156">
        <f t="shared" si="153"/>
        <v>0</v>
      </c>
      <c r="CX156">
        <f t="shared" si="154"/>
        <v>0</v>
      </c>
      <c r="CY156">
        <f t="shared" si="155"/>
        <v>1686.741</v>
      </c>
      <c r="CZ156">
        <f t="shared" si="156"/>
        <v>240.96300000000002</v>
      </c>
      <c r="DC156" t="s">
        <v>3</v>
      </c>
      <c r="DD156" t="s">
        <v>3</v>
      </c>
      <c r="DE156" t="s">
        <v>3</v>
      </c>
      <c r="DF156" t="s">
        <v>3</v>
      </c>
      <c r="DG156" t="s">
        <v>3</v>
      </c>
      <c r="DH156" t="s">
        <v>3</v>
      </c>
      <c r="DI156" t="s">
        <v>3</v>
      </c>
      <c r="DJ156" t="s">
        <v>3</v>
      </c>
      <c r="DK156" t="s">
        <v>3</v>
      </c>
      <c r="DL156" t="s">
        <v>3</v>
      </c>
      <c r="DM156" t="s">
        <v>3</v>
      </c>
      <c r="DN156">
        <v>0</v>
      </c>
      <c r="DO156">
        <v>0</v>
      </c>
      <c r="DP156">
        <v>1</v>
      </c>
      <c r="DQ156">
        <v>1</v>
      </c>
      <c r="DU156">
        <v>1005</v>
      </c>
      <c r="DV156" t="s">
        <v>38</v>
      </c>
      <c r="DW156" t="s">
        <v>38</v>
      </c>
      <c r="DX156">
        <v>100</v>
      </c>
      <c r="EE156">
        <v>52362078</v>
      </c>
      <c r="EF156">
        <v>1</v>
      </c>
      <c r="EG156" t="s">
        <v>22</v>
      </c>
      <c r="EH156">
        <v>0</v>
      </c>
      <c r="EI156" t="s">
        <v>3</v>
      </c>
      <c r="EJ156">
        <v>4</v>
      </c>
      <c r="EK156">
        <v>0</v>
      </c>
      <c r="EL156" t="s">
        <v>23</v>
      </c>
      <c r="EM156" t="s">
        <v>24</v>
      </c>
      <c r="EO156" t="s">
        <v>3</v>
      </c>
      <c r="EQ156">
        <v>131072</v>
      </c>
      <c r="ER156">
        <v>23966.9</v>
      </c>
      <c r="ES156">
        <v>20488.849999999999</v>
      </c>
      <c r="ET156">
        <v>1123.06</v>
      </c>
      <c r="EU156">
        <v>471.72</v>
      </c>
      <c r="EV156">
        <v>2354.9899999999998</v>
      </c>
      <c r="EW156">
        <v>10.3</v>
      </c>
      <c r="EX156">
        <v>0</v>
      </c>
      <c r="EY156">
        <v>0</v>
      </c>
      <c r="FQ156">
        <v>0</v>
      </c>
      <c r="FR156">
        <f t="shared" si="157"/>
        <v>0</v>
      </c>
      <c r="FS156">
        <v>0</v>
      </c>
      <c r="FX156">
        <v>70</v>
      </c>
      <c r="FY156">
        <v>10</v>
      </c>
      <c r="GA156" t="s">
        <v>3</v>
      </c>
      <c r="GD156">
        <v>0</v>
      </c>
      <c r="GF156">
        <v>280582152</v>
      </c>
      <c r="GG156">
        <v>2</v>
      </c>
      <c r="GH156">
        <v>1</v>
      </c>
      <c r="GI156">
        <v>-2</v>
      </c>
      <c r="GJ156">
        <v>0</v>
      </c>
      <c r="GK156">
        <f>ROUND(R156*(R12)/100,2)</f>
        <v>521.27</v>
      </c>
      <c r="GL156">
        <f t="shared" si="158"/>
        <v>0</v>
      </c>
      <c r="GM156">
        <f t="shared" si="159"/>
        <v>26971.9</v>
      </c>
      <c r="GN156">
        <f t="shared" si="160"/>
        <v>0</v>
      </c>
      <c r="GO156">
        <f t="shared" si="161"/>
        <v>0</v>
      </c>
      <c r="GP156">
        <f t="shared" si="162"/>
        <v>26971.9</v>
      </c>
      <c r="GR156">
        <v>0</v>
      </c>
      <c r="GS156">
        <v>3</v>
      </c>
      <c r="GT156">
        <v>0</v>
      </c>
      <c r="GU156" t="s">
        <v>3</v>
      </c>
      <c r="GV156">
        <f t="shared" si="163"/>
        <v>0</v>
      </c>
      <c r="GW156">
        <v>1</v>
      </c>
      <c r="GX156">
        <f t="shared" si="164"/>
        <v>0</v>
      </c>
      <c r="HA156">
        <v>0</v>
      </c>
      <c r="HB156">
        <v>0</v>
      </c>
      <c r="HC156">
        <f t="shared" si="165"/>
        <v>0</v>
      </c>
      <c r="HE156" t="s">
        <v>3</v>
      </c>
      <c r="HF156" t="s">
        <v>3</v>
      </c>
      <c r="IK156">
        <v>0</v>
      </c>
    </row>
    <row r="157" spans="1:245" x14ac:dyDescent="0.2">
      <c r="A157">
        <v>17</v>
      </c>
      <c r="B157">
        <v>1</v>
      </c>
      <c r="C157">
        <f>ROW(SmtRes!A155)</f>
        <v>155</v>
      </c>
      <c r="D157">
        <f>ROW(EtalonRes!A147)</f>
        <v>147</v>
      </c>
      <c r="E157" t="s">
        <v>218</v>
      </c>
      <c r="F157" t="s">
        <v>53</v>
      </c>
      <c r="G157" t="s">
        <v>54</v>
      </c>
      <c r="H157" t="s">
        <v>38</v>
      </c>
      <c r="I157">
        <f>ROUND(102.32/100,9)</f>
        <v>1.0232000000000001</v>
      </c>
      <c r="J157">
        <v>0</v>
      </c>
      <c r="O157">
        <f t="shared" si="126"/>
        <v>111583.54</v>
      </c>
      <c r="P157">
        <f t="shared" si="127"/>
        <v>104734.36</v>
      </c>
      <c r="Q157">
        <f t="shared" si="128"/>
        <v>2677.97</v>
      </c>
      <c r="R157">
        <f t="shared" si="129"/>
        <v>2111.33</v>
      </c>
      <c r="S157">
        <f t="shared" si="130"/>
        <v>4171.21</v>
      </c>
      <c r="T157">
        <f t="shared" si="131"/>
        <v>0</v>
      </c>
      <c r="U157">
        <f t="shared" si="132"/>
        <v>18.867808000000004</v>
      </c>
      <c r="V157">
        <f t="shared" si="133"/>
        <v>0</v>
      </c>
      <c r="W157">
        <f t="shared" si="134"/>
        <v>0</v>
      </c>
      <c r="X157">
        <f t="shared" si="135"/>
        <v>2919.85</v>
      </c>
      <c r="Y157">
        <f t="shared" si="136"/>
        <v>417.12</v>
      </c>
      <c r="AA157">
        <v>52430918</v>
      </c>
      <c r="AB157">
        <f t="shared" si="137"/>
        <v>109053.5</v>
      </c>
      <c r="AC157">
        <f t="shared" si="138"/>
        <v>102359.62</v>
      </c>
      <c r="AD157">
        <f t="shared" si="139"/>
        <v>2617.25</v>
      </c>
      <c r="AE157">
        <f t="shared" si="140"/>
        <v>2063.46</v>
      </c>
      <c r="AF157">
        <f t="shared" si="141"/>
        <v>4076.63</v>
      </c>
      <c r="AG157">
        <f t="shared" si="142"/>
        <v>0</v>
      </c>
      <c r="AH157">
        <f t="shared" si="143"/>
        <v>18.440000000000001</v>
      </c>
      <c r="AI157">
        <f t="shared" si="144"/>
        <v>0</v>
      </c>
      <c r="AJ157">
        <f t="shared" si="145"/>
        <v>0</v>
      </c>
      <c r="AK157">
        <v>109053.5</v>
      </c>
      <c r="AL157">
        <v>102359.62</v>
      </c>
      <c r="AM157">
        <v>2617.25</v>
      </c>
      <c r="AN157">
        <v>2063.46</v>
      </c>
      <c r="AO157">
        <v>4076.63</v>
      </c>
      <c r="AP157">
        <v>0</v>
      </c>
      <c r="AQ157">
        <v>18.440000000000001</v>
      </c>
      <c r="AR157">
        <v>0</v>
      </c>
      <c r="AS157">
        <v>0</v>
      </c>
      <c r="AT157">
        <v>70</v>
      </c>
      <c r="AU157">
        <v>10</v>
      </c>
      <c r="AV157">
        <v>1</v>
      </c>
      <c r="AW157">
        <v>1</v>
      </c>
      <c r="AZ157">
        <v>1</v>
      </c>
      <c r="BA157">
        <v>1</v>
      </c>
      <c r="BB157">
        <v>1</v>
      </c>
      <c r="BC157">
        <v>1</v>
      </c>
      <c r="BD157" t="s">
        <v>3</v>
      </c>
      <c r="BE157" t="s">
        <v>3</v>
      </c>
      <c r="BF157" t="s">
        <v>3</v>
      </c>
      <c r="BG157" t="s">
        <v>3</v>
      </c>
      <c r="BH157">
        <v>0</v>
      </c>
      <c r="BI157">
        <v>4</v>
      </c>
      <c r="BJ157" t="s">
        <v>55</v>
      </c>
      <c r="BM157">
        <v>0</v>
      </c>
      <c r="BN157">
        <v>0</v>
      </c>
      <c r="BO157" t="s">
        <v>3</v>
      </c>
      <c r="BP157">
        <v>0</v>
      </c>
      <c r="BQ157">
        <v>1</v>
      </c>
      <c r="BR157">
        <v>0</v>
      </c>
      <c r="BS157">
        <v>1</v>
      </c>
      <c r="BT157">
        <v>1</v>
      </c>
      <c r="BU157">
        <v>1</v>
      </c>
      <c r="BV157">
        <v>1</v>
      </c>
      <c r="BW157">
        <v>1</v>
      </c>
      <c r="BX157">
        <v>1</v>
      </c>
      <c r="BY157" t="s">
        <v>3</v>
      </c>
      <c r="BZ157">
        <v>70</v>
      </c>
      <c r="CA157">
        <v>10</v>
      </c>
      <c r="CE157">
        <v>0</v>
      </c>
      <c r="CF157">
        <v>0</v>
      </c>
      <c r="CG157">
        <v>0</v>
      </c>
      <c r="CM157">
        <v>0</v>
      </c>
      <c r="CN157" t="s">
        <v>3</v>
      </c>
      <c r="CO157">
        <v>0</v>
      </c>
      <c r="CP157">
        <f t="shared" si="146"/>
        <v>111583.54000000001</v>
      </c>
      <c r="CQ157">
        <f t="shared" si="147"/>
        <v>102359.62</v>
      </c>
      <c r="CR157">
        <f t="shared" si="148"/>
        <v>2617.25</v>
      </c>
      <c r="CS157">
        <f t="shared" si="149"/>
        <v>2063.46</v>
      </c>
      <c r="CT157">
        <f t="shared" si="150"/>
        <v>4076.63</v>
      </c>
      <c r="CU157">
        <f t="shared" si="151"/>
        <v>0</v>
      </c>
      <c r="CV157">
        <f t="shared" si="152"/>
        <v>18.440000000000001</v>
      </c>
      <c r="CW157">
        <f t="shared" si="153"/>
        <v>0</v>
      </c>
      <c r="CX157">
        <f t="shared" si="154"/>
        <v>0</v>
      </c>
      <c r="CY157">
        <f t="shared" si="155"/>
        <v>2919.8470000000002</v>
      </c>
      <c r="CZ157">
        <f t="shared" si="156"/>
        <v>417.12099999999998</v>
      </c>
      <c r="DC157" t="s">
        <v>3</v>
      </c>
      <c r="DD157" t="s">
        <v>3</v>
      </c>
      <c r="DE157" t="s">
        <v>3</v>
      </c>
      <c r="DF157" t="s">
        <v>3</v>
      </c>
      <c r="DG157" t="s">
        <v>3</v>
      </c>
      <c r="DH157" t="s">
        <v>3</v>
      </c>
      <c r="DI157" t="s">
        <v>3</v>
      </c>
      <c r="DJ157" t="s">
        <v>3</v>
      </c>
      <c r="DK157" t="s">
        <v>3</v>
      </c>
      <c r="DL157" t="s">
        <v>3</v>
      </c>
      <c r="DM157" t="s">
        <v>3</v>
      </c>
      <c r="DN157">
        <v>0</v>
      </c>
      <c r="DO157">
        <v>0</v>
      </c>
      <c r="DP157">
        <v>1</v>
      </c>
      <c r="DQ157">
        <v>1</v>
      </c>
      <c r="DU157">
        <v>1005</v>
      </c>
      <c r="DV157" t="s">
        <v>38</v>
      </c>
      <c r="DW157" t="s">
        <v>38</v>
      </c>
      <c r="DX157">
        <v>100</v>
      </c>
      <c r="EE157">
        <v>52362078</v>
      </c>
      <c r="EF157">
        <v>1</v>
      </c>
      <c r="EG157" t="s">
        <v>22</v>
      </c>
      <c r="EH157">
        <v>0</v>
      </c>
      <c r="EI157" t="s">
        <v>3</v>
      </c>
      <c r="EJ157">
        <v>4</v>
      </c>
      <c r="EK157">
        <v>0</v>
      </c>
      <c r="EL157" t="s">
        <v>23</v>
      </c>
      <c r="EM157" t="s">
        <v>24</v>
      </c>
      <c r="EO157" t="s">
        <v>3</v>
      </c>
      <c r="EQ157">
        <v>131072</v>
      </c>
      <c r="ER157">
        <v>109053.5</v>
      </c>
      <c r="ES157">
        <v>102359.62</v>
      </c>
      <c r="ET157">
        <v>2617.25</v>
      </c>
      <c r="EU157">
        <v>2063.46</v>
      </c>
      <c r="EV157">
        <v>4076.63</v>
      </c>
      <c r="EW157">
        <v>18.440000000000001</v>
      </c>
      <c r="EX157">
        <v>0</v>
      </c>
      <c r="EY157">
        <v>0</v>
      </c>
      <c r="FQ157">
        <v>0</v>
      </c>
      <c r="FR157">
        <f t="shared" si="157"/>
        <v>0</v>
      </c>
      <c r="FS157">
        <v>0</v>
      </c>
      <c r="FX157">
        <v>70</v>
      </c>
      <c r="FY157">
        <v>10</v>
      </c>
      <c r="GA157" t="s">
        <v>3</v>
      </c>
      <c r="GD157">
        <v>0</v>
      </c>
      <c r="GF157">
        <v>-2129199936</v>
      </c>
      <c r="GG157">
        <v>2</v>
      </c>
      <c r="GH157">
        <v>1</v>
      </c>
      <c r="GI157">
        <v>-2</v>
      </c>
      <c r="GJ157">
        <v>0</v>
      </c>
      <c r="GK157">
        <f>ROUND(R157*(R12)/100,2)</f>
        <v>2280.2399999999998</v>
      </c>
      <c r="GL157">
        <f t="shared" si="158"/>
        <v>0</v>
      </c>
      <c r="GM157">
        <f t="shared" si="159"/>
        <v>117200.75</v>
      </c>
      <c r="GN157">
        <f t="shared" si="160"/>
        <v>0</v>
      </c>
      <c r="GO157">
        <f t="shared" si="161"/>
        <v>0</v>
      </c>
      <c r="GP157">
        <f t="shared" si="162"/>
        <v>117200.75</v>
      </c>
      <c r="GR157">
        <v>0</v>
      </c>
      <c r="GS157">
        <v>3</v>
      </c>
      <c r="GT157">
        <v>0</v>
      </c>
      <c r="GU157" t="s">
        <v>3</v>
      </c>
      <c r="GV157">
        <f t="shared" si="163"/>
        <v>0</v>
      </c>
      <c r="GW157">
        <v>1</v>
      </c>
      <c r="GX157">
        <f t="shared" si="164"/>
        <v>0</v>
      </c>
      <c r="HA157">
        <v>0</v>
      </c>
      <c r="HB157">
        <v>0</v>
      </c>
      <c r="HC157">
        <f t="shared" si="165"/>
        <v>0</v>
      </c>
      <c r="HE157" t="s">
        <v>3</v>
      </c>
      <c r="HF157" t="s">
        <v>3</v>
      </c>
      <c r="IK157">
        <v>0</v>
      </c>
    </row>
    <row r="158" spans="1:245" x14ac:dyDescent="0.2">
      <c r="A158">
        <v>17</v>
      </c>
      <c r="B158">
        <v>1</v>
      </c>
      <c r="C158">
        <f>ROW(SmtRes!A161)</f>
        <v>161</v>
      </c>
      <c r="D158">
        <f>ROW(EtalonRes!A153)</f>
        <v>153</v>
      </c>
      <c r="E158" t="s">
        <v>219</v>
      </c>
      <c r="F158" t="s">
        <v>57</v>
      </c>
      <c r="G158" t="s">
        <v>58</v>
      </c>
      <c r="H158" t="s">
        <v>38</v>
      </c>
      <c r="I158">
        <f>ROUND(102.32/100,9)</f>
        <v>1.0232000000000001</v>
      </c>
      <c r="J158">
        <v>0</v>
      </c>
      <c r="O158">
        <f t="shared" si="126"/>
        <v>20528.580000000002</v>
      </c>
      <c r="P158">
        <f t="shared" si="127"/>
        <v>19407.669999999998</v>
      </c>
      <c r="Q158">
        <f t="shared" si="128"/>
        <v>504.29</v>
      </c>
      <c r="R158">
        <f t="shared" si="129"/>
        <v>398.66</v>
      </c>
      <c r="S158">
        <f t="shared" si="130"/>
        <v>616.62</v>
      </c>
      <c r="T158">
        <f t="shared" si="131"/>
        <v>0</v>
      </c>
      <c r="U158">
        <f t="shared" si="132"/>
        <v>2.7114800000000003</v>
      </c>
      <c r="V158">
        <f t="shared" si="133"/>
        <v>0</v>
      </c>
      <c r="W158">
        <f t="shared" si="134"/>
        <v>0</v>
      </c>
      <c r="X158">
        <f t="shared" si="135"/>
        <v>431.63</v>
      </c>
      <c r="Y158">
        <f t="shared" si="136"/>
        <v>61.66</v>
      </c>
      <c r="AA158">
        <v>52430918</v>
      </c>
      <c r="AB158">
        <f t="shared" si="137"/>
        <v>20063.12</v>
      </c>
      <c r="AC158">
        <f t="shared" si="138"/>
        <v>18967.62</v>
      </c>
      <c r="AD158">
        <f t="shared" si="139"/>
        <v>492.86</v>
      </c>
      <c r="AE158">
        <f t="shared" si="140"/>
        <v>389.62</v>
      </c>
      <c r="AF158">
        <f t="shared" si="141"/>
        <v>602.64</v>
      </c>
      <c r="AG158">
        <f t="shared" si="142"/>
        <v>0</v>
      </c>
      <c r="AH158">
        <f t="shared" si="143"/>
        <v>2.65</v>
      </c>
      <c r="AI158">
        <f t="shared" si="144"/>
        <v>0</v>
      </c>
      <c r="AJ158">
        <f t="shared" si="145"/>
        <v>0</v>
      </c>
      <c r="AK158">
        <v>20063.12</v>
      </c>
      <c r="AL158">
        <v>18967.62</v>
      </c>
      <c r="AM158">
        <v>492.86</v>
      </c>
      <c r="AN158">
        <v>389.62</v>
      </c>
      <c r="AO158">
        <v>602.64</v>
      </c>
      <c r="AP158">
        <v>0</v>
      </c>
      <c r="AQ158">
        <v>2.65</v>
      </c>
      <c r="AR158">
        <v>0</v>
      </c>
      <c r="AS158">
        <v>0</v>
      </c>
      <c r="AT158">
        <v>70</v>
      </c>
      <c r="AU158">
        <v>10</v>
      </c>
      <c r="AV158">
        <v>1</v>
      </c>
      <c r="AW158">
        <v>1</v>
      </c>
      <c r="AZ158">
        <v>1</v>
      </c>
      <c r="BA158">
        <v>1</v>
      </c>
      <c r="BB158">
        <v>1</v>
      </c>
      <c r="BC158">
        <v>1</v>
      </c>
      <c r="BD158" t="s">
        <v>3</v>
      </c>
      <c r="BE158" t="s">
        <v>3</v>
      </c>
      <c r="BF158" t="s">
        <v>3</v>
      </c>
      <c r="BG158" t="s">
        <v>3</v>
      </c>
      <c r="BH158">
        <v>0</v>
      </c>
      <c r="BI158">
        <v>4</v>
      </c>
      <c r="BJ158" t="s">
        <v>59</v>
      </c>
      <c r="BM158">
        <v>0</v>
      </c>
      <c r="BN158">
        <v>0</v>
      </c>
      <c r="BO158" t="s">
        <v>3</v>
      </c>
      <c r="BP158">
        <v>0</v>
      </c>
      <c r="BQ158">
        <v>1</v>
      </c>
      <c r="BR158">
        <v>0</v>
      </c>
      <c r="BS158">
        <v>1</v>
      </c>
      <c r="BT158">
        <v>1</v>
      </c>
      <c r="BU158">
        <v>1</v>
      </c>
      <c r="BV158">
        <v>1</v>
      </c>
      <c r="BW158">
        <v>1</v>
      </c>
      <c r="BX158">
        <v>1</v>
      </c>
      <c r="BY158" t="s">
        <v>3</v>
      </c>
      <c r="BZ158">
        <v>70</v>
      </c>
      <c r="CA158">
        <v>10</v>
      </c>
      <c r="CE158">
        <v>0</v>
      </c>
      <c r="CF158">
        <v>0</v>
      </c>
      <c r="CG158">
        <v>0</v>
      </c>
      <c r="CM158">
        <v>0</v>
      </c>
      <c r="CN158" t="s">
        <v>3</v>
      </c>
      <c r="CO158">
        <v>0</v>
      </c>
      <c r="CP158">
        <f t="shared" si="146"/>
        <v>20528.579999999998</v>
      </c>
      <c r="CQ158">
        <f t="shared" si="147"/>
        <v>18967.62</v>
      </c>
      <c r="CR158">
        <f t="shared" si="148"/>
        <v>492.86</v>
      </c>
      <c r="CS158">
        <f t="shared" si="149"/>
        <v>389.62</v>
      </c>
      <c r="CT158">
        <f t="shared" si="150"/>
        <v>602.64</v>
      </c>
      <c r="CU158">
        <f t="shared" si="151"/>
        <v>0</v>
      </c>
      <c r="CV158">
        <f t="shared" si="152"/>
        <v>2.65</v>
      </c>
      <c r="CW158">
        <f t="shared" si="153"/>
        <v>0</v>
      </c>
      <c r="CX158">
        <f t="shared" si="154"/>
        <v>0</v>
      </c>
      <c r="CY158">
        <f t="shared" si="155"/>
        <v>431.63400000000001</v>
      </c>
      <c r="CZ158">
        <f t="shared" si="156"/>
        <v>61.661999999999999</v>
      </c>
      <c r="DC158" t="s">
        <v>3</v>
      </c>
      <c r="DD158" t="s">
        <v>3</v>
      </c>
      <c r="DE158" t="s">
        <v>3</v>
      </c>
      <c r="DF158" t="s">
        <v>3</v>
      </c>
      <c r="DG158" t="s">
        <v>3</v>
      </c>
      <c r="DH158" t="s">
        <v>3</v>
      </c>
      <c r="DI158" t="s">
        <v>3</v>
      </c>
      <c r="DJ158" t="s">
        <v>3</v>
      </c>
      <c r="DK158" t="s">
        <v>3</v>
      </c>
      <c r="DL158" t="s">
        <v>3</v>
      </c>
      <c r="DM158" t="s">
        <v>3</v>
      </c>
      <c r="DN158">
        <v>0</v>
      </c>
      <c r="DO158">
        <v>0</v>
      </c>
      <c r="DP158">
        <v>1</v>
      </c>
      <c r="DQ158">
        <v>1</v>
      </c>
      <c r="DU158">
        <v>1005</v>
      </c>
      <c r="DV158" t="s">
        <v>38</v>
      </c>
      <c r="DW158" t="s">
        <v>38</v>
      </c>
      <c r="DX158">
        <v>100</v>
      </c>
      <c r="EE158">
        <v>52362078</v>
      </c>
      <c r="EF158">
        <v>1</v>
      </c>
      <c r="EG158" t="s">
        <v>22</v>
      </c>
      <c r="EH158">
        <v>0</v>
      </c>
      <c r="EI158" t="s">
        <v>3</v>
      </c>
      <c r="EJ158">
        <v>4</v>
      </c>
      <c r="EK158">
        <v>0</v>
      </c>
      <c r="EL158" t="s">
        <v>23</v>
      </c>
      <c r="EM158" t="s">
        <v>24</v>
      </c>
      <c r="EO158" t="s">
        <v>3</v>
      </c>
      <c r="EQ158">
        <v>131072</v>
      </c>
      <c r="ER158">
        <v>20063.12</v>
      </c>
      <c r="ES158">
        <v>18967.62</v>
      </c>
      <c r="ET158">
        <v>492.86</v>
      </c>
      <c r="EU158">
        <v>389.62</v>
      </c>
      <c r="EV158">
        <v>602.64</v>
      </c>
      <c r="EW158">
        <v>2.65</v>
      </c>
      <c r="EX158">
        <v>0</v>
      </c>
      <c r="EY158">
        <v>0</v>
      </c>
      <c r="FQ158">
        <v>0</v>
      </c>
      <c r="FR158">
        <f t="shared" si="157"/>
        <v>0</v>
      </c>
      <c r="FS158">
        <v>0</v>
      </c>
      <c r="FX158">
        <v>70</v>
      </c>
      <c r="FY158">
        <v>10</v>
      </c>
      <c r="GA158" t="s">
        <v>3</v>
      </c>
      <c r="GD158">
        <v>0</v>
      </c>
      <c r="GF158">
        <v>-1181657983</v>
      </c>
      <c r="GG158">
        <v>2</v>
      </c>
      <c r="GH158">
        <v>1</v>
      </c>
      <c r="GI158">
        <v>-2</v>
      </c>
      <c r="GJ158">
        <v>0</v>
      </c>
      <c r="GK158">
        <f>ROUND(R158*(R12)/100,2)</f>
        <v>430.55</v>
      </c>
      <c r="GL158">
        <f t="shared" si="158"/>
        <v>0</v>
      </c>
      <c r="GM158">
        <f t="shared" si="159"/>
        <v>21452.42</v>
      </c>
      <c r="GN158">
        <f t="shared" si="160"/>
        <v>0</v>
      </c>
      <c r="GO158">
        <f t="shared" si="161"/>
        <v>0</v>
      </c>
      <c r="GP158">
        <f t="shared" si="162"/>
        <v>21452.42</v>
      </c>
      <c r="GR158">
        <v>0</v>
      </c>
      <c r="GS158">
        <v>3</v>
      </c>
      <c r="GT158">
        <v>0</v>
      </c>
      <c r="GU158" t="s">
        <v>3</v>
      </c>
      <c r="GV158">
        <f t="shared" si="163"/>
        <v>0</v>
      </c>
      <c r="GW158">
        <v>1</v>
      </c>
      <c r="GX158">
        <f t="shared" si="164"/>
        <v>0</v>
      </c>
      <c r="HA158">
        <v>0</v>
      </c>
      <c r="HB158">
        <v>0</v>
      </c>
      <c r="HC158">
        <f t="shared" si="165"/>
        <v>0</v>
      </c>
      <c r="HE158" t="s">
        <v>3</v>
      </c>
      <c r="HF158" t="s">
        <v>3</v>
      </c>
      <c r="IK158">
        <v>0</v>
      </c>
    </row>
    <row r="159" spans="1:245" x14ac:dyDescent="0.2">
      <c r="A159">
        <v>17</v>
      </c>
      <c r="B159">
        <v>1</v>
      </c>
      <c r="C159">
        <f>ROW(SmtRes!A162)</f>
        <v>162</v>
      </c>
      <c r="D159">
        <f>ROW(EtalonRes!A154)</f>
        <v>154</v>
      </c>
      <c r="E159" t="s">
        <v>220</v>
      </c>
      <c r="F159" t="s">
        <v>61</v>
      </c>
      <c r="G159" t="s">
        <v>62</v>
      </c>
      <c r="H159" t="s">
        <v>33</v>
      </c>
      <c r="I159">
        <v>0</v>
      </c>
      <c r="J159">
        <v>0</v>
      </c>
      <c r="O159">
        <f t="shared" si="126"/>
        <v>0</v>
      </c>
      <c r="P159">
        <f t="shared" si="127"/>
        <v>0</v>
      </c>
      <c r="Q159">
        <f t="shared" si="128"/>
        <v>0</v>
      </c>
      <c r="R159">
        <f t="shared" si="129"/>
        <v>0</v>
      </c>
      <c r="S159">
        <f t="shared" si="130"/>
        <v>0</v>
      </c>
      <c r="T159">
        <f t="shared" si="131"/>
        <v>0</v>
      </c>
      <c r="U159">
        <f t="shared" si="132"/>
        <v>0</v>
      </c>
      <c r="V159">
        <f t="shared" si="133"/>
        <v>0</v>
      </c>
      <c r="W159">
        <f t="shared" si="134"/>
        <v>0</v>
      </c>
      <c r="X159">
        <f t="shared" si="135"/>
        <v>0</v>
      </c>
      <c r="Y159">
        <f t="shared" si="136"/>
        <v>0</v>
      </c>
      <c r="AA159">
        <v>52430918</v>
      </c>
      <c r="AB159">
        <f t="shared" si="137"/>
        <v>41951.1</v>
      </c>
      <c r="AC159">
        <f t="shared" si="138"/>
        <v>0</v>
      </c>
      <c r="AD159">
        <f t="shared" si="139"/>
        <v>0</v>
      </c>
      <c r="AE159">
        <f t="shared" si="140"/>
        <v>0</v>
      </c>
      <c r="AF159">
        <f t="shared" si="141"/>
        <v>41951.1</v>
      </c>
      <c r="AG159">
        <f t="shared" si="142"/>
        <v>0</v>
      </c>
      <c r="AH159">
        <f t="shared" si="143"/>
        <v>221.6</v>
      </c>
      <c r="AI159">
        <f t="shared" si="144"/>
        <v>0</v>
      </c>
      <c r="AJ159">
        <f t="shared" si="145"/>
        <v>0</v>
      </c>
      <c r="AK159">
        <v>41951.1</v>
      </c>
      <c r="AL159">
        <v>0</v>
      </c>
      <c r="AM159">
        <v>0</v>
      </c>
      <c r="AN159">
        <v>0</v>
      </c>
      <c r="AO159">
        <v>41951.1</v>
      </c>
      <c r="AP159">
        <v>0</v>
      </c>
      <c r="AQ159">
        <v>221.6</v>
      </c>
      <c r="AR159">
        <v>0</v>
      </c>
      <c r="AS159">
        <v>0</v>
      </c>
      <c r="AT159">
        <v>70</v>
      </c>
      <c r="AU159">
        <v>10</v>
      </c>
      <c r="AV159">
        <v>1</v>
      </c>
      <c r="AW159">
        <v>1</v>
      </c>
      <c r="AZ159">
        <v>1</v>
      </c>
      <c r="BA159">
        <v>1</v>
      </c>
      <c r="BB159">
        <v>1</v>
      </c>
      <c r="BC159">
        <v>1</v>
      </c>
      <c r="BD159" t="s">
        <v>3</v>
      </c>
      <c r="BE159" t="s">
        <v>3</v>
      </c>
      <c r="BF159" t="s">
        <v>3</v>
      </c>
      <c r="BG159" t="s">
        <v>3</v>
      </c>
      <c r="BH159">
        <v>0</v>
      </c>
      <c r="BI159">
        <v>4</v>
      </c>
      <c r="BJ159" t="s">
        <v>63</v>
      </c>
      <c r="BM159">
        <v>0</v>
      </c>
      <c r="BN159">
        <v>0</v>
      </c>
      <c r="BO159" t="s">
        <v>3</v>
      </c>
      <c r="BP159">
        <v>0</v>
      </c>
      <c r="BQ159">
        <v>1</v>
      </c>
      <c r="BR159">
        <v>0</v>
      </c>
      <c r="BS159">
        <v>1</v>
      </c>
      <c r="BT159">
        <v>1</v>
      </c>
      <c r="BU159">
        <v>1</v>
      </c>
      <c r="BV159">
        <v>1</v>
      </c>
      <c r="BW159">
        <v>1</v>
      </c>
      <c r="BX159">
        <v>1</v>
      </c>
      <c r="BY159" t="s">
        <v>3</v>
      </c>
      <c r="BZ159">
        <v>70</v>
      </c>
      <c r="CA159">
        <v>10</v>
      </c>
      <c r="CE159">
        <v>0</v>
      </c>
      <c r="CF159">
        <v>0</v>
      </c>
      <c r="CG159">
        <v>0</v>
      </c>
      <c r="CM159">
        <v>0</v>
      </c>
      <c r="CN159" t="s">
        <v>3</v>
      </c>
      <c r="CO159">
        <v>0</v>
      </c>
      <c r="CP159">
        <f t="shared" si="146"/>
        <v>0</v>
      </c>
      <c r="CQ159">
        <f t="shared" si="147"/>
        <v>0</v>
      </c>
      <c r="CR159">
        <f t="shared" si="148"/>
        <v>0</v>
      </c>
      <c r="CS159">
        <f t="shared" si="149"/>
        <v>0</v>
      </c>
      <c r="CT159">
        <f t="shared" si="150"/>
        <v>41951.1</v>
      </c>
      <c r="CU159">
        <f t="shared" si="151"/>
        <v>0</v>
      </c>
      <c r="CV159">
        <f t="shared" si="152"/>
        <v>221.6</v>
      </c>
      <c r="CW159">
        <f t="shared" si="153"/>
        <v>0</v>
      </c>
      <c r="CX159">
        <f t="shared" si="154"/>
        <v>0</v>
      </c>
      <c r="CY159">
        <f t="shared" si="155"/>
        <v>0</v>
      </c>
      <c r="CZ159">
        <f t="shared" si="156"/>
        <v>0</v>
      </c>
      <c r="DC159" t="s">
        <v>3</v>
      </c>
      <c r="DD159" t="s">
        <v>3</v>
      </c>
      <c r="DE159" t="s">
        <v>3</v>
      </c>
      <c r="DF159" t="s">
        <v>3</v>
      </c>
      <c r="DG159" t="s">
        <v>3</v>
      </c>
      <c r="DH159" t="s">
        <v>3</v>
      </c>
      <c r="DI159" t="s">
        <v>3</v>
      </c>
      <c r="DJ159" t="s">
        <v>3</v>
      </c>
      <c r="DK159" t="s">
        <v>3</v>
      </c>
      <c r="DL159" t="s">
        <v>3</v>
      </c>
      <c r="DM159" t="s">
        <v>3</v>
      </c>
      <c r="DN159">
        <v>0</v>
      </c>
      <c r="DO159">
        <v>0</v>
      </c>
      <c r="DP159">
        <v>1</v>
      </c>
      <c r="DQ159">
        <v>1</v>
      </c>
      <c r="DU159">
        <v>1007</v>
      </c>
      <c r="DV159" t="s">
        <v>33</v>
      </c>
      <c r="DW159" t="s">
        <v>33</v>
      </c>
      <c r="DX159">
        <v>100</v>
      </c>
      <c r="EE159">
        <v>52362078</v>
      </c>
      <c r="EF159">
        <v>1</v>
      </c>
      <c r="EG159" t="s">
        <v>22</v>
      </c>
      <c r="EH159">
        <v>0</v>
      </c>
      <c r="EI159" t="s">
        <v>3</v>
      </c>
      <c r="EJ159">
        <v>4</v>
      </c>
      <c r="EK159">
        <v>0</v>
      </c>
      <c r="EL159" t="s">
        <v>23</v>
      </c>
      <c r="EM159" t="s">
        <v>24</v>
      </c>
      <c r="EO159" t="s">
        <v>3</v>
      </c>
      <c r="EQ159">
        <v>131072</v>
      </c>
      <c r="ER159">
        <v>41951.1</v>
      </c>
      <c r="ES159">
        <v>0</v>
      </c>
      <c r="ET159">
        <v>0</v>
      </c>
      <c r="EU159">
        <v>0</v>
      </c>
      <c r="EV159">
        <v>41951.1</v>
      </c>
      <c r="EW159">
        <v>221.6</v>
      </c>
      <c r="EX159">
        <v>0</v>
      </c>
      <c r="EY159">
        <v>0</v>
      </c>
      <c r="FQ159">
        <v>0</v>
      </c>
      <c r="FR159">
        <f t="shared" si="157"/>
        <v>0</v>
      </c>
      <c r="FS159">
        <v>0</v>
      </c>
      <c r="FX159">
        <v>70</v>
      </c>
      <c r="FY159">
        <v>10</v>
      </c>
      <c r="GA159" t="s">
        <v>3</v>
      </c>
      <c r="GD159">
        <v>0</v>
      </c>
      <c r="GF159">
        <v>-1535592702</v>
      </c>
      <c r="GG159">
        <v>2</v>
      </c>
      <c r="GH159">
        <v>1</v>
      </c>
      <c r="GI159">
        <v>-2</v>
      </c>
      <c r="GJ159">
        <v>0</v>
      </c>
      <c r="GK159">
        <f>ROUND(R159*(R12)/100,2)</f>
        <v>0</v>
      </c>
      <c r="GL159">
        <f t="shared" si="158"/>
        <v>0</v>
      </c>
      <c r="GM159">
        <f t="shared" si="159"/>
        <v>0</v>
      </c>
      <c r="GN159">
        <f t="shared" si="160"/>
        <v>0</v>
      </c>
      <c r="GO159">
        <f t="shared" si="161"/>
        <v>0</v>
      </c>
      <c r="GP159">
        <f t="shared" si="162"/>
        <v>0</v>
      </c>
      <c r="GR159">
        <v>0</v>
      </c>
      <c r="GS159">
        <v>3</v>
      </c>
      <c r="GT159">
        <v>0</v>
      </c>
      <c r="GU159" t="s">
        <v>3</v>
      </c>
      <c r="GV159">
        <f t="shared" si="163"/>
        <v>0</v>
      </c>
      <c r="GW159">
        <v>1</v>
      </c>
      <c r="GX159">
        <f t="shared" si="164"/>
        <v>0</v>
      </c>
      <c r="HA159">
        <v>0</v>
      </c>
      <c r="HB159">
        <v>0</v>
      </c>
      <c r="HC159">
        <f t="shared" si="165"/>
        <v>0</v>
      </c>
      <c r="HE159" t="s">
        <v>3</v>
      </c>
      <c r="HF159" t="s">
        <v>3</v>
      </c>
      <c r="IK159">
        <v>0</v>
      </c>
    </row>
    <row r="160" spans="1:245" x14ac:dyDescent="0.2">
      <c r="A160">
        <v>17</v>
      </c>
      <c r="B160">
        <v>1</v>
      </c>
      <c r="C160">
        <f>ROW(SmtRes!A170)</f>
        <v>170</v>
      </c>
      <c r="D160">
        <f>ROW(EtalonRes!A162)</f>
        <v>162</v>
      </c>
      <c r="E160" t="s">
        <v>221</v>
      </c>
      <c r="F160" t="s">
        <v>31</v>
      </c>
      <c r="G160" t="s">
        <v>65</v>
      </c>
      <c r="H160" t="s">
        <v>33</v>
      </c>
      <c r="I160">
        <v>0</v>
      </c>
      <c r="J160">
        <v>0</v>
      </c>
      <c r="O160">
        <f t="shared" si="126"/>
        <v>0</v>
      </c>
      <c r="P160">
        <f t="shared" si="127"/>
        <v>0</v>
      </c>
      <c r="Q160">
        <f t="shared" si="128"/>
        <v>0</v>
      </c>
      <c r="R160">
        <f t="shared" si="129"/>
        <v>0</v>
      </c>
      <c r="S160">
        <f t="shared" si="130"/>
        <v>0</v>
      </c>
      <c r="T160">
        <f t="shared" si="131"/>
        <v>0</v>
      </c>
      <c r="U160">
        <f t="shared" si="132"/>
        <v>0</v>
      </c>
      <c r="V160">
        <f t="shared" si="133"/>
        <v>0</v>
      </c>
      <c r="W160">
        <f t="shared" si="134"/>
        <v>0</v>
      </c>
      <c r="X160">
        <f t="shared" si="135"/>
        <v>0</v>
      </c>
      <c r="Y160">
        <f t="shared" si="136"/>
        <v>0</v>
      </c>
      <c r="AA160">
        <v>52430918</v>
      </c>
      <c r="AB160">
        <f t="shared" si="137"/>
        <v>75863.820000000007</v>
      </c>
      <c r="AC160">
        <f t="shared" si="138"/>
        <v>65162.05</v>
      </c>
      <c r="AD160">
        <f t="shared" si="139"/>
        <v>7602.23</v>
      </c>
      <c r="AE160">
        <f t="shared" si="140"/>
        <v>3222.98</v>
      </c>
      <c r="AF160">
        <f t="shared" si="141"/>
        <v>3099.54</v>
      </c>
      <c r="AG160">
        <f t="shared" si="142"/>
        <v>0</v>
      </c>
      <c r="AH160">
        <f t="shared" si="143"/>
        <v>16.559999999999999</v>
      </c>
      <c r="AI160">
        <f t="shared" si="144"/>
        <v>0</v>
      </c>
      <c r="AJ160">
        <f t="shared" si="145"/>
        <v>0</v>
      </c>
      <c r="AK160">
        <v>75863.820000000007</v>
      </c>
      <c r="AL160">
        <v>65162.05</v>
      </c>
      <c r="AM160">
        <v>7602.23</v>
      </c>
      <c r="AN160">
        <v>3222.98</v>
      </c>
      <c r="AO160">
        <v>3099.54</v>
      </c>
      <c r="AP160">
        <v>0</v>
      </c>
      <c r="AQ160">
        <v>16.559999999999999</v>
      </c>
      <c r="AR160">
        <v>0</v>
      </c>
      <c r="AS160">
        <v>0</v>
      </c>
      <c r="AT160">
        <v>70</v>
      </c>
      <c r="AU160">
        <v>10</v>
      </c>
      <c r="AV160">
        <v>1</v>
      </c>
      <c r="AW160">
        <v>1</v>
      </c>
      <c r="AZ160">
        <v>1</v>
      </c>
      <c r="BA160">
        <v>1</v>
      </c>
      <c r="BB160">
        <v>1</v>
      </c>
      <c r="BC160">
        <v>1</v>
      </c>
      <c r="BD160" t="s">
        <v>3</v>
      </c>
      <c r="BE160" t="s">
        <v>3</v>
      </c>
      <c r="BF160" t="s">
        <v>3</v>
      </c>
      <c r="BG160" t="s">
        <v>3</v>
      </c>
      <c r="BH160">
        <v>0</v>
      </c>
      <c r="BI160">
        <v>4</v>
      </c>
      <c r="BJ160" t="s">
        <v>34</v>
      </c>
      <c r="BM160">
        <v>0</v>
      </c>
      <c r="BN160">
        <v>0</v>
      </c>
      <c r="BO160" t="s">
        <v>3</v>
      </c>
      <c r="BP160">
        <v>0</v>
      </c>
      <c r="BQ160">
        <v>1</v>
      </c>
      <c r="BR160">
        <v>0</v>
      </c>
      <c r="BS160">
        <v>1</v>
      </c>
      <c r="BT160">
        <v>1</v>
      </c>
      <c r="BU160">
        <v>1</v>
      </c>
      <c r="BV160">
        <v>1</v>
      </c>
      <c r="BW160">
        <v>1</v>
      </c>
      <c r="BX160">
        <v>1</v>
      </c>
      <c r="BY160" t="s">
        <v>3</v>
      </c>
      <c r="BZ160">
        <v>70</v>
      </c>
      <c r="CA160">
        <v>10</v>
      </c>
      <c r="CE160">
        <v>0</v>
      </c>
      <c r="CF160">
        <v>0</v>
      </c>
      <c r="CG160">
        <v>0</v>
      </c>
      <c r="CM160">
        <v>0</v>
      </c>
      <c r="CN160" t="s">
        <v>3</v>
      </c>
      <c r="CO160">
        <v>0</v>
      </c>
      <c r="CP160">
        <f t="shared" si="146"/>
        <v>0</v>
      </c>
      <c r="CQ160">
        <f t="shared" si="147"/>
        <v>65162.05</v>
      </c>
      <c r="CR160">
        <f t="shared" si="148"/>
        <v>7602.23</v>
      </c>
      <c r="CS160">
        <f t="shared" si="149"/>
        <v>3222.98</v>
      </c>
      <c r="CT160">
        <f t="shared" si="150"/>
        <v>3099.54</v>
      </c>
      <c r="CU160">
        <f t="shared" si="151"/>
        <v>0</v>
      </c>
      <c r="CV160">
        <f t="shared" si="152"/>
        <v>16.559999999999999</v>
      </c>
      <c r="CW160">
        <f t="shared" si="153"/>
        <v>0</v>
      </c>
      <c r="CX160">
        <f t="shared" si="154"/>
        <v>0</v>
      </c>
      <c r="CY160">
        <f t="shared" si="155"/>
        <v>0</v>
      </c>
      <c r="CZ160">
        <f t="shared" si="156"/>
        <v>0</v>
      </c>
      <c r="DC160" t="s">
        <v>3</v>
      </c>
      <c r="DD160" t="s">
        <v>3</v>
      </c>
      <c r="DE160" t="s">
        <v>3</v>
      </c>
      <c r="DF160" t="s">
        <v>3</v>
      </c>
      <c r="DG160" t="s">
        <v>3</v>
      </c>
      <c r="DH160" t="s">
        <v>3</v>
      </c>
      <c r="DI160" t="s">
        <v>3</v>
      </c>
      <c r="DJ160" t="s">
        <v>3</v>
      </c>
      <c r="DK160" t="s">
        <v>3</v>
      </c>
      <c r="DL160" t="s">
        <v>3</v>
      </c>
      <c r="DM160" t="s">
        <v>3</v>
      </c>
      <c r="DN160">
        <v>0</v>
      </c>
      <c r="DO160">
        <v>0</v>
      </c>
      <c r="DP160">
        <v>1</v>
      </c>
      <c r="DQ160">
        <v>1</v>
      </c>
      <c r="DU160">
        <v>1007</v>
      </c>
      <c r="DV160" t="s">
        <v>33</v>
      </c>
      <c r="DW160" t="s">
        <v>33</v>
      </c>
      <c r="DX160">
        <v>100</v>
      </c>
      <c r="EE160">
        <v>52362078</v>
      </c>
      <c r="EF160">
        <v>1</v>
      </c>
      <c r="EG160" t="s">
        <v>22</v>
      </c>
      <c r="EH160">
        <v>0</v>
      </c>
      <c r="EI160" t="s">
        <v>3</v>
      </c>
      <c r="EJ160">
        <v>4</v>
      </c>
      <c r="EK160">
        <v>0</v>
      </c>
      <c r="EL160" t="s">
        <v>23</v>
      </c>
      <c r="EM160" t="s">
        <v>24</v>
      </c>
      <c r="EO160" t="s">
        <v>3</v>
      </c>
      <c r="EQ160">
        <v>131072</v>
      </c>
      <c r="ER160">
        <v>75863.820000000007</v>
      </c>
      <c r="ES160">
        <v>65162.05</v>
      </c>
      <c r="ET160">
        <v>7602.23</v>
      </c>
      <c r="EU160">
        <v>3222.98</v>
      </c>
      <c r="EV160">
        <v>3099.54</v>
      </c>
      <c r="EW160">
        <v>16.559999999999999</v>
      </c>
      <c r="EX160">
        <v>0</v>
      </c>
      <c r="EY160">
        <v>0</v>
      </c>
      <c r="FQ160">
        <v>0</v>
      </c>
      <c r="FR160">
        <f t="shared" si="157"/>
        <v>0</v>
      </c>
      <c r="FS160">
        <v>0</v>
      </c>
      <c r="FX160">
        <v>70</v>
      </c>
      <c r="FY160">
        <v>10</v>
      </c>
      <c r="GA160" t="s">
        <v>3</v>
      </c>
      <c r="GD160">
        <v>0</v>
      </c>
      <c r="GF160">
        <v>-1374033590</v>
      </c>
      <c r="GG160">
        <v>2</v>
      </c>
      <c r="GH160">
        <v>1</v>
      </c>
      <c r="GI160">
        <v>-2</v>
      </c>
      <c r="GJ160">
        <v>0</v>
      </c>
      <c r="GK160">
        <f>ROUND(R160*(R12)/100,2)</f>
        <v>0</v>
      </c>
      <c r="GL160">
        <f t="shared" si="158"/>
        <v>0</v>
      </c>
      <c r="GM160">
        <f t="shared" si="159"/>
        <v>0</v>
      </c>
      <c r="GN160">
        <f t="shared" si="160"/>
        <v>0</v>
      </c>
      <c r="GO160">
        <f t="shared" si="161"/>
        <v>0</v>
      </c>
      <c r="GP160">
        <f t="shared" si="162"/>
        <v>0</v>
      </c>
      <c r="GR160">
        <v>0</v>
      </c>
      <c r="GS160">
        <v>3</v>
      </c>
      <c r="GT160">
        <v>0</v>
      </c>
      <c r="GU160" t="s">
        <v>3</v>
      </c>
      <c r="GV160">
        <f t="shared" si="163"/>
        <v>0</v>
      </c>
      <c r="GW160">
        <v>1</v>
      </c>
      <c r="GX160">
        <f t="shared" si="164"/>
        <v>0</v>
      </c>
      <c r="HA160">
        <v>0</v>
      </c>
      <c r="HB160">
        <v>0</v>
      </c>
      <c r="HC160">
        <f t="shared" si="165"/>
        <v>0</v>
      </c>
      <c r="HE160" t="s">
        <v>3</v>
      </c>
      <c r="HF160" t="s">
        <v>3</v>
      </c>
      <c r="IK160">
        <v>0</v>
      </c>
    </row>
    <row r="161" spans="1:245" x14ac:dyDescent="0.2">
      <c r="A161">
        <v>17</v>
      </c>
      <c r="B161">
        <v>1</v>
      </c>
      <c r="C161">
        <f>ROW(SmtRes!A175)</f>
        <v>175</v>
      </c>
      <c r="D161">
        <f>ROW(EtalonRes!A167)</f>
        <v>167</v>
      </c>
      <c r="E161" t="s">
        <v>222</v>
      </c>
      <c r="F161" t="s">
        <v>67</v>
      </c>
      <c r="G161" t="s">
        <v>68</v>
      </c>
      <c r="H161" t="s">
        <v>69</v>
      </c>
      <c r="I161">
        <f>ROUND(43.22/100,9)</f>
        <v>0.43219999999999997</v>
      </c>
      <c r="J161">
        <v>0</v>
      </c>
      <c r="O161">
        <f t="shared" si="126"/>
        <v>21397.5</v>
      </c>
      <c r="P161">
        <f t="shared" si="127"/>
        <v>14931.52</v>
      </c>
      <c r="Q161">
        <f t="shared" si="128"/>
        <v>76.849999999999994</v>
      </c>
      <c r="R161">
        <f t="shared" si="129"/>
        <v>41.72</v>
      </c>
      <c r="S161">
        <f t="shared" si="130"/>
        <v>6389.13</v>
      </c>
      <c r="T161">
        <f t="shared" si="131"/>
        <v>0</v>
      </c>
      <c r="U161">
        <f t="shared" si="132"/>
        <v>31.52899</v>
      </c>
      <c r="V161">
        <f t="shared" si="133"/>
        <v>0</v>
      </c>
      <c r="W161">
        <f t="shared" si="134"/>
        <v>0</v>
      </c>
      <c r="X161">
        <f t="shared" si="135"/>
        <v>4472.3900000000003</v>
      </c>
      <c r="Y161">
        <f t="shared" si="136"/>
        <v>638.91</v>
      </c>
      <c r="AA161">
        <v>52430918</v>
      </c>
      <c r="AB161">
        <f t="shared" si="137"/>
        <v>49508.32</v>
      </c>
      <c r="AC161">
        <f t="shared" si="138"/>
        <v>34547.699999999997</v>
      </c>
      <c r="AD161">
        <f t="shared" si="139"/>
        <v>177.81</v>
      </c>
      <c r="AE161">
        <f t="shared" si="140"/>
        <v>96.53</v>
      </c>
      <c r="AF161">
        <f t="shared" si="141"/>
        <v>14782.81</v>
      </c>
      <c r="AG161">
        <f t="shared" si="142"/>
        <v>0</v>
      </c>
      <c r="AH161">
        <f t="shared" si="143"/>
        <v>72.95</v>
      </c>
      <c r="AI161">
        <f t="shared" si="144"/>
        <v>0</v>
      </c>
      <c r="AJ161">
        <f t="shared" si="145"/>
        <v>0</v>
      </c>
      <c r="AK161">
        <v>49508.32</v>
      </c>
      <c r="AL161">
        <v>34547.699999999997</v>
      </c>
      <c r="AM161">
        <v>177.81</v>
      </c>
      <c r="AN161">
        <v>96.53</v>
      </c>
      <c r="AO161">
        <v>14782.81</v>
      </c>
      <c r="AP161">
        <v>0</v>
      </c>
      <c r="AQ161">
        <v>72.95</v>
      </c>
      <c r="AR161">
        <v>0</v>
      </c>
      <c r="AS161">
        <v>0</v>
      </c>
      <c r="AT161">
        <v>70</v>
      </c>
      <c r="AU161">
        <v>10</v>
      </c>
      <c r="AV161">
        <v>1</v>
      </c>
      <c r="AW161">
        <v>1</v>
      </c>
      <c r="AZ161">
        <v>1</v>
      </c>
      <c r="BA161">
        <v>1</v>
      </c>
      <c r="BB161">
        <v>1</v>
      </c>
      <c r="BC161">
        <v>1</v>
      </c>
      <c r="BD161" t="s">
        <v>3</v>
      </c>
      <c r="BE161" t="s">
        <v>3</v>
      </c>
      <c r="BF161" t="s">
        <v>3</v>
      </c>
      <c r="BG161" t="s">
        <v>3</v>
      </c>
      <c r="BH161">
        <v>0</v>
      </c>
      <c r="BI161">
        <v>4</v>
      </c>
      <c r="BJ161" t="s">
        <v>70</v>
      </c>
      <c r="BM161">
        <v>0</v>
      </c>
      <c r="BN161">
        <v>0</v>
      </c>
      <c r="BO161" t="s">
        <v>3</v>
      </c>
      <c r="BP161">
        <v>0</v>
      </c>
      <c r="BQ161">
        <v>1</v>
      </c>
      <c r="BR161">
        <v>0</v>
      </c>
      <c r="BS161">
        <v>1</v>
      </c>
      <c r="BT161">
        <v>1</v>
      </c>
      <c r="BU161">
        <v>1</v>
      </c>
      <c r="BV161">
        <v>1</v>
      </c>
      <c r="BW161">
        <v>1</v>
      </c>
      <c r="BX161">
        <v>1</v>
      </c>
      <c r="BY161" t="s">
        <v>3</v>
      </c>
      <c r="BZ161">
        <v>70</v>
      </c>
      <c r="CA161">
        <v>10</v>
      </c>
      <c r="CE161">
        <v>0</v>
      </c>
      <c r="CF161">
        <v>0</v>
      </c>
      <c r="CG161">
        <v>0</v>
      </c>
      <c r="CM161">
        <v>0</v>
      </c>
      <c r="CN161" t="s">
        <v>3</v>
      </c>
      <c r="CO161">
        <v>0</v>
      </c>
      <c r="CP161">
        <f t="shared" si="146"/>
        <v>21397.5</v>
      </c>
      <c r="CQ161">
        <f t="shared" si="147"/>
        <v>34547.699999999997</v>
      </c>
      <c r="CR161">
        <f t="shared" si="148"/>
        <v>177.81</v>
      </c>
      <c r="CS161">
        <f t="shared" si="149"/>
        <v>96.53</v>
      </c>
      <c r="CT161">
        <f t="shared" si="150"/>
        <v>14782.81</v>
      </c>
      <c r="CU161">
        <f t="shared" si="151"/>
        <v>0</v>
      </c>
      <c r="CV161">
        <f t="shared" si="152"/>
        <v>72.95</v>
      </c>
      <c r="CW161">
        <f t="shared" si="153"/>
        <v>0</v>
      </c>
      <c r="CX161">
        <f t="shared" si="154"/>
        <v>0</v>
      </c>
      <c r="CY161">
        <f t="shared" si="155"/>
        <v>4472.3910000000005</v>
      </c>
      <c r="CZ161">
        <f t="shared" si="156"/>
        <v>638.91300000000001</v>
      </c>
      <c r="DC161" t="s">
        <v>3</v>
      </c>
      <c r="DD161" t="s">
        <v>3</v>
      </c>
      <c r="DE161" t="s">
        <v>3</v>
      </c>
      <c r="DF161" t="s">
        <v>3</v>
      </c>
      <c r="DG161" t="s">
        <v>3</v>
      </c>
      <c r="DH161" t="s">
        <v>3</v>
      </c>
      <c r="DI161" t="s">
        <v>3</v>
      </c>
      <c r="DJ161" t="s">
        <v>3</v>
      </c>
      <c r="DK161" t="s">
        <v>3</v>
      </c>
      <c r="DL161" t="s">
        <v>3</v>
      </c>
      <c r="DM161" t="s">
        <v>3</v>
      </c>
      <c r="DN161">
        <v>0</v>
      </c>
      <c r="DO161">
        <v>0</v>
      </c>
      <c r="DP161">
        <v>1</v>
      </c>
      <c r="DQ161">
        <v>1</v>
      </c>
      <c r="DU161">
        <v>1003</v>
      </c>
      <c r="DV161" t="s">
        <v>69</v>
      </c>
      <c r="DW161" t="s">
        <v>69</v>
      </c>
      <c r="DX161">
        <v>100</v>
      </c>
      <c r="EE161">
        <v>52362078</v>
      </c>
      <c r="EF161">
        <v>1</v>
      </c>
      <c r="EG161" t="s">
        <v>22</v>
      </c>
      <c r="EH161">
        <v>0</v>
      </c>
      <c r="EI161" t="s">
        <v>3</v>
      </c>
      <c r="EJ161">
        <v>4</v>
      </c>
      <c r="EK161">
        <v>0</v>
      </c>
      <c r="EL161" t="s">
        <v>23</v>
      </c>
      <c r="EM161" t="s">
        <v>24</v>
      </c>
      <c r="EO161" t="s">
        <v>3</v>
      </c>
      <c r="EQ161">
        <v>131072</v>
      </c>
      <c r="ER161">
        <v>49508.32</v>
      </c>
      <c r="ES161">
        <v>34547.699999999997</v>
      </c>
      <c r="ET161">
        <v>177.81</v>
      </c>
      <c r="EU161">
        <v>96.53</v>
      </c>
      <c r="EV161">
        <v>14782.81</v>
      </c>
      <c r="EW161">
        <v>72.95</v>
      </c>
      <c r="EX161">
        <v>0</v>
      </c>
      <c r="EY161">
        <v>0</v>
      </c>
      <c r="FQ161">
        <v>0</v>
      </c>
      <c r="FR161">
        <f t="shared" si="157"/>
        <v>0</v>
      </c>
      <c r="FS161">
        <v>0</v>
      </c>
      <c r="FX161">
        <v>70</v>
      </c>
      <c r="FY161">
        <v>10</v>
      </c>
      <c r="GA161" t="s">
        <v>3</v>
      </c>
      <c r="GD161">
        <v>0</v>
      </c>
      <c r="GF161">
        <v>-280608707</v>
      </c>
      <c r="GG161">
        <v>2</v>
      </c>
      <c r="GH161">
        <v>1</v>
      </c>
      <c r="GI161">
        <v>-2</v>
      </c>
      <c r="GJ161">
        <v>0</v>
      </c>
      <c r="GK161">
        <f>ROUND(R161*(R12)/100,2)</f>
        <v>45.06</v>
      </c>
      <c r="GL161">
        <f t="shared" si="158"/>
        <v>0</v>
      </c>
      <c r="GM161">
        <f t="shared" si="159"/>
        <v>26553.86</v>
      </c>
      <c r="GN161">
        <f t="shared" si="160"/>
        <v>0</v>
      </c>
      <c r="GO161">
        <f t="shared" si="161"/>
        <v>0</v>
      </c>
      <c r="GP161">
        <f t="shared" si="162"/>
        <v>26553.86</v>
      </c>
      <c r="GR161">
        <v>0</v>
      </c>
      <c r="GS161">
        <v>3</v>
      </c>
      <c r="GT161">
        <v>0</v>
      </c>
      <c r="GU161" t="s">
        <v>3</v>
      </c>
      <c r="GV161">
        <f t="shared" si="163"/>
        <v>0</v>
      </c>
      <c r="GW161">
        <v>1</v>
      </c>
      <c r="GX161">
        <f t="shared" si="164"/>
        <v>0</v>
      </c>
      <c r="HA161">
        <v>0</v>
      </c>
      <c r="HB161">
        <v>0</v>
      </c>
      <c r="HC161">
        <f t="shared" si="165"/>
        <v>0</v>
      </c>
      <c r="HE161" t="s">
        <v>3</v>
      </c>
      <c r="HF161" t="s">
        <v>3</v>
      </c>
      <c r="IK161">
        <v>0</v>
      </c>
    </row>
    <row r="162" spans="1:245" x14ac:dyDescent="0.2">
      <c r="A162">
        <v>17</v>
      </c>
      <c r="B162">
        <v>1</v>
      </c>
      <c r="C162">
        <f>ROW(SmtRes!A186)</f>
        <v>186</v>
      </c>
      <c r="D162">
        <f>ROW(EtalonRes!A177)</f>
        <v>177</v>
      </c>
      <c r="E162" t="s">
        <v>223</v>
      </c>
      <c r="F162" t="s">
        <v>72</v>
      </c>
      <c r="G162" t="s">
        <v>191</v>
      </c>
      <c r="H162" t="s">
        <v>74</v>
      </c>
      <c r="I162">
        <f>ROUND(3/100,9)</f>
        <v>0.03</v>
      </c>
      <c r="J162">
        <v>0</v>
      </c>
      <c r="O162">
        <f t="shared" si="126"/>
        <v>7421.4</v>
      </c>
      <c r="P162">
        <f t="shared" si="127"/>
        <v>535.59</v>
      </c>
      <c r="Q162">
        <f t="shared" si="128"/>
        <v>16.329999999999998</v>
      </c>
      <c r="R162">
        <f t="shared" si="129"/>
        <v>2.04</v>
      </c>
      <c r="S162">
        <f t="shared" si="130"/>
        <v>6869.48</v>
      </c>
      <c r="T162">
        <f t="shared" si="131"/>
        <v>0</v>
      </c>
      <c r="U162">
        <f t="shared" si="132"/>
        <v>27.0825</v>
      </c>
      <c r="V162">
        <f t="shared" si="133"/>
        <v>0</v>
      </c>
      <c r="W162">
        <f t="shared" si="134"/>
        <v>0</v>
      </c>
      <c r="X162">
        <f t="shared" si="135"/>
        <v>4808.6400000000003</v>
      </c>
      <c r="Y162">
        <f t="shared" si="136"/>
        <v>686.95</v>
      </c>
      <c r="AA162">
        <v>52430918</v>
      </c>
      <c r="AB162">
        <f t="shared" si="137"/>
        <v>247379.69</v>
      </c>
      <c r="AC162">
        <f t="shared" si="138"/>
        <v>17852.89</v>
      </c>
      <c r="AD162">
        <f t="shared" si="139"/>
        <v>544.27</v>
      </c>
      <c r="AE162">
        <f t="shared" si="140"/>
        <v>67.94</v>
      </c>
      <c r="AF162">
        <f t="shared" si="141"/>
        <v>228982.53</v>
      </c>
      <c r="AG162">
        <f t="shared" si="142"/>
        <v>0</v>
      </c>
      <c r="AH162">
        <f t="shared" si="143"/>
        <v>902.75</v>
      </c>
      <c r="AI162">
        <f t="shared" si="144"/>
        <v>0</v>
      </c>
      <c r="AJ162">
        <f t="shared" si="145"/>
        <v>0</v>
      </c>
      <c r="AK162">
        <v>247379.69</v>
      </c>
      <c r="AL162">
        <v>17852.89</v>
      </c>
      <c r="AM162">
        <v>544.27</v>
      </c>
      <c r="AN162">
        <v>67.94</v>
      </c>
      <c r="AO162">
        <v>228982.53</v>
      </c>
      <c r="AP162">
        <v>0</v>
      </c>
      <c r="AQ162">
        <v>902.75</v>
      </c>
      <c r="AR162">
        <v>0</v>
      </c>
      <c r="AS162">
        <v>0</v>
      </c>
      <c r="AT162">
        <v>70</v>
      </c>
      <c r="AU162">
        <v>10</v>
      </c>
      <c r="AV162">
        <v>1</v>
      </c>
      <c r="AW162">
        <v>1</v>
      </c>
      <c r="AZ162">
        <v>1</v>
      </c>
      <c r="BA162">
        <v>1</v>
      </c>
      <c r="BB162">
        <v>1</v>
      </c>
      <c r="BC162">
        <v>1</v>
      </c>
      <c r="BD162" t="s">
        <v>3</v>
      </c>
      <c r="BE162" t="s">
        <v>3</v>
      </c>
      <c r="BF162" t="s">
        <v>3</v>
      </c>
      <c r="BG162" t="s">
        <v>3</v>
      </c>
      <c r="BH162">
        <v>0</v>
      </c>
      <c r="BI162">
        <v>4</v>
      </c>
      <c r="BJ162" t="s">
        <v>75</v>
      </c>
      <c r="BM162">
        <v>0</v>
      </c>
      <c r="BN162">
        <v>0</v>
      </c>
      <c r="BO162" t="s">
        <v>3</v>
      </c>
      <c r="BP162">
        <v>0</v>
      </c>
      <c r="BQ162">
        <v>1</v>
      </c>
      <c r="BR162">
        <v>0</v>
      </c>
      <c r="BS162">
        <v>1</v>
      </c>
      <c r="BT162">
        <v>1</v>
      </c>
      <c r="BU162">
        <v>1</v>
      </c>
      <c r="BV162">
        <v>1</v>
      </c>
      <c r="BW162">
        <v>1</v>
      </c>
      <c r="BX162">
        <v>1</v>
      </c>
      <c r="BY162" t="s">
        <v>3</v>
      </c>
      <c r="BZ162">
        <v>70</v>
      </c>
      <c r="CA162">
        <v>10</v>
      </c>
      <c r="CE162">
        <v>0</v>
      </c>
      <c r="CF162">
        <v>0</v>
      </c>
      <c r="CG162">
        <v>0</v>
      </c>
      <c r="CM162">
        <v>0</v>
      </c>
      <c r="CN162" t="s">
        <v>3</v>
      </c>
      <c r="CO162">
        <v>0</v>
      </c>
      <c r="CP162">
        <f t="shared" si="146"/>
        <v>7421.4</v>
      </c>
      <c r="CQ162">
        <f t="shared" si="147"/>
        <v>17852.89</v>
      </c>
      <c r="CR162">
        <f t="shared" si="148"/>
        <v>544.27</v>
      </c>
      <c r="CS162">
        <f t="shared" si="149"/>
        <v>67.94</v>
      </c>
      <c r="CT162">
        <f t="shared" si="150"/>
        <v>228982.53</v>
      </c>
      <c r="CU162">
        <f t="shared" si="151"/>
        <v>0</v>
      </c>
      <c r="CV162">
        <f t="shared" si="152"/>
        <v>902.75</v>
      </c>
      <c r="CW162">
        <f t="shared" si="153"/>
        <v>0</v>
      </c>
      <c r="CX162">
        <f t="shared" si="154"/>
        <v>0</v>
      </c>
      <c r="CY162">
        <f t="shared" si="155"/>
        <v>4808.6359999999995</v>
      </c>
      <c r="CZ162">
        <f t="shared" si="156"/>
        <v>686.94799999999987</v>
      </c>
      <c r="DC162" t="s">
        <v>3</v>
      </c>
      <c r="DD162" t="s">
        <v>3</v>
      </c>
      <c r="DE162" t="s">
        <v>3</v>
      </c>
      <c r="DF162" t="s">
        <v>3</v>
      </c>
      <c r="DG162" t="s">
        <v>3</v>
      </c>
      <c r="DH162" t="s">
        <v>3</v>
      </c>
      <c r="DI162" t="s">
        <v>3</v>
      </c>
      <c r="DJ162" t="s">
        <v>3</v>
      </c>
      <c r="DK162" t="s">
        <v>3</v>
      </c>
      <c r="DL162" t="s">
        <v>3</v>
      </c>
      <c r="DM162" t="s">
        <v>3</v>
      </c>
      <c r="DN162">
        <v>0</v>
      </c>
      <c r="DO162">
        <v>0</v>
      </c>
      <c r="DP162">
        <v>1</v>
      </c>
      <c r="DQ162">
        <v>1</v>
      </c>
      <c r="DU162">
        <v>1010</v>
      </c>
      <c r="DV162" t="s">
        <v>74</v>
      </c>
      <c r="DW162" t="s">
        <v>74</v>
      </c>
      <c r="DX162">
        <v>100</v>
      </c>
      <c r="EE162">
        <v>52362078</v>
      </c>
      <c r="EF162">
        <v>1</v>
      </c>
      <c r="EG162" t="s">
        <v>22</v>
      </c>
      <c r="EH162">
        <v>0</v>
      </c>
      <c r="EI162" t="s">
        <v>3</v>
      </c>
      <c r="EJ162">
        <v>4</v>
      </c>
      <c r="EK162">
        <v>0</v>
      </c>
      <c r="EL162" t="s">
        <v>23</v>
      </c>
      <c r="EM162" t="s">
        <v>24</v>
      </c>
      <c r="EO162" t="s">
        <v>3</v>
      </c>
      <c r="EQ162">
        <v>131072</v>
      </c>
      <c r="ER162">
        <v>247379.69</v>
      </c>
      <c r="ES162">
        <v>17852.89</v>
      </c>
      <c r="ET162">
        <v>544.27</v>
      </c>
      <c r="EU162">
        <v>67.94</v>
      </c>
      <c r="EV162">
        <v>228982.53</v>
      </c>
      <c r="EW162">
        <v>902.75</v>
      </c>
      <c r="EX162">
        <v>0</v>
      </c>
      <c r="EY162">
        <v>0</v>
      </c>
      <c r="FQ162">
        <v>0</v>
      </c>
      <c r="FR162">
        <f t="shared" si="157"/>
        <v>0</v>
      </c>
      <c r="FS162">
        <v>0</v>
      </c>
      <c r="FX162">
        <v>70</v>
      </c>
      <c r="FY162">
        <v>10</v>
      </c>
      <c r="GA162" t="s">
        <v>3</v>
      </c>
      <c r="GD162">
        <v>0</v>
      </c>
      <c r="GF162">
        <v>1922925453</v>
      </c>
      <c r="GG162">
        <v>2</v>
      </c>
      <c r="GH162">
        <v>1</v>
      </c>
      <c r="GI162">
        <v>-2</v>
      </c>
      <c r="GJ162">
        <v>0</v>
      </c>
      <c r="GK162">
        <f>ROUND(R162*(R12)/100,2)</f>
        <v>2.2000000000000002</v>
      </c>
      <c r="GL162">
        <f t="shared" si="158"/>
        <v>0</v>
      </c>
      <c r="GM162">
        <f t="shared" si="159"/>
        <v>12919.19</v>
      </c>
      <c r="GN162">
        <f t="shared" si="160"/>
        <v>0</v>
      </c>
      <c r="GO162">
        <f t="shared" si="161"/>
        <v>0</v>
      </c>
      <c r="GP162">
        <f t="shared" si="162"/>
        <v>12919.19</v>
      </c>
      <c r="GR162">
        <v>0</v>
      </c>
      <c r="GS162">
        <v>3</v>
      </c>
      <c r="GT162">
        <v>0</v>
      </c>
      <c r="GU162" t="s">
        <v>3</v>
      </c>
      <c r="GV162">
        <f t="shared" si="163"/>
        <v>0</v>
      </c>
      <c r="GW162">
        <v>1</v>
      </c>
      <c r="GX162">
        <f t="shared" si="164"/>
        <v>0</v>
      </c>
      <c r="HA162">
        <v>0</v>
      </c>
      <c r="HB162">
        <v>0</v>
      </c>
      <c r="HC162">
        <f t="shared" si="165"/>
        <v>0</v>
      </c>
      <c r="HE162" t="s">
        <v>3</v>
      </c>
      <c r="HF162" t="s">
        <v>3</v>
      </c>
      <c r="IK162">
        <v>0</v>
      </c>
    </row>
    <row r="163" spans="1:245" x14ac:dyDescent="0.2">
      <c r="A163">
        <v>18</v>
      </c>
      <c r="B163">
        <v>1</v>
      </c>
      <c r="C163">
        <v>181</v>
      </c>
      <c r="E163" t="s">
        <v>224</v>
      </c>
      <c r="F163" t="s">
        <v>77</v>
      </c>
      <c r="G163" t="s">
        <v>78</v>
      </c>
      <c r="H163" t="s">
        <v>79</v>
      </c>
      <c r="I163">
        <f>I162*J163</f>
        <v>-1.1100000000000001E-3</v>
      </c>
      <c r="J163">
        <v>-3.7000000000000005E-2</v>
      </c>
      <c r="O163">
        <f t="shared" si="126"/>
        <v>-11.57</v>
      </c>
      <c r="P163">
        <f t="shared" si="127"/>
        <v>-11.57</v>
      </c>
      <c r="Q163">
        <f t="shared" si="128"/>
        <v>0</v>
      </c>
      <c r="R163">
        <f t="shared" si="129"/>
        <v>0</v>
      </c>
      <c r="S163">
        <f t="shared" si="130"/>
        <v>0</v>
      </c>
      <c r="T163">
        <f t="shared" si="131"/>
        <v>0</v>
      </c>
      <c r="U163">
        <f t="shared" si="132"/>
        <v>0</v>
      </c>
      <c r="V163">
        <f t="shared" si="133"/>
        <v>0</v>
      </c>
      <c r="W163">
        <f t="shared" si="134"/>
        <v>0</v>
      </c>
      <c r="X163">
        <f t="shared" si="135"/>
        <v>0</v>
      </c>
      <c r="Y163">
        <f t="shared" si="136"/>
        <v>0</v>
      </c>
      <c r="AA163">
        <v>52430918</v>
      </c>
      <c r="AB163">
        <f t="shared" si="137"/>
        <v>10419.43</v>
      </c>
      <c r="AC163">
        <f t="shared" si="138"/>
        <v>10419.43</v>
      </c>
      <c r="AD163">
        <f t="shared" si="139"/>
        <v>0</v>
      </c>
      <c r="AE163">
        <f t="shared" si="140"/>
        <v>0</v>
      </c>
      <c r="AF163">
        <f t="shared" si="141"/>
        <v>0</v>
      </c>
      <c r="AG163">
        <f t="shared" si="142"/>
        <v>0</v>
      </c>
      <c r="AH163">
        <f t="shared" si="143"/>
        <v>0</v>
      </c>
      <c r="AI163">
        <f t="shared" si="144"/>
        <v>0</v>
      </c>
      <c r="AJ163">
        <f t="shared" si="145"/>
        <v>0</v>
      </c>
      <c r="AK163">
        <v>10419.43</v>
      </c>
      <c r="AL163">
        <v>10419.43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70</v>
      </c>
      <c r="AU163">
        <v>10</v>
      </c>
      <c r="AV163">
        <v>1</v>
      </c>
      <c r="AW163">
        <v>1</v>
      </c>
      <c r="AZ163">
        <v>1</v>
      </c>
      <c r="BA163">
        <v>1</v>
      </c>
      <c r="BB163">
        <v>1</v>
      </c>
      <c r="BC163">
        <v>1</v>
      </c>
      <c r="BD163" t="s">
        <v>3</v>
      </c>
      <c r="BE163" t="s">
        <v>3</v>
      </c>
      <c r="BF163" t="s">
        <v>3</v>
      </c>
      <c r="BG163" t="s">
        <v>3</v>
      </c>
      <c r="BH163">
        <v>3</v>
      </c>
      <c r="BI163">
        <v>4</v>
      </c>
      <c r="BJ163" t="s">
        <v>80</v>
      </c>
      <c r="BM163">
        <v>0</v>
      </c>
      <c r="BN163">
        <v>0</v>
      </c>
      <c r="BO163" t="s">
        <v>3</v>
      </c>
      <c r="BP163">
        <v>0</v>
      </c>
      <c r="BQ163">
        <v>1</v>
      </c>
      <c r="BR163">
        <v>1</v>
      </c>
      <c r="BS163">
        <v>1</v>
      </c>
      <c r="BT163">
        <v>1</v>
      </c>
      <c r="BU163">
        <v>1</v>
      </c>
      <c r="BV163">
        <v>1</v>
      </c>
      <c r="BW163">
        <v>1</v>
      </c>
      <c r="BX163">
        <v>1</v>
      </c>
      <c r="BY163" t="s">
        <v>3</v>
      </c>
      <c r="BZ163">
        <v>70</v>
      </c>
      <c r="CA163">
        <v>10</v>
      </c>
      <c r="CE163">
        <v>0</v>
      </c>
      <c r="CF163">
        <v>0</v>
      </c>
      <c r="CG163">
        <v>0</v>
      </c>
      <c r="CM163">
        <v>0</v>
      </c>
      <c r="CN163" t="s">
        <v>3</v>
      </c>
      <c r="CO163">
        <v>0</v>
      </c>
      <c r="CP163">
        <f t="shared" si="146"/>
        <v>-11.57</v>
      </c>
      <c r="CQ163">
        <f t="shared" si="147"/>
        <v>10419.43</v>
      </c>
      <c r="CR163">
        <f t="shared" si="148"/>
        <v>0</v>
      </c>
      <c r="CS163">
        <f t="shared" si="149"/>
        <v>0</v>
      </c>
      <c r="CT163">
        <f t="shared" si="150"/>
        <v>0</v>
      </c>
      <c r="CU163">
        <f t="shared" si="151"/>
        <v>0</v>
      </c>
      <c r="CV163">
        <f t="shared" si="152"/>
        <v>0</v>
      </c>
      <c r="CW163">
        <f t="shared" si="153"/>
        <v>0</v>
      </c>
      <c r="CX163">
        <f t="shared" si="154"/>
        <v>0</v>
      </c>
      <c r="CY163">
        <f t="shared" si="155"/>
        <v>0</v>
      </c>
      <c r="CZ163">
        <f t="shared" si="156"/>
        <v>0</v>
      </c>
      <c r="DC163" t="s">
        <v>3</v>
      </c>
      <c r="DD163" t="s">
        <v>3</v>
      </c>
      <c r="DE163" t="s">
        <v>3</v>
      </c>
      <c r="DF163" t="s">
        <v>3</v>
      </c>
      <c r="DG163" t="s">
        <v>3</v>
      </c>
      <c r="DH163" t="s">
        <v>3</v>
      </c>
      <c r="DI163" t="s">
        <v>3</v>
      </c>
      <c r="DJ163" t="s">
        <v>3</v>
      </c>
      <c r="DK163" t="s">
        <v>3</v>
      </c>
      <c r="DL163" t="s">
        <v>3</v>
      </c>
      <c r="DM163" t="s">
        <v>3</v>
      </c>
      <c r="DN163">
        <v>0</v>
      </c>
      <c r="DO163">
        <v>0</v>
      </c>
      <c r="DP163">
        <v>1</v>
      </c>
      <c r="DQ163">
        <v>1</v>
      </c>
      <c r="DU163">
        <v>1010</v>
      </c>
      <c r="DV163" t="s">
        <v>79</v>
      </c>
      <c r="DW163" t="s">
        <v>79</v>
      </c>
      <c r="DX163">
        <v>1000</v>
      </c>
      <c r="EE163">
        <v>52362078</v>
      </c>
      <c r="EF163">
        <v>1</v>
      </c>
      <c r="EG163" t="s">
        <v>22</v>
      </c>
      <c r="EH163">
        <v>0</v>
      </c>
      <c r="EI163" t="s">
        <v>3</v>
      </c>
      <c r="EJ163">
        <v>4</v>
      </c>
      <c r="EK163">
        <v>0</v>
      </c>
      <c r="EL163" t="s">
        <v>23</v>
      </c>
      <c r="EM163" t="s">
        <v>24</v>
      </c>
      <c r="EO163" t="s">
        <v>3</v>
      </c>
      <c r="EQ163">
        <v>32768</v>
      </c>
      <c r="ER163">
        <v>10419.43</v>
      </c>
      <c r="ES163">
        <v>10419.43</v>
      </c>
      <c r="ET163">
        <v>0</v>
      </c>
      <c r="EU163">
        <v>0</v>
      </c>
      <c r="EV163">
        <v>0</v>
      </c>
      <c r="EW163">
        <v>0</v>
      </c>
      <c r="EX163">
        <v>0</v>
      </c>
      <c r="FQ163">
        <v>0</v>
      </c>
      <c r="FR163">
        <f t="shared" si="157"/>
        <v>0</v>
      </c>
      <c r="FS163">
        <v>0</v>
      </c>
      <c r="FX163">
        <v>70</v>
      </c>
      <c r="FY163">
        <v>10</v>
      </c>
      <c r="GA163" t="s">
        <v>3</v>
      </c>
      <c r="GD163">
        <v>0</v>
      </c>
      <c r="GF163">
        <v>-477329452</v>
      </c>
      <c r="GG163">
        <v>2</v>
      </c>
      <c r="GH163">
        <v>1</v>
      </c>
      <c r="GI163">
        <v>-2</v>
      </c>
      <c r="GJ163">
        <v>0</v>
      </c>
      <c r="GK163">
        <f>ROUND(R163*(R12)/100,2)</f>
        <v>0</v>
      </c>
      <c r="GL163">
        <f t="shared" si="158"/>
        <v>0</v>
      </c>
      <c r="GM163">
        <f t="shared" si="159"/>
        <v>-11.57</v>
      </c>
      <c r="GN163">
        <f t="shared" si="160"/>
        <v>0</v>
      </c>
      <c r="GO163">
        <f t="shared" si="161"/>
        <v>0</v>
      </c>
      <c r="GP163">
        <f t="shared" si="162"/>
        <v>-11.57</v>
      </c>
      <c r="GR163">
        <v>0</v>
      </c>
      <c r="GS163">
        <v>3</v>
      </c>
      <c r="GT163">
        <v>0</v>
      </c>
      <c r="GU163" t="s">
        <v>3</v>
      </c>
      <c r="GV163">
        <f t="shared" si="163"/>
        <v>0</v>
      </c>
      <c r="GW163">
        <v>1</v>
      </c>
      <c r="GX163">
        <f t="shared" si="164"/>
        <v>0</v>
      </c>
      <c r="HA163">
        <v>0</v>
      </c>
      <c r="HB163">
        <v>0</v>
      </c>
      <c r="HC163">
        <f t="shared" si="165"/>
        <v>0</v>
      </c>
      <c r="HE163" t="s">
        <v>3</v>
      </c>
      <c r="HF163" t="s">
        <v>3</v>
      </c>
      <c r="IK163">
        <v>0</v>
      </c>
    </row>
    <row r="164" spans="1:245" x14ac:dyDescent="0.2">
      <c r="A164">
        <v>18</v>
      </c>
      <c r="B164">
        <v>1</v>
      </c>
      <c r="C164">
        <v>179</v>
      </c>
      <c r="E164" t="s">
        <v>225</v>
      </c>
      <c r="F164" t="s">
        <v>82</v>
      </c>
      <c r="G164" t="s">
        <v>83</v>
      </c>
      <c r="H164" t="s">
        <v>84</v>
      </c>
      <c r="I164">
        <f>I162*J164</f>
        <v>-0.16320000000000001</v>
      </c>
      <c r="J164">
        <v>-5.44</v>
      </c>
      <c r="O164">
        <f t="shared" si="126"/>
        <v>-1.77</v>
      </c>
      <c r="P164">
        <f t="shared" si="127"/>
        <v>0</v>
      </c>
      <c r="Q164">
        <f t="shared" si="128"/>
        <v>-1.77</v>
      </c>
      <c r="R164">
        <f t="shared" si="129"/>
        <v>-0.48</v>
      </c>
      <c r="S164">
        <f t="shared" si="130"/>
        <v>0</v>
      </c>
      <c r="T164">
        <f t="shared" si="131"/>
        <v>0</v>
      </c>
      <c r="U164">
        <f t="shared" si="132"/>
        <v>0</v>
      </c>
      <c r="V164">
        <f t="shared" si="133"/>
        <v>0</v>
      </c>
      <c r="W164">
        <f t="shared" si="134"/>
        <v>0</v>
      </c>
      <c r="X164">
        <f t="shared" si="135"/>
        <v>0</v>
      </c>
      <c r="Y164">
        <f t="shared" si="136"/>
        <v>0</v>
      </c>
      <c r="AA164">
        <v>52430918</v>
      </c>
      <c r="AB164">
        <f t="shared" si="137"/>
        <v>10.82</v>
      </c>
      <c r="AC164">
        <f t="shared" si="138"/>
        <v>0</v>
      </c>
      <c r="AD164">
        <f t="shared" si="139"/>
        <v>10.82</v>
      </c>
      <c r="AE164">
        <f t="shared" si="140"/>
        <v>2.97</v>
      </c>
      <c r="AF164">
        <f t="shared" si="141"/>
        <v>0</v>
      </c>
      <c r="AG164">
        <f t="shared" si="142"/>
        <v>0</v>
      </c>
      <c r="AH164">
        <f t="shared" si="143"/>
        <v>0</v>
      </c>
      <c r="AI164">
        <f t="shared" si="144"/>
        <v>0</v>
      </c>
      <c r="AJ164">
        <f t="shared" si="145"/>
        <v>0</v>
      </c>
      <c r="AK164">
        <v>10.82</v>
      </c>
      <c r="AL164">
        <v>0</v>
      </c>
      <c r="AM164">
        <v>10.82</v>
      </c>
      <c r="AN164">
        <v>2.97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70</v>
      </c>
      <c r="AU164">
        <v>10</v>
      </c>
      <c r="AV164">
        <v>1</v>
      </c>
      <c r="AW164">
        <v>1</v>
      </c>
      <c r="AZ164">
        <v>1</v>
      </c>
      <c r="BA164">
        <v>1</v>
      </c>
      <c r="BB164">
        <v>1</v>
      </c>
      <c r="BC164">
        <v>1</v>
      </c>
      <c r="BD164" t="s">
        <v>3</v>
      </c>
      <c r="BE164" t="s">
        <v>3</v>
      </c>
      <c r="BF164" t="s">
        <v>3</v>
      </c>
      <c r="BG164" t="s">
        <v>3</v>
      </c>
      <c r="BH164">
        <v>2</v>
      </c>
      <c r="BI164">
        <v>4</v>
      </c>
      <c r="BJ164" t="s">
        <v>85</v>
      </c>
      <c r="BM164">
        <v>0</v>
      </c>
      <c r="BN164">
        <v>0</v>
      </c>
      <c r="BO164" t="s">
        <v>3</v>
      </c>
      <c r="BP164">
        <v>0</v>
      </c>
      <c r="BQ164">
        <v>1</v>
      </c>
      <c r="BR164">
        <v>1</v>
      </c>
      <c r="BS164">
        <v>1</v>
      </c>
      <c r="BT164">
        <v>1</v>
      </c>
      <c r="BU164">
        <v>1</v>
      </c>
      <c r="BV164">
        <v>1</v>
      </c>
      <c r="BW164">
        <v>1</v>
      </c>
      <c r="BX164">
        <v>1</v>
      </c>
      <c r="BY164" t="s">
        <v>3</v>
      </c>
      <c r="BZ164">
        <v>70</v>
      </c>
      <c r="CA164">
        <v>10</v>
      </c>
      <c r="CE164">
        <v>0</v>
      </c>
      <c r="CF164">
        <v>0</v>
      </c>
      <c r="CG164">
        <v>0</v>
      </c>
      <c r="CM164">
        <v>0</v>
      </c>
      <c r="CN164" t="s">
        <v>3</v>
      </c>
      <c r="CO164">
        <v>0</v>
      </c>
      <c r="CP164">
        <f t="shared" si="146"/>
        <v>-1.77</v>
      </c>
      <c r="CQ164">
        <f t="shared" si="147"/>
        <v>0</v>
      </c>
      <c r="CR164">
        <f t="shared" si="148"/>
        <v>10.82</v>
      </c>
      <c r="CS164">
        <f t="shared" si="149"/>
        <v>2.97</v>
      </c>
      <c r="CT164">
        <f t="shared" si="150"/>
        <v>0</v>
      </c>
      <c r="CU164">
        <f t="shared" si="151"/>
        <v>0</v>
      </c>
      <c r="CV164">
        <f t="shared" si="152"/>
        <v>0</v>
      </c>
      <c r="CW164">
        <f t="shared" si="153"/>
        <v>0</v>
      </c>
      <c r="CX164">
        <f t="shared" si="154"/>
        <v>0</v>
      </c>
      <c r="CY164">
        <f t="shared" si="155"/>
        <v>0</v>
      </c>
      <c r="CZ164">
        <f t="shared" si="156"/>
        <v>0</v>
      </c>
      <c r="DC164" t="s">
        <v>3</v>
      </c>
      <c r="DD164" t="s">
        <v>3</v>
      </c>
      <c r="DE164" t="s">
        <v>3</v>
      </c>
      <c r="DF164" t="s">
        <v>3</v>
      </c>
      <c r="DG164" t="s">
        <v>3</v>
      </c>
      <c r="DH164" t="s">
        <v>3</v>
      </c>
      <c r="DI164" t="s">
        <v>3</v>
      </c>
      <c r="DJ164" t="s">
        <v>3</v>
      </c>
      <c r="DK164" t="s">
        <v>3</v>
      </c>
      <c r="DL164" t="s">
        <v>3</v>
      </c>
      <c r="DM164" t="s">
        <v>3</v>
      </c>
      <c r="DN164">
        <v>0</v>
      </c>
      <c r="DO164">
        <v>0</v>
      </c>
      <c r="DP164">
        <v>1</v>
      </c>
      <c r="DQ164">
        <v>1</v>
      </c>
      <c r="DU164">
        <v>1011</v>
      </c>
      <c r="DV164" t="s">
        <v>84</v>
      </c>
      <c r="DW164" t="s">
        <v>84</v>
      </c>
      <c r="DX164">
        <v>1</v>
      </c>
      <c r="EE164">
        <v>52362078</v>
      </c>
      <c r="EF164">
        <v>1</v>
      </c>
      <c r="EG164" t="s">
        <v>22</v>
      </c>
      <c r="EH164">
        <v>0</v>
      </c>
      <c r="EI164" t="s">
        <v>3</v>
      </c>
      <c r="EJ164">
        <v>4</v>
      </c>
      <c r="EK164">
        <v>0</v>
      </c>
      <c r="EL164" t="s">
        <v>23</v>
      </c>
      <c r="EM164" t="s">
        <v>24</v>
      </c>
      <c r="EO164" t="s">
        <v>3</v>
      </c>
      <c r="EQ164">
        <v>32768</v>
      </c>
      <c r="ER164">
        <v>10.82</v>
      </c>
      <c r="ES164">
        <v>0</v>
      </c>
      <c r="ET164">
        <v>10.82</v>
      </c>
      <c r="EU164">
        <v>2.97</v>
      </c>
      <c r="EV164">
        <v>0</v>
      </c>
      <c r="EW164">
        <v>0</v>
      </c>
      <c r="EX164">
        <v>0</v>
      </c>
      <c r="FQ164">
        <v>0</v>
      </c>
      <c r="FR164">
        <f t="shared" si="157"/>
        <v>0</v>
      </c>
      <c r="FS164">
        <v>0</v>
      </c>
      <c r="FX164">
        <v>70</v>
      </c>
      <c r="FY164">
        <v>10</v>
      </c>
      <c r="GA164" t="s">
        <v>3</v>
      </c>
      <c r="GD164">
        <v>0</v>
      </c>
      <c r="GF164">
        <v>1349119844</v>
      </c>
      <c r="GG164">
        <v>2</v>
      </c>
      <c r="GH164">
        <v>1</v>
      </c>
      <c r="GI164">
        <v>-2</v>
      </c>
      <c r="GJ164">
        <v>0</v>
      </c>
      <c r="GK164">
        <f>ROUND(R164*(R12)/100,2)</f>
        <v>-0.52</v>
      </c>
      <c r="GL164">
        <f t="shared" si="158"/>
        <v>0</v>
      </c>
      <c r="GM164">
        <f t="shared" si="159"/>
        <v>-2.29</v>
      </c>
      <c r="GN164">
        <f t="shared" si="160"/>
        <v>0</v>
      </c>
      <c r="GO164">
        <f t="shared" si="161"/>
        <v>0</v>
      </c>
      <c r="GP164">
        <f t="shared" si="162"/>
        <v>-2.29</v>
      </c>
      <c r="GR164">
        <v>0</v>
      </c>
      <c r="GS164">
        <v>7</v>
      </c>
      <c r="GT164">
        <v>0</v>
      </c>
      <c r="GU164" t="s">
        <v>3</v>
      </c>
      <c r="GV164">
        <f t="shared" si="163"/>
        <v>0</v>
      </c>
      <c r="GW164">
        <v>1</v>
      </c>
      <c r="GX164">
        <f t="shared" si="164"/>
        <v>0</v>
      </c>
      <c r="HA164">
        <v>0</v>
      </c>
      <c r="HB164">
        <v>0</v>
      </c>
      <c r="HC164">
        <f t="shared" si="165"/>
        <v>0</v>
      </c>
      <c r="HE164" t="s">
        <v>3</v>
      </c>
      <c r="HF164" t="s">
        <v>3</v>
      </c>
      <c r="IK164">
        <v>0</v>
      </c>
    </row>
    <row r="165" spans="1:245" x14ac:dyDescent="0.2">
      <c r="A165">
        <v>18</v>
      </c>
      <c r="B165">
        <v>1</v>
      </c>
      <c r="C165">
        <v>178</v>
      </c>
      <c r="E165" t="s">
        <v>226</v>
      </c>
      <c r="F165" t="s">
        <v>87</v>
      </c>
      <c r="G165" t="s">
        <v>88</v>
      </c>
      <c r="H165" t="s">
        <v>84</v>
      </c>
      <c r="I165">
        <f>I162*J165</f>
        <v>-0.435</v>
      </c>
      <c r="J165">
        <v>-14.5</v>
      </c>
      <c r="O165">
        <f t="shared" si="126"/>
        <v>-11.84</v>
      </c>
      <c r="P165">
        <f t="shared" si="127"/>
        <v>0</v>
      </c>
      <c r="Q165">
        <f t="shared" si="128"/>
        <v>-11.84</v>
      </c>
      <c r="R165">
        <f t="shared" si="129"/>
        <v>-0.06</v>
      </c>
      <c r="S165">
        <f t="shared" si="130"/>
        <v>0</v>
      </c>
      <c r="T165">
        <f t="shared" si="131"/>
        <v>0</v>
      </c>
      <c r="U165">
        <f t="shared" si="132"/>
        <v>0</v>
      </c>
      <c r="V165">
        <f t="shared" si="133"/>
        <v>0</v>
      </c>
      <c r="W165">
        <f t="shared" si="134"/>
        <v>0</v>
      </c>
      <c r="X165">
        <f t="shared" si="135"/>
        <v>0</v>
      </c>
      <c r="Y165">
        <f t="shared" si="136"/>
        <v>0</v>
      </c>
      <c r="AA165">
        <v>52430918</v>
      </c>
      <c r="AB165">
        <f t="shared" si="137"/>
        <v>27.21</v>
      </c>
      <c r="AC165">
        <f t="shared" si="138"/>
        <v>0</v>
      </c>
      <c r="AD165">
        <f t="shared" si="139"/>
        <v>27.21</v>
      </c>
      <c r="AE165">
        <f t="shared" si="140"/>
        <v>0.13</v>
      </c>
      <c r="AF165">
        <f t="shared" si="141"/>
        <v>0</v>
      </c>
      <c r="AG165">
        <f t="shared" si="142"/>
        <v>0</v>
      </c>
      <c r="AH165">
        <f t="shared" si="143"/>
        <v>0</v>
      </c>
      <c r="AI165">
        <f t="shared" si="144"/>
        <v>0</v>
      </c>
      <c r="AJ165">
        <f t="shared" si="145"/>
        <v>0</v>
      </c>
      <c r="AK165">
        <v>27.21</v>
      </c>
      <c r="AL165">
        <v>0</v>
      </c>
      <c r="AM165">
        <v>27.21</v>
      </c>
      <c r="AN165">
        <v>0.13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70</v>
      </c>
      <c r="AU165">
        <v>10</v>
      </c>
      <c r="AV165">
        <v>1</v>
      </c>
      <c r="AW165">
        <v>1</v>
      </c>
      <c r="AZ165">
        <v>1</v>
      </c>
      <c r="BA165">
        <v>1</v>
      </c>
      <c r="BB165">
        <v>1</v>
      </c>
      <c r="BC165">
        <v>1</v>
      </c>
      <c r="BD165" t="s">
        <v>3</v>
      </c>
      <c r="BE165" t="s">
        <v>3</v>
      </c>
      <c r="BF165" t="s">
        <v>3</v>
      </c>
      <c r="BG165" t="s">
        <v>3</v>
      </c>
      <c r="BH165">
        <v>2</v>
      </c>
      <c r="BI165">
        <v>4</v>
      </c>
      <c r="BJ165" t="s">
        <v>89</v>
      </c>
      <c r="BM165">
        <v>0</v>
      </c>
      <c r="BN165">
        <v>0</v>
      </c>
      <c r="BO165" t="s">
        <v>3</v>
      </c>
      <c r="BP165">
        <v>0</v>
      </c>
      <c r="BQ165">
        <v>1</v>
      </c>
      <c r="BR165">
        <v>1</v>
      </c>
      <c r="BS165">
        <v>1</v>
      </c>
      <c r="BT165">
        <v>1</v>
      </c>
      <c r="BU165">
        <v>1</v>
      </c>
      <c r="BV165">
        <v>1</v>
      </c>
      <c r="BW165">
        <v>1</v>
      </c>
      <c r="BX165">
        <v>1</v>
      </c>
      <c r="BY165" t="s">
        <v>3</v>
      </c>
      <c r="BZ165">
        <v>70</v>
      </c>
      <c r="CA165">
        <v>10</v>
      </c>
      <c r="CE165">
        <v>0</v>
      </c>
      <c r="CF165">
        <v>0</v>
      </c>
      <c r="CG165">
        <v>0</v>
      </c>
      <c r="CM165">
        <v>0</v>
      </c>
      <c r="CN165" t="s">
        <v>3</v>
      </c>
      <c r="CO165">
        <v>0</v>
      </c>
      <c r="CP165">
        <f t="shared" si="146"/>
        <v>-11.84</v>
      </c>
      <c r="CQ165">
        <f t="shared" si="147"/>
        <v>0</v>
      </c>
      <c r="CR165">
        <f t="shared" si="148"/>
        <v>27.21</v>
      </c>
      <c r="CS165">
        <f t="shared" si="149"/>
        <v>0.13</v>
      </c>
      <c r="CT165">
        <f t="shared" si="150"/>
        <v>0</v>
      </c>
      <c r="CU165">
        <f t="shared" si="151"/>
        <v>0</v>
      </c>
      <c r="CV165">
        <f t="shared" si="152"/>
        <v>0</v>
      </c>
      <c r="CW165">
        <f t="shared" si="153"/>
        <v>0</v>
      </c>
      <c r="CX165">
        <f t="shared" si="154"/>
        <v>0</v>
      </c>
      <c r="CY165">
        <f t="shared" si="155"/>
        <v>0</v>
      </c>
      <c r="CZ165">
        <f t="shared" si="156"/>
        <v>0</v>
      </c>
      <c r="DC165" t="s">
        <v>3</v>
      </c>
      <c r="DD165" t="s">
        <v>3</v>
      </c>
      <c r="DE165" t="s">
        <v>3</v>
      </c>
      <c r="DF165" t="s">
        <v>3</v>
      </c>
      <c r="DG165" t="s">
        <v>3</v>
      </c>
      <c r="DH165" t="s">
        <v>3</v>
      </c>
      <c r="DI165" t="s">
        <v>3</v>
      </c>
      <c r="DJ165" t="s">
        <v>3</v>
      </c>
      <c r="DK165" t="s">
        <v>3</v>
      </c>
      <c r="DL165" t="s">
        <v>3</v>
      </c>
      <c r="DM165" t="s">
        <v>3</v>
      </c>
      <c r="DN165">
        <v>0</v>
      </c>
      <c r="DO165">
        <v>0</v>
      </c>
      <c r="DP165">
        <v>1</v>
      </c>
      <c r="DQ165">
        <v>1</v>
      </c>
      <c r="DU165">
        <v>1011</v>
      </c>
      <c r="DV165" t="s">
        <v>84</v>
      </c>
      <c r="DW165" t="s">
        <v>84</v>
      </c>
      <c r="DX165">
        <v>1</v>
      </c>
      <c r="EE165">
        <v>52362078</v>
      </c>
      <c r="EF165">
        <v>1</v>
      </c>
      <c r="EG165" t="s">
        <v>22</v>
      </c>
      <c r="EH165">
        <v>0</v>
      </c>
      <c r="EI165" t="s">
        <v>3</v>
      </c>
      <c r="EJ165">
        <v>4</v>
      </c>
      <c r="EK165">
        <v>0</v>
      </c>
      <c r="EL165" t="s">
        <v>23</v>
      </c>
      <c r="EM165" t="s">
        <v>24</v>
      </c>
      <c r="EO165" t="s">
        <v>3</v>
      </c>
      <c r="EQ165">
        <v>32768</v>
      </c>
      <c r="ER165">
        <v>27.21</v>
      </c>
      <c r="ES165">
        <v>0</v>
      </c>
      <c r="ET165">
        <v>27.21</v>
      </c>
      <c r="EU165">
        <v>0.13</v>
      </c>
      <c r="EV165">
        <v>0</v>
      </c>
      <c r="EW165">
        <v>0</v>
      </c>
      <c r="EX165">
        <v>0</v>
      </c>
      <c r="FQ165">
        <v>0</v>
      </c>
      <c r="FR165">
        <f t="shared" si="157"/>
        <v>0</v>
      </c>
      <c r="FS165">
        <v>0</v>
      </c>
      <c r="FX165">
        <v>70</v>
      </c>
      <c r="FY165">
        <v>10</v>
      </c>
      <c r="GA165" t="s">
        <v>3</v>
      </c>
      <c r="GD165">
        <v>0</v>
      </c>
      <c r="GF165">
        <v>-1757825014</v>
      </c>
      <c r="GG165">
        <v>2</v>
      </c>
      <c r="GH165">
        <v>1</v>
      </c>
      <c r="GI165">
        <v>-2</v>
      </c>
      <c r="GJ165">
        <v>0</v>
      </c>
      <c r="GK165">
        <f>ROUND(R165*(R12)/100,2)</f>
        <v>-0.06</v>
      </c>
      <c r="GL165">
        <f t="shared" si="158"/>
        <v>0</v>
      </c>
      <c r="GM165">
        <f t="shared" si="159"/>
        <v>-11.9</v>
      </c>
      <c r="GN165">
        <f t="shared" si="160"/>
        <v>0</v>
      </c>
      <c r="GO165">
        <f t="shared" si="161"/>
        <v>0</v>
      </c>
      <c r="GP165">
        <f t="shared" si="162"/>
        <v>-11.9</v>
      </c>
      <c r="GR165">
        <v>0</v>
      </c>
      <c r="GS165">
        <v>7</v>
      </c>
      <c r="GT165">
        <v>0</v>
      </c>
      <c r="GU165" t="s">
        <v>3</v>
      </c>
      <c r="GV165">
        <f t="shared" si="163"/>
        <v>0</v>
      </c>
      <c r="GW165">
        <v>1</v>
      </c>
      <c r="GX165">
        <f t="shared" si="164"/>
        <v>0</v>
      </c>
      <c r="HA165">
        <v>0</v>
      </c>
      <c r="HB165">
        <v>0</v>
      </c>
      <c r="HC165">
        <f t="shared" si="165"/>
        <v>0</v>
      </c>
      <c r="HE165" t="s">
        <v>3</v>
      </c>
      <c r="HF165" t="s">
        <v>3</v>
      </c>
      <c r="IK165">
        <v>0</v>
      </c>
    </row>
    <row r="166" spans="1:245" x14ac:dyDescent="0.2">
      <c r="A166">
        <v>18</v>
      </c>
      <c r="B166">
        <v>1</v>
      </c>
      <c r="C166">
        <v>177</v>
      </c>
      <c r="E166" t="s">
        <v>227</v>
      </c>
      <c r="F166" t="s">
        <v>91</v>
      </c>
      <c r="G166" t="s">
        <v>92</v>
      </c>
      <c r="H166" t="s">
        <v>84</v>
      </c>
      <c r="I166">
        <f>I162*J166</f>
        <v>-2.7000000000000001E-3</v>
      </c>
      <c r="J166">
        <v>-9.0000000000000011E-2</v>
      </c>
      <c r="O166">
        <f t="shared" si="126"/>
        <v>-2.73</v>
      </c>
      <c r="P166">
        <f t="shared" si="127"/>
        <v>0</v>
      </c>
      <c r="Q166">
        <f t="shared" si="128"/>
        <v>-2.73</v>
      </c>
      <c r="R166">
        <f t="shared" si="129"/>
        <v>-1.5</v>
      </c>
      <c r="S166">
        <f t="shared" si="130"/>
        <v>0</v>
      </c>
      <c r="T166">
        <f t="shared" si="131"/>
        <v>0</v>
      </c>
      <c r="U166">
        <f t="shared" si="132"/>
        <v>0</v>
      </c>
      <c r="V166">
        <f t="shared" si="133"/>
        <v>0</v>
      </c>
      <c r="W166">
        <f t="shared" si="134"/>
        <v>0</v>
      </c>
      <c r="X166">
        <f t="shared" si="135"/>
        <v>0</v>
      </c>
      <c r="Y166">
        <f t="shared" si="136"/>
        <v>0</v>
      </c>
      <c r="AA166">
        <v>52430918</v>
      </c>
      <c r="AB166">
        <f t="shared" si="137"/>
        <v>1009.65</v>
      </c>
      <c r="AC166">
        <f t="shared" si="138"/>
        <v>0</v>
      </c>
      <c r="AD166">
        <f t="shared" si="139"/>
        <v>1009.65</v>
      </c>
      <c r="AE166">
        <f t="shared" si="140"/>
        <v>554.42999999999995</v>
      </c>
      <c r="AF166">
        <f t="shared" si="141"/>
        <v>0</v>
      </c>
      <c r="AG166">
        <f t="shared" si="142"/>
        <v>0</v>
      </c>
      <c r="AH166">
        <f t="shared" si="143"/>
        <v>0</v>
      </c>
      <c r="AI166">
        <f t="shared" si="144"/>
        <v>0</v>
      </c>
      <c r="AJ166">
        <f t="shared" si="145"/>
        <v>0</v>
      </c>
      <c r="AK166">
        <v>1009.65</v>
      </c>
      <c r="AL166">
        <v>0</v>
      </c>
      <c r="AM166">
        <v>1009.65</v>
      </c>
      <c r="AN166">
        <v>554.42999999999995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70</v>
      </c>
      <c r="AU166">
        <v>10</v>
      </c>
      <c r="AV166">
        <v>1</v>
      </c>
      <c r="AW166">
        <v>1</v>
      </c>
      <c r="AZ166">
        <v>1</v>
      </c>
      <c r="BA166">
        <v>1</v>
      </c>
      <c r="BB166">
        <v>1</v>
      </c>
      <c r="BC166">
        <v>1</v>
      </c>
      <c r="BD166" t="s">
        <v>3</v>
      </c>
      <c r="BE166" t="s">
        <v>3</v>
      </c>
      <c r="BF166" t="s">
        <v>3</v>
      </c>
      <c r="BG166" t="s">
        <v>3</v>
      </c>
      <c r="BH166">
        <v>2</v>
      </c>
      <c r="BI166">
        <v>4</v>
      </c>
      <c r="BJ166" t="s">
        <v>93</v>
      </c>
      <c r="BM166">
        <v>0</v>
      </c>
      <c r="BN166">
        <v>0</v>
      </c>
      <c r="BO166" t="s">
        <v>3</v>
      </c>
      <c r="BP166">
        <v>0</v>
      </c>
      <c r="BQ166">
        <v>1</v>
      </c>
      <c r="BR166">
        <v>1</v>
      </c>
      <c r="BS166">
        <v>1</v>
      </c>
      <c r="BT166">
        <v>1</v>
      </c>
      <c r="BU166">
        <v>1</v>
      </c>
      <c r="BV166">
        <v>1</v>
      </c>
      <c r="BW166">
        <v>1</v>
      </c>
      <c r="BX166">
        <v>1</v>
      </c>
      <c r="BY166" t="s">
        <v>3</v>
      </c>
      <c r="BZ166">
        <v>70</v>
      </c>
      <c r="CA166">
        <v>10</v>
      </c>
      <c r="CE166">
        <v>0</v>
      </c>
      <c r="CF166">
        <v>0</v>
      </c>
      <c r="CG166">
        <v>0</v>
      </c>
      <c r="CM166">
        <v>0</v>
      </c>
      <c r="CN166" t="s">
        <v>3</v>
      </c>
      <c r="CO166">
        <v>0</v>
      </c>
      <c r="CP166">
        <f t="shared" si="146"/>
        <v>-2.73</v>
      </c>
      <c r="CQ166">
        <f t="shared" si="147"/>
        <v>0</v>
      </c>
      <c r="CR166">
        <f t="shared" si="148"/>
        <v>1009.65</v>
      </c>
      <c r="CS166">
        <f t="shared" si="149"/>
        <v>554.42999999999995</v>
      </c>
      <c r="CT166">
        <f t="shared" si="150"/>
        <v>0</v>
      </c>
      <c r="CU166">
        <f t="shared" si="151"/>
        <v>0</v>
      </c>
      <c r="CV166">
        <f t="shared" si="152"/>
        <v>0</v>
      </c>
      <c r="CW166">
        <f t="shared" si="153"/>
        <v>0</v>
      </c>
      <c r="CX166">
        <f t="shared" si="154"/>
        <v>0</v>
      </c>
      <c r="CY166">
        <f t="shared" si="155"/>
        <v>0</v>
      </c>
      <c r="CZ166">
        <f t="shared" si="156"/>
        <v>0</v>
      </c>
      <c r="DC166" t="s">
        <v>3</v>
      </c>
      <c r="DD166" t="s">
        <v>3</v>
      </c>
      <c r="DE166" t="s">
        <v>3</v>
      </c>
      <c r="DF166" t="s">
        <v>3</v>
      </c>
      <c r="DG166" t="s">
        <v>3</v>
      </c>
      <c r="DH166" t="s">
        <v>3</v>
      </c>
      <c r="DI166" t="s">
        <v>3</v>
      </c>
      <c r="DJ166" t="s">
        <v>3</v>
      </c>
      <c r="DK166" t="s">
        <v>3</v>
      </c>
      <c r="DL166" t="s">
        <v>3</v>
      </c>
      <c r="DM166" t="s">
        <v>3</v>
      </c>
      <c r="DN166">
        <v>0</v>
      </c>
      <c r="DO166">
        <v>0</v>
      </c>
      <c r="DP166">
        <v>1</v>
      </c>
      <c r="DQ166">
        <v>1</v>
      </c>
      <c r="DU166">
        <v>1011</v>
      </c>
      <c r="DV166" t="s">
        <v>84</v>
      </c>
      <c r="DW166" t="s">
        <v>84</v>
      </c>
      <c r="DX166">
        <v>1</v>
      </c>
      <c r="EE166">
        <v>52362078</v>
      </c>
      <c r="EF166">
        <v>1</v>
      </c>
      <c r="EG166" t="s">
        <v>22</v>
      </c>
      <c r="EH166">
        <v>0</v>
      </c>
      <c r="EI166" t="s">
        <v>3</v>
      </c>
      <c r="EJ166">
        <v>4</v>
      </c>
      <c r="EK166">
        <v>0</v>
      </c>
      <c r="EL166" t="s">
        <v>23</v>
      </c>
      <c r="EM166" t="s">
        <v>24</v>
      </c>
      <c r="EO166" t="s">
        <v>3</v>
      </c>
      <c r="EQ166">
        <v>32768</v>
      </c>
      <c r="ER166">
        <v>1009.65</v>
      </c>
      <c r="ES166">
        <v>0</v>
      </c>
      <c r="ET166">
        <v>1009.65</v>
      </c>
      <c r="EU166">
        <v>554.42999999999995</v>
      </c>
      <c r="EV166">
        <v>0</v>
      </c>
      <c r="EW166">
        <v>0</v>
      </c>
      <c r="EX166">
        <v>0</v>
      </c>
      <c r="FQ166">
        <v>0</v>
      </c>
      <c r="FR166">
        <f t="shared" si="157"/>
        <v>0</v>
      </c>
      <c r="FS166">
        <v>0</v>
      </c>
      <c r="FX166">
        <v>70</v>
      </c>
      <c r="FY166">
        <v>10</v>
      </c>
      <c r="GA166" t="s">
        <v>3</v>
      </c>
      <c r="GD166">
        <v>0</v>
      </c>
      <c r="GF166">
        <v>-1957514721</v>
      </c>
      <c r="GG166">
        <v>2</v>
      </c>
      <c r="GH166">
        <v>1</v>
      </c>
      <c r="GI166">
        <v>-2</v>
      </c>
      <c r="GJ166">
        <v>0</v>
      </c>
      <c r="GK166">
        <f>ROUND(R166*(R12)/100,2)</f>
        <v>-1.62</v>
      </c>
      <c r="GL166">
        <f t="shared" si="158"/>
        <v>0</v>
      </c>
      <c r="GM166">
        <f t="shared" si="159"/>
        <v>-4.3499999999999996</v>
      </c>
      <c r="GN166">
        <f t="shared" si="160"/>
        <v>0</v>
      </c>
      <c r="GO166">
        <f t="shared" si="161"/>
        <v>0</v>
      </c>
      <c r="GP166">
        <f t="shared" si="162"/>
        <v>-4.3499999999999996</v>
      </c>
      <c r="GR166">
        <v>0</v>
      </c>
      <c r="GS166">
        <v>7</v>
      </c>
      <c r="GT166">
        <v>0</v>
      </c>
      <c r="GU166" t="s">
        <v>3</v>
      </c>
      <c r="GV166">
        <f t="shared" si="163"/>
        <v>0</v>
      </c>
      <c r="GW166">
        <v>1</v>
      </c>
      <c r="GX166">
        <f t="shared" si="164"/>
        <v>0</v>
      </c>
      <c r="HA166">
        <v>0</v>
      </c>
      <c r="HB166">
        <v>0</v>
      </c>
      <c r="HC166">
        <f t="shared" si="165"/>
        <v>0</v>
      </c>
      <c r="HE166" t="s">
        <v>3</v>
      </c>
      <c r="HF166" t="s">
        <v>3</v>
      </c>
      <c r="IK166">
        <v>0</v>
      </c>
    </row>
    <row r="167" spans="1:245" x14ac:dyDescent="0.2">
      <c r="A167">
        <v>18</v>
      </c>
      <c r="B167">
        <v>1</v>
      </c>
      <c r="C167">
        <v>182</v>
      </c>
      <c r="E167" t="s">
        <v>228</v>
      </c>
      <c r="F167" t="s">
        <v>95</v>
      </c>
      <c r="G167" t="s">
        <v>96</v>
      </c>
      <c r="H167" t="s">
        <v>28</v>
      </c>
      <c r="I167">
        <f>I162*J167</f>
        <v>-0.15</v>
      </c>
      <c r="J167">
        <v>-5</v>
      </c>
      <c r="O167">
        <f t="shared" si="126"/>
        <v>-456.06</v>
      </c>
      <c r="P167">
        <f t="shared" si="127"/>
        <v>-456.06</v>
      </c>
      <c r="Q167">
        <f t="shared" si="128"/>
        <v>0</v>
      </c>
      <c r="R167">
        <f t="shared" si="129"/>
        <v>0</v>
      </c>
      <c r="S167">
        <f t="shared" si="130"/>
        <v>0</v>
      </c>
      <c r="T167">
        <f t="shared" si="131"/>
        <v>0</v>
      </c>
      <c r="U167">
        <f t="shared" si="132"/>
        <v>0</v>
      </c>
      <c r="V167">
        <f t="shared" si="133"/>
        <v>0</v>
      </c>
      <c r="W167">
        <f t="shared" si="134"/>
        <v>0</v>
      </c>
      <c r="X167">
        <f t="shared" si="135"/>
        <v>0</v>
      </c>
      <c r="Y167">
        <f t="shared" si="136"/>
        <v>0</v>
      </c>
      <c r="AA167">
        <v>52430918</v>
      </c>
      <c r="AB167">
        <f t="shared" si="137"/>
        <v>3040.38</v>
      </c>
      <c r="AC167">
        <f t="shared" si="138"/>
        <v>3040.38</v>
      </c>
      <c r="AD167">
        <f t="shared" si="139"/>
        <v>0</v>
      </c>
      <c r="AE167">
        <f t="shared" si="140"/>
        <v>0</v>
      </c>
      <c r="AF167">
        <f t="shared" si="141"/>
        <v>0</v>
      </c>
      <c r="AG167">
        <f t="shared" si="142"/>
        <v>0</v>
      </c>
      <c r="AH167">
        <f t="shared" si="143"/>
        <v>0</v>
      </c>
      <c r="AI167">
        <f t="shared" si="144"/>
        <v>0</v>
      </c>
      <c r="AJ167">
        <f t="shared" si="145"/>
        <v>0</v>
      </c>
      <c r="AK167">
        <v>3040.38</v>
      </c>
      <c r="AL167">
        <v>3040.38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70</v>
      </c>
      <c r="AU167">
        <v>10</v>
      </c>
      <c r="AV167">
        <v>1</v>
      </c>
      <c r="AW167">
        <v>1</v>
      </c>
      <c r="AZ167">
        <v>1</v>
      </c>
      <c r="BA167">
        <v>1</v>
      </c>
      <c r="BB167">
        <v>1</v>
      </c>
      <c r="BC167">
        <v>1</v>
      </c>
      <c r="BD167" t="s">
        <v>3</v>
      </c>
      <c r="BE167" t="s">
        <v>3</v>
      </c>
      <c r="BF167" t="s">
        <v>3</v>
      </c>
      <c r="BG167" t="s">
        <v>3</v>
      </c>
      <c r="BH167">
        <v>3</v>
      </c>
      <c r="BI167">
        <v>4</v>
      </c>
      <c r="BJ167" t="s">
        <v>97</v>
      </c>
      <c r="BM167">
        <v>0</v>
      </c>
      <c r="BN167">
        <v>0</v>
      </c>
      <c r="BO167" t="s">
        <v>3</v>
      </c>
      <c r="BP167">
        <v>0</v>
      </c>
      <c r="BQ167">
        <v>1</v>
      </c>
      <c r="BR167">
        <v>1</v>
      </c>
      <c r="BS167">
        <v>1</v>
      </c>
      <c r="BT167">
        <v>1</v>
      </c>
      <c r="BU167">
        <v>1</v>
      </c>
      <c r="BV167">
        <v>1</v>
      </c>
      <c r="BW167">
        <v>1</v>
      </c>
      <c r="BX167">
        <v>1</v>
      </c>
      <c r="BY167" t="s">
        <v>3</v>
      </c>
      <c r="BZ167">
        <v>70</v>
      </c>
      <c r="CA167">
        <v>10</v>
      </c>
      <c r="CE167">
        <v>0</v>
      </c>
      <c r="CF167">
        <v>0</v>
      </c>
      <c r="CG167">
        <v>0</v>
      </c>
      <c r="CM167">
        <v>0</v>
      </c>
      <c r="CN167" t="s">
        <v>3</v>
      </c>
      <c r="CO167">
        <v>0</v>
      </c>
      <c r="CP167">
        <f t="shared" si="146"/>
        <v>-456.06</v>
      </c>
      <c r="CQ167">
        <f t="shared" si="147"/>
        <v>3040.38</v>
      </c>
      <c r="CR167">
        <f t="shared" si="148"/>
        <v>0</v>
      </c>
      <c r="CS167">
        <f t="shared" si="149"/>
        <v>0</v>
      </c>
      <c r="CT167">
        <f t="shared" si="150"/>
        <v>0</v>
      </c>
      <c r="CU167">
        <f t="shared" si="151"/>
        <v>0</v>
      </c>
      <c r="CV167">
        <f t="shared" si="152"/>
        <v>0</v>
      </c>
      <c r="CW167">
        <f t="shared" si="153"/>
        <v>0</v>
      </c>
      <c r="CX167">
        <f t="shared" si="154"/>
        <v>0</v>
      </c>
      <c r="CY167">
        <f t="shared" si="155"/>
        <v>0</v>
      </c>
      <c r="CZ167">
        <f t="shared" si="156"/>
        <v>0</v>
      </c>
      <c r="DC167" t="s">
        <v>3</v>
      </c>
      <c r="DD167" t="s">
        <v>3</v>
      </c>
      <c r="DE167" t="s">
        <v>3</v>
      </c>
      <c r="DF167" t="s">
        <v>3</v>
      </c>
      <c r="DG167" t="s">
        <v>3</v>
      </c>
      <c r="DH167" t="s">
        <v>3</v>
      </c>
      <c r="DI167" t="s">
        <v>3</v>
      </c>
      <c r="DJ167" t="s">
        <v>3</v>
      </c>
      <c r="DK167" t="s">
        <v>3</v>
      </c>
      <c r="DL167" t="s">
        <v>3</v>
      </c>
      <c r="DM167" t="s">
        <v>3</v>
      </c>
      <c r="DN167">
        <v>0</v>
      </c>
      <c r="DO167">
        <v>0</v>
      </c>
      <c r="DP167">
        <v>1</v>
      </c>
      <c r="DQ167">
        <v>1</v>
      </c>
      <c r="DU167">
        <v>1007</v>
      </c>
      <c r="DV167" t="s">
        <v>28</v>
      </c>
      <c r="DW167" t="s">
        <v>28</v>
      </c>
      <c r="DX167">
        <v>1</v>
      </c>
      <c r="EE167">
        <v>52362078</v>
      </c>
      <c r="EF167">
        <v>1</v>
      </c>
      <c r="EG167" t="s">
        <v>22</v>
      </c>
      <c r="EH167">
        <v>0</v>
      </c>
      <c r="EI167" t="s">
        <v>3</v>
      </c>
      <c r="EJ167">
        <v>4</v>
      </c>
      <c r="EK167">
        <v>0</v>
      </c>
      <c r="EL167" t="s">
        <v>23</v>
      </c>
      <c r="EM167" t="s">
        <v>24</v>
      </c>
      <c r="EO167" t="s">
        <v>3</v>
      </c>
      <c r="EQ167">
        <v>32768</v>
      </c>
      <c r="ER167">
        <v>3040.38</v>
      </c>
      <c r="ES167">
        <v>3040.38</v>
      </c>
      <c r="ET167">
        <v>0</v>
      </c>
      <c r="EU167">
        <v>0</v>
      </c>
      <c r="EV167">
        <v>0</v>
      </c>
      <c r="EW167">
        <v>0</v>
      </c>
      <c r="EX167">
        <v>0</v>
      </c>
      <c r="FQ167">
        <v>0</v>
      </c>
      <c r="FR167">
        <f t="shared" si="157"/>
        <v>0</v>
      </c>
      <c r="FS167">
        <v>0</v>
      </c>
      <c r="FX167">
        <v>70</v>
      </c>
      <c r="FY167">
        <v>10</v>
      </c>
      <c r="GA167" t="s">
        <v>3</v>
      </c>
      <c r="GD167">
        <v>0</v>
      </c>
      <c r="GF167">
        <v>395141172</v>
      </c>
      <c r="GG167">
        <v>2</v>
      </c>
      <c r="GH167">
        <v>1</v>
      </c>
      <c r="GI167">
        <v>-2</v>
      </c>
      <c r="GJ167">
        <v>0</v>
      </c>
      <c r="GK167">
        <f>ROUND(R167*(R12)/100,2)</f>
        <v>0</v>
      </c>
      <c r="GL167">
        <f t="shared" si="158"/>
        <v>0</v>
      </c>
      <c r="GM167">
        <f t="shared" si="159"/>
        <v>-456.06</v>
      </c>
      <c r="GN167">
        <f t="shared" si="160"/>
        <v>0</v>
      </c>
      <c r="GO167">
        <f t="shared" si="161"/>
        <v>0</v>
      </c>
      <c r="GP167">
        <f t="shared" si="162"/>
        <v>-456.06</v>
      </c>
      <c r="GR167">
        <v>0</v>
      </c>
      <c r="GS167">
        <v>3</v>
      </c>
      <c r="GT167">
        <v>0</v>
      </c>
      <c r="GU167" t="s">
        <v>3</v>
      </c>
      <c r="GV167">
        <f t="shared" si="163"/>
        <v>0</v>
      </c>
      <c r="GW167">
        <v>1</v>
      </c>
      <c r="GX167">
        <f t="shared" si="164"/>
        <v>0</v>
      </c>
      <c r="HA167">
        <v>0</v>
      </c>
      <c r="HB167">
        <v>0</v>
      </c>
      <c r="HC167">
        <f t="shared" si="165"/>
        <v>0</v>
      </c>
      <c r="HE167" t="s">
        <v>3</v>
      </c>
      <c r="HF167" t="s">
        <v>3</v>
      </c>
      <c r="IK167">
        <v>0</v>
      </c>
    </row>
    <row r="168" spans="1:245" x14ac:dyDescent="0.2">
      <c r="A168">
        <v>18</v>
      </c>
      <c r="B168">
        <v>1</v>
      </c>
      <c r="C168">
        <v>180</v>
      </c>
      <c r="E168" t="s">
        <v>229</v>
      </c>
      <c r="F168" t="s">
        <v>99</v>
      </c>
      <c r="G168" t="s">
        <v>100</v>
      </c>
      <c r="H168" t="s">
        <v>101</v>
      </c>
      <c r="I168">
        <f>I162*J168</f>
        <v>-5.9999999999999995E-4</v>
      </c>
      <c r="J168">
        <v>-0.02</v>
      </c>
      <c r="O168">
        <f t="shared" si="126"/>
        <v>-66.47</v>
      </c>
      <c r="P168">
        <f t="shared" si="127"/>
        <v>-66.47</v>
      </c>
      <c r="Q168">
        <f t="shared" si="128"/>
        <v>0</v>
      </c>
      <c r="R168">
        <f t="shared" si="129"/>
        <v>0</v>
      </c>
      <c r="S168">
        <f t="shared" si="130"/>
        <v>0</v>
      </c>
      <c r="T168">
        <f t="shared" si="131"/>
        <v>0</v>
      </c>
      <c r="U168">
        <f t="shared" si="132"/>
        <v>0</v>
      </c>
      <c r="V168">
        <f t="shared" si="133"/>
        <v>0</v>
      </c>
      <c r="W168">
        <f t="shared" si="134"/>
        <v>0</v>
      </c>
      <c r="X168">
        <f t="shared" si="135"/>
        <v>0</v>
      </c>
      <c r="Y168">
        <f t="shared" si="136"/>
        <v>0</v>
      </c>
      <c r="AA168">
        <v>52430918</v>
      </c>
      <c r="AB168">
        <f t="shared" si="137"/>
        <v>110781.14</v>
      </c>
      <c r="AC168">
        <f t="shared" si="138"/>
        <v>110781.14</v>
      </c>
      <c r="AD168">
        <f t="shared" si="139"/>
        <v>0</v>
      </c>
      <c r="AE168">
        <f t="shared" si="140"/>
        <v>0</v>
      </c>
      <c r="AF168">
        <f t="shared" si="141"/>
        <v>0</v>
      </c>
      <c r="AG168">
        <f t="shared" si="142"/>
        <v>0</v>
      </c>
      <c r="AH168">
        <f t="shared" si="143"/>
        <v>0</v>
      </c>
      <c r="AI168">
        <f t="shared" si="144"/>
        <v>0</v>
      </c>
      <c r="AJ168">
        <f t="shared" si="145"/>
        <v>0</v>
      </c>
      <c r="AK168">
        <v>110781.14</v>
      </c>
      <c r="AL168">
        <v>110781.14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70</v>
      </c>
      <c r="AU168">
        <v>10</v>
      </c>
      <c r="AV168">
        <v>1</v>
      </c>
      <c r="AW168">
        <v>1</v>
      </c>
      <c r="AZ168">
        <v>1</v>
      </c>
      <c r="BA168">
        <v>1</v>
      </c>
      <c r="BB168">
        <v>1</v>
      </c>
      <c r="BC168">
        <v>1</v>
      </c>
      <c r="BD168" t="s">
        <v>3</v>
      </c>
      <c r="BE168" t="s">
        <v>3</v>
      </c>
      <c r="BF168" t="s">
        <v>3</v>
      </c>
      <c r="BG168" t="s">
        <v>3</v>
      </c>
      <c r="BH168">
        <v>3</v>
      </c>
      <c r="BI168">
        <v>4</v>
      </c>
      <c r="BJ168" t="s">
        <v>102</v>
      </c>
      <c r="BM168">
        <v>0</v>
      </c>
      <c r="BN168">
        <v>0</v>
      </c>
      <c r="BO168" t="s">
        <v>3</v>
      </c>
      <c r="BP168">
        <v>0</v>
      </c>
      <c r="BQ168">
        <v>1</v>
      </c>
      <c r="BR168">
        <v>1</v>
      </c>
      <c r="BS168">
        <v>1</v>
      </c>
      <c r="BT168">
        <v>1</v>
      </c>
      <c r="BU168">
        <v>1</v>
      </c>
      <c r="BV168">
        <v>1</v>
      </c>
      <c r="BW168">
        <v>1</v>
      </c>
      <c r="BX168">
        <v>1</v>
      </c>
      <c r="BY168" t="s">
        <v>3</v>
      </c>
      <c r="BZ168">
        <v>70</v>
      </c>
      <c r="CA168">
        <v>10</v>
      </c>
      <c r="CE168">
        <v>0</v>
      </c>
      <c r="CF168">
        <v>0</v>
      </c>
      <c r="CG168">
        <v>0</v>
      </c>
      <c r="CM168">
        <v>0</v>
      </c>
      <c r="CN168" t="s">
        <v>3</v>
      </c>
      <c r="CO168">
        <v>0</v>
      </c>
      <c r="CP168">
        <f t="shared" si="146"/>
        <v>-66.47</v>
      </c>
      <c r="CQ168">
        <f t="shared" si="147"/>
        <v>110781.14</v>
      </c>
      <c r="CR168">
        <f t="shared" si="148"/>
        <v>0</v>
      </c>
      <c r="CS168">
        <f t="shared" si="149"/>
        <v>0</v>
      </c>
      <c r="CT168">
        <f t="shared" si="150"/>
        <v>0</v>
      </c>
      <c r="CU168">
        <f t="shared" si="151"/>
        <v>0</v>
      </c>
      <c r="CV168">
        <f t="shared" si="152"/>
        <v>0</v>
      </c>
      <c r="CW168">
        <f t="shared" si="153"/>
        <v>0</v>
      </c>
      <c r="CX168">
        <f t="shared" si="154"/>
        <v>0</v>
      </c>
      <c r="CY168">
        <f t="shared" si="155"/>
        <v>0</v>
      </c>
      <c r="CZ168">
        <f t="shared" si="156"/>
        <v>0</v>
      </c>
      <c r="DC168" t="s">
        <v>3</v>
      </c>
      <c r="DD168" t="s">
        <v>3</v>
      </c>
      <c r="DE168" t="s">
        <v>3</v>
      </c>
      <c r="DF168" t="s">
        <v>3</v>
      </c>
      <c r="DG168" t="s">
        <v>3</v>
      </c>
      <c r="DH168" t="s">
        <v>3</v>
      </c>
      <c r="DI168" t="s">
        <v>3</v>
      </c>
      <c r="DJ168" t="s">
        <v>3</v>
      </c>
      <c r="DK168" t="s">
        <v>3</v>
      </c>
      <c r="DL168" t="s">
        <v>3</v>
      </c>
      <c r="DM168" t="s">
        <v>3</v>
      </c>
      <c r="DN168">
        <v>0</v>
      </c>
      <c r="DO168">
        <v>0</v>
      </c>
      <c r="DP168">
        <v>1</v>
      </c>
      <c r="DQ168">
        <v>1</v>
      </c>
      <c r="DU168">
        <v>1009</v>
      </c>
      <c r="DV168" t="s">
        <v>101</v>
      </c>
      <c r="DW168" t="s">
        <v>101</v>
      </c>
      <c r="DX168">
        <v>1000</v>
      </c>
      <c r="EE168">
        <v>52362078</v>
      </c>
      <c r="EF168">
        <v>1</v>
      </c>
      <c r="EG168" t="s">
        <v>22</v>
      </c>
      <c r="EH168">
        <v>0</v>
      </c>
      <c r="EI168" t="s">
        <v>3</v>
      </c>
      <c r="EJ168">
        <v>4</v>
      </c>
      <c r="EK168">
        <v>0</v>
      </c>
      <c r="EL168" t="s">
        <v>23</v>
      </c>
      <c r="EM168" t="s">
        <v>24</v>
      </c>
      <c r="EO168" t="s">
        <v>3</v>
      </c>
      <c r="EQ168">
        <v>32768</v>
      </c>
      <c r="ER168">
        <v>110781.14</v>
      </c>
      <c r="ES168">
        <v>110781.14</v>
      </c>
      <c r="ET168">
        <v>0</v>
      </c>
      <c r="EU168">
        <v>0</v>
      </c>
      <c r="EV168">
        <v>0</v>
      </c>
      <c r="EW168">
        <v>0</v>
      </c>
      <c r="EX168">
        <v>0</v>
      </c>
      <c r="FQ168">
        <v>0</v>
      </c>
      <c r="FR168">
        <f t="shared" si="157"/>
        <v>0</v>
      </c>
      <c r="FS168">
        <v>0</v>
      </c>
      <c r="FX168">
        <v>70</v>
      </c>
      <c r="FY168">
        <v>10</v>
      </c>
      <c r="GA168" t="s">
        <v>3</v>
      </c>
      <c r="GD168">
        <v>0</v>
      </c>
      <c r="GF168">
        <v>-672771621</v>
      </c>
      <c r="GG168">
        <v>2</v>
      </c>
      <c r="GH168">
        <v>1</v>
      </c>
      <c r="GI168">
        <v>-2</v>
      </c>
      <c r="GJ168">
        <v>0</v>
      </c>
      <c r="GK168">
        <f>ROUND(R168*(R12)/100,2)</f>
        <v>0</v>
      </c>
      <c r="GL168">
        <f t="shared" si="158"/>
        <v>0</v>
      </c>
      <c r="GM168">
        <f t="shared" si="159"/>
        <v>-66.47</v>
      </c>
      <c r="GN168">
        <f t="shared" si="160"/>
        <v>0</v>
      </c>
      <c r="GO168">
        <f t="shared" si="161"/>
        <v>0</v>
      </c>
      <c r="GP168">
        <f t="shared" si="162"/>
        <v>-66.47</v>
      </c>
      <c r="GR168">
        <v>0</v>
      </c>
      <c r="GS168">
        <v>3</v>
      </c>
      <c r="GT168">
        <v>0</v>
      </c>
      <c r="GU168" t="s">
        <v>3</v>
      </c>
      <c r="GV168">
        <f t="shared" si="163"/>
        <v>0</v>
      </c>
      <c r="GW168">
        <v>1</v>
      </c>
      <c r="GX168">
        <f t="shared" si="164"/>
        <v>0</v>
      </c>
      <c r="HA168">
        <v>0</v>
      </c>
      <c r="HB168">
        <v>0</v>
      </c>
      <c r="HC168">
        <f t="shared" si="165"/>
        <v>0</v>
      </c>
      <c r="HE168" t="s">
        <v>3</v>
      </c>
      <c r="HF168" t="s">
        <v>3</v>
      </c>
      <c r="IK168">
        <v>0</v>
      </c>
    </row>
    <row r="169" spans="1:245" x14ac:dyDescent="0.2">
      <c r="A169">
        <v>18</v>
      </c>
      <c r="B169">
        <v>1</v>
      </c>
      <c r="C169">
        <v>184</v>
      </c>
      <c r="E169" t="s">
        <v>230</v>
      </c>
      <c r="F169" t="s">
        <v>104</v>
      </c>
      <c r="G169" t="s">
        <v>105</v>
      </c>
      <c r="H169" t="s">
        <v>106</v>
      </c>
      <c r="I169">
        <f>I162*J169</f>
        <v>1</v>
      </c>
      <c r="J169">
        <v>33.333333333333336</v>
      </c>
      <c r="O169">
        <f t="shared" si="126"/>
        <v>17250</v>
      </c>
      <c r="P169">
        <f t="shared" si="127"/>
        <v>17250</v>
      </c>
      <c r="Q169">
        <f t="shared" si="128"/>
        <v>0</v>
      </c>
      <c r="R169">
        <f t="shared" si="129"/>
        <v>0</v>
      </c>
      <c r="S169">
        <f t="shared" si="130"/>
        <v>0</v>
      </c>
      <c r="T169">
        <f t="shared" si="131"/>
        <v>0</v>
      </c>
      <c r="U169">
        <f t="shared" si="132"/>
        <v>0</v>
      </c>
      <c r="V169">
        <f t="shared" si="133"/>
        <v>0</v>
      </c>
      <c r="W169">
        <f t="shared" si="134"/>
        <v>0</v>
      </c>
      <c r="X169">
        <f t="shared" si="135"/>
        <v>0</v>
      </c>
      <c r="Y169">
        <f t="shared" si="136"/>
        <v>0</v>
      </c>
      <c r="AA169">
        <v>52430918</v>
      </c>
      <c r="AB169">
        <f t="shared" si="137"/>
        <v>17250</v>
      </c>
      <c r="AC169">
        <f t="shared" si="138"/>
        <v>17250</v>
      </c>
      <c r="AD169">
        <f t="shared" si="139"/>
        <v>0</v>
      </c>
      <c r="AE169">
        <f t="shared" si="140"/>
        <v>0</v>
      </c>
      <c r="AF169">
        <f t="shared" si="141"/>
        <v>0</v>
      </c>
      <c r="AG169">
        <f t="shared" si="142"/>
        <v>0</v>
      </c>
      <c r="AH169">
        <f t="shared" si="143"/>
        <v>0</v>
      </c>
      <c r="AI169">
        <f t="shared" si="144"/>
        <v>0</v>
      </c>
      <c r="AJ169">
        <f t="shared" si="145"/>
        <v>0</v>
      </c>
      <c r="AK169">
        <v>17250</v>
      </c>
      <c r="AL169">
        <v>17250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70</v>
      </c>
      <c r="AU169">
        <v>10</v>
      </c>
      <c r="AV169">
        <v>1</v>
      </c>
      <c r="AW169">
        <v>1</v>
      </c>
      <c r="AZ169">
        <v>1</v>
      </c>
      <c r="BA169">
        <v>1</v>
      </c>
      <c r="BB169">
        <v>1</v>
      </c>
      <c r="BC169">
        <v>1</v>
      </c>
      <c r="BD169" t="s">
        <v>3</v>
      </c>
      <c r="BE169" t="s">
        <v>3</v>
      </c>
      <c r="BF169" t="s">
        <v>3</v>
      </c>
      <c r="BG169" t="s">
        <v>3</v>
      </c>
      <c r="BH169">
        <v>3</v>
      </c>
      <c r="BI169">
        <v>4</v>
      </c>
      <c r="BJ169" t="s">
        <v>3</v>
      </c>
      <c r="BM169">
        <v>0</v>
      </c>
      <c r="BN169">
        <v>0</v>
      </c>
      <c r="BO169" t="s">
        <v>3</v>
      </c>
      <c r="BP169">
        <v>0</v>
      </c>
      <c r="BQ169">
        <v>1</v>
      </c>
      <c r="BR169">
        <v>0</v>
      </c>
      <c r="BS169">
        <v>1</v>
      </c>
      <c r="BT169">
        <v>1</v>
      </c>
      <c r="BU169">
        <v>1</v>
      </c>
      <c r="BV169">
        <v>1</v>
      </c>
      <c r="BW169">
        <v>1</v>
      </c>
      <c r="BX169">
        <v>1</v>
      </c>
      <c r="BY169" t="s">
        <v>3</v>
      </c>
      <c r="BZ169">
        <v>70</v>
      </c>
      <c r="CA169">
        <v>10</v>
      </c>
      <c r="CE169">
        <v>0</v>
      </c>
      <c r="CF169">
        <v>0</v>
      </c>
      <c r="CG169">
        <v>0</v>
      </c>
      <c r="CM169">
        <v>0</v>
      </c>
      <c r="CN169" t="s">
        <v>3</v>
      </c>
      <c r="CO169">
        <v>0</v>
      </c>
      <c r="CP169">
        <f t="shared" si="146"/>
        <v>17250</v>
      </c>
      <c r="CQ169">
        <f t="shared" si="147"/>
        <v>17250</v>
      </c>
      <c r="CR169">
        <f t="shared" si="148"/>
        <v>0</v>
      </c>
      <c r="CS169">
        <f t="shared" si="149"/>
        <v>0</v>
      </c>
      <c r="CT169">
        <f t="shared" si="150"/>
        <v>0</v>
      </c>
      <c r="CU169">
        <f t="shared" si="151"/>
        <v>0</v>
      </c>
      <c r="CV169">
        <f t="shared" si="152"/>
        <v>0</v>
      </c>
      <c r="CW169">
        <f t="shared" si="153"/>
        <v>0</v>
      </c>
      <c r="CX169">
        <f t="shared" si="154"/>
        <v>0</v>
      </c>
      <c r="CY169">
        <f t="shared" si="155"/>
        <v>0</v>
      </c>
      <c r="CZ169">
        <f t="shared" si="156"/>
        <v>0</v>
      </c>
      <c r="DC169" t="s">
        <v>3</v>
      </c>
      <c r="DD169" t="s">
        <v>3</v>
      </c>
      <c r="DE169" t="s">
        <v>3</v>
      </c>
      <c r="DF169" t="s">
        <v>3</v>
      </c>
      <c r="DG169" t="s">
        <v>3</v>
      </c>
      <c r="DH169" t="s">
        <v>3</v>
      </c>
      <c r="DI169" t="s">
        <v>3</v>
      </c>
      <c r="DJ169" t="s">
        <v>3</v>
      </c>
      <c r="DK169" t="s">
        <v>3</v>
      </c>
      <c r="DL169" t="s">
        <v>3</v>
      </c>
      <c r="DM169" t="s">
        <v>3</v>
      </c>
      <c r="DN169">
        <v>0</v>
      </c>
      <c r="DO169">
        <v>0</v>
      </c>
      <c r="DP169">
        <v>1</v>
      </c>
      <c r="DQ169">
        <v>1</v>
      </c>
      <c r="DU169">
        <v>1010</v>
      </c>
      <c r="DV169" t="s">
        <v>106</v>
      </c>
      <c r="DW169" t="s">
        <v>106</v>
      </c>
      <c r="DX169">
        <v>1</v>
      </c>
      <c r="EE169">
        <v>52362078</v>
      </c>
      <c r="EF169">
        <v>1</v>
      </c>
      <c r="EG169" t="s">
        <v>22</v>
      </c>
      <c r="EH169">
        <v>0</v>
      </c>
      <c r="EI169" t="s">
        <v>3</v>
      </c>
      <c r="EJ169">
        <v>4</v>
      </c>
      <c r="EK169">
        <v>0</v>
      </c>
      <c r="EL169" t="s">
        <v>23</v>
      </c>
      <c r="EM169" t="s">
        <v>24</v>
      </c>
      <c r="EO169" t="s">
        <v>3</v>
      </c>
      <c r="EQ169">
        <v>0</v>
      </c>
      <c r="ER169">
        <v>17250</v>
      </c>
      <c r="ES169">
        <v>17250</v>
      </c>
      <c r="ET169">
        <v>0</v>
      </c>
      <c r="EU169">
        <v>0</v>
      </c>
      <c r="EV169">
        <v>0</v>
      </c>
      <c r="EW169">
        <v>0</v>
      </c>
      <c r="EX169">
        <v>0</v>
      </c>
      <c r="EZ169">
        <v>5</v>
      </c>
      <c r="FC169">
        <v>1</v>
      </c>
      <c r="FD169">
        <v>18</v>
      </c>
      <c r="FF169">
        <v>20700</v>
      </c>
      <c r="FQ169">
        <v>0</v>
      </c>
      <c r="FR169">
        <f t="shared" si="157"/>
        <v>0</v>
      </c>
      <c r="FS169">
        <v>0</v>
      </c>
      <c r="FX169">
        <v>70</v>
      </c>
      <c r="FY169">
        <v>10</v>
      </c>
      <c r="GA169" t="s">
        <v>107</v>
      </c>
      <c r="GD169">
        <v>0</v>
      </c>
      <c r="GF169">
        <v>-292158938</v>
      </c>
      <c r="GG169">
        <v>2</v>
      </c>
      <c r="GH169">
        <v>3</v>
      </c>
      <c r="GI169">
        <v>-2</v>
      </c>
      <c r="GJ169">
        <v>0</v>
      </c>
      <c r="GK169">
        <f>ROUND(R169*(R12)/100,2)</f>
        <v>0</v>
      </c>
      <c r="GL169">
        <f t="shared" si="158"/>
        <v>0</v>
      </c>
      <c r="GM169">
        <f t="shared" si="159"/>
        <v>17250</v>
      </c>
      <c r="GN169">
        <f t="shared" si="160"/>
        <v>0</v>
      </c>
      <c r="GO169">
        <f t="shared" si="161"/>
        <v>0</v>
      </c>
      <c r="GP169">
        <f t="shared" si="162"/>
        <v>17250</v>
      </c>
      <c r="GR169">
        <v>1</v>
      </c>
      <c r="GS169">
        <v>1</v>
      </c>
      <c r="GT169">
        <v>0</v>
      </c>
      <c r="GU169" t="s">
        <v>3</v>
      </c>
      <c r="GV169">
        <f t="shared" si="163"/>
        <v>0</v>
      </c>
      <c r="GW169">
        <v>1</v>
      </c>
      <c r="GX169">
        <f t="shared" si="164"/>
        <v>0</v>
      </c>
      <c r="HA169">
        <v>0</v>
      </c>
      <c r="HB169">
        <v>0</v>
      </c>
      <c r="HC169">
        <f t="shared" si="165"/>
        <v>0</v>
      </c>
      <c r="HE169" t="s">
        <v>108</v>
      </c>
      <c r="HF169" t="s">
        <v>108</v>
      </c>
      <c r="IK169">
        <v>0</v>
      </c>
    </row>
    <row r="170" spans="1:245" x14ac:dyDescent="0.2">
      <c r="A170">
        <v>18</v>
      </c>
      <c r="B170">
        <v>1</v>
      </c>
      <c r="C170">
        <v>185</v>
      </c>
      <c r="E170" t="s">
        <v>231</v>
      </c>
      <c r="F170" t="s">
        <v>104</v>
      </c>
      <c r="G170" t="s">
        <v>203</v>
      </c>
      <c r="H170" t="s">
        <v>106</v>
      </c>
      <c r="I170">
        <f>I162*J170</f>
        <v>1</v>
      </c>
      <c r="J170">
        <v>33.333333333333336</v>
      </c>
      <c r="O170">
        <f t="shared" si="126"/>
        <v>40166.67</v>
      </c>
      <c r="P170">
        <f t="shared" si="127"/>
        <v>40166.67</v>
      </c>
      <c r="Q170">
        <f t="shared" si="128"/>
        <v>0</v>
      </c>
      <c r="R170">
        <f t="shared" si="129"/>
        <v>0</v>
      </c>
      <c r="S170">
        <f t="shared" si="130"/>
        <v>0</v>
      </c>
      <c r="T170">
        <f t="shared" si="131"/>
        <v>0</v>
      </c>
      <c r="U170">
        <f t="shared" si="132"/>
        <v>0</v>
      </c>
      <c r="V170">
        <f t="shared" si="133"/>
        <v>0</v>
      </c>
      <c r="W170">
        <f t="shared" si="134"/>
        <v>0</v>
      </c>
      <c r="X170">
        <f t="shared" si="135"/>
        <v>0</v>
      </c>
      <c r="Y170">
        <f t="shared" si="136"/>
        <v>0</v>
      </c>
      <c r="AA170">
        <v>52430918</v>
      </c>
      <c r="AB170">
        <f t="shared" si="137"/>
        <v>40166.67</v>
      </c>
      <c r="AC170">
        <f t="shared" si="138"/>
        <v>40166.67</v>
      </c>
      <c r="AD170">
        <f t="shared" si="139"/>
        <v>0</v>
      </c>
      <c r="AE170">
        <f t="shared" si="140"/>
        <v>0</v>
      </c>
      <c r="AF170">
        <f t="shared" si="141"/>
        <v>0</v>
      </c>
      <c r="AG170">
        <f t="shared" si="142"/>
        <v>0</v>
      </c>
      <c r="AH170">
        <f t="shared" si="143"/>
        <v>0</v>
      </c>
      <c r="AI170">
        <f t="shared" si="144"/>
        <v>0</v>
      </c>
      <c r="AJ170">
        <f t="shared" si="145"/>
        <v>0</v>
      </c>
      <c r="AK170">
        <v>40166.67</v>
      </c>
      <c r="AL170">
        <v>40166.67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70</v>
      </c>
      <c r="AU170">
        <v>10</v>
      </c>
      <c r="AV170">
        <v>1</v>
      </c>
      <c r="AW170">
        <v>1</v>
      </c>
      <c r="AZ170">
        <v>1</v>
      </c>
      <c r="BA170">
        <v>1</v>
      </c>
      <c r="BB170">
        <v>1</v>
      </c>
      <c r="BC170">
        <v>1</v>
      </c>
      <c r="BD170" t="s">
        <v>3</v>
      </c>
      <c r="BE170" t="s">
        <v>3</v>
      </c>
      <c r="BF170" t="s">
        <v>3</v>
      </c>
      <c r="BG170" t="s">
        <v>3</v>
      </c>
      <c r="BH170">
        <v>3</v>
      </c>
      <c r="BI170">
        <v>4</v>
      </c>
      <c r="BJ170" t="s">
        <v>3</v>
      </c>
      <c r="BM170">
        <v>0</v>
      </c>
      <c r="BN170">
        <v>0</v>
      </c>
      <c r="BO170" t="s">
        <v>3</v>
      </c>
      <c r="BP170">
        <v>0</v>
      </c>
      <c r="BQ170">
        <v>1</v>
      </c>
      <c r="BR170">
        <v>0</v>
      </c>
      <c r="BS170">
        <v>1</v>
      </c>
      <c r="BT170">
        <v>1</v>
      </c>
      <c r="BU170">
        <v>1</v>
      </c>
      <c r="BV170">
        <v>1</v>
      </c>
      <c r="BW170">
        <v>1</v>
      </c>
      <c r="BX170">
        <v>1</v>
      </c>
      <c r="BY170" t="s">
        <v>3</v>
      </c>
      <c r="BZ170">
        <v>70</v>
      </c>
      <c r="CA170">
        <v>10</v>
      </c>
      <c r="CE170">
        <v>0</v>
      </c>
      <c r="CF170">
        <v>0</v>
      </c>
      <c r="CG170">
        <v>0</v>
      </c>
      <c r="CM170">
        <v>0</v>
      </c>
      <c r="CN170" t="s">
        <v>3</v>
      </c>
      <c r="CO170">
        <v>0</v>
      </c>
      <c r="CP170">
        <f t="shared" si="146"/>
        <v>40166.67</v>
      </c>
      <c r="CQ170">
        <f t="shared" si="147"/>
        <v>40166.67</v>
      </c>
      <c r="CR170">
        <f t="shared" si="148"/>
        <v>0</v>
      </c>
      <c r="CS170">
        <f t="shared" si="149"/>
        <v>0</v>
      </c>
      <c r="CT170">
        <f t="shared" si="150"/>
        <v>0</v>
      </c>
      <c r="CU170">
        <f t="shared" si="151"/>
        <v>0</v>
      </c>
      <c r="CV170">
        <f t="shared" si="152"/>
        <v>0</v>
      </c>
      <c r="CW170">
        <f t="shared" si="153"/>
        <v>0</v>
      </c>
      <c r="CX170">
        <f t="shared" si="154"/>
        <v>0</v>
      </c>
      <c r="CY170">
        <f t="shared" si="155"/>
        <v>0</v>
      </c>
      <c r="CZ170">
        <f t="shared" si="156"/>
        <v>0</v>
      </c>
      <c r="DC170" t="s">
        <v>3</v>
      </c>
      <c r="DD170" t="s">
        <v>3</v>
      </c>
      <c r="DE170" t="s">
        <v>3</v>
      </c>
      <c r="DF170" t="s">
        <v>3</v>
      </c>
      <c r="DG170" t="s">
        <v>3</v>
      </c>
      <c r="DH170" t="s">
        <v>3</v>
      </c>
      <c r="DI170" t="s">
        <v>3</v>
      </c>
      <c r="DJ170" t="s">
        <v>3</v>
      </c>
      <c r="DK170" t="s">
        <v>3</v>
      </c>
      <c r="DL170" t="s">
        <v>3</v>
      </c>
      <c r="DM170" t="s">
        <v>3</v>
      </c>
      <c r="DN170">
        <v>0</v>
      </c>
      <c r="DO170">
        <v>0</v>
      </c>
      <c r="DP170">
        <v>1</v>
      </c>
      <c r="DQ170">
        <v>1</v>
      </c>
      <c r="DU170">
        <v>1010</v>
      </c>
      <c r="DV170" t="s">
        <v>106</v>
      </c>
      <c r="DW170" t="s">
        <v>106</v>
      </c>
      <c r="DX170">
        <v>1</v>
      </c>
      <c r="EE170">
        <v>52362078</v>
      </c>
      <c r="EF170">
        <v>1</v>
      </c>
      <c r="EG170" t="s">
        <v>22</v>
      </c>
      <c r="EH170">
        <v>0</v>
      </c>
      <c r="EI170" t="s">
        <v>3</v>
      </c>
      <c r="EJ170">
        <v>4</v>
      </c>
      <c r="EK170">
        <v>0</v>
      </c>
      <c r="EL170" t="s">
        <v>23</v>
      </c>
      <c r="EM170" t="s">
        <v>24</v>
      </c>
      <c r="EO170" t="s">
        <v>3</v>
      </c>
      <c r="EQ170">
        <v>0</v>
      </c>
      <c r="ER170">
        <v>40166.67</v>
      </c>
      <c r="ES170">
        <v>40166.67</v>
      </c>
      <c r="ET170">
        <v>0</v>
      </c>
      <c r="EU170">
        <v>0</v>
      </c>
      <c r="EV170">
        <v>0</v>
      </c>
      <c r="EW170">
        <v>0</v>
      </c>
      <c r="EX170">
        <v>0</v>
      </c>
      <c r="EZ170">
        <v>5</v>
      </c>
      <c r="FC170">
        <v>1</v>
      </c>
      <c r="FD170">
        <v>18</v>
      </c>
      <c r="FF170">
        <v>48200</v>
      </c>
      <c r="FQ170">
        <v>0</v>
      </c>
      <c r="FR170">
        <f t="shared" si="157"/>
        <v>0</v>
      </c>
      <c r="FS170">
        <v>0</v>
      </c>
      <c r="FX170">
        <v>70</v>
      </c>
      <c r="FY170">
        <v>10</v>
      </c>
      <c r="GA170" t="s">
        <v>204</v>
      </c>
      <c r="GD170">
        <v>0</v>
      </c>
      <c r="GF170">
        <v>954585822</v>
      </c>
      <c r="GG170">
        <v>2</v>
      </c>
      <c r="GH170">
        <v>3</v>
      </c>
      <c r="GI170">
        <v>-2</v>
      </c>
      <c r="GJ170">
        <v>0</v>
      </c>
      <c r="GK170">
        <f>ROUND(R170*(R12)/100,2)</f>
        <v>0</v>
      </c>
      <c r="GL170">
        <f t="shared" si="158"/>
        <v>0</v>
      </c>
      <c r="GM170">
        <f t="shared" si="159"/>
        <v>40166.67</v>
      </c>
      <c r="GN170">
        <f t="shared" si="160"/>
        <v>0</v>
      </c>
      <c r="GO170">
        <f t="shared" si="161"/>
        <v>0</v>
      </c>
      <c r="GP170">
        <f t="shared" si="162"/>
        <v>40166.67</v>
      </c>
      <c r="GR170">
        <v>1</v>
      </c>
      <c r="GS170">
        <v>1</v>
      </c>
      <c r="GT170">
        <v>0</v>
      </c>
      <c r="GU170" t="s">
        <v>3</v>
      </c>
      <c r="GV170">
        <f t="shared" si="163"/>
        <v>0</v>
      </c>
      <c r="GW170">
        <v>1</v>
      </c>
      <c r="GX170">
        <f t="shared" si="164"/>
        <v>0</v>
      </c>
      <c r="HA170">
        <v>0</v>
      </c>
      <c r="HB170">
        <v>0</v>
      </c>
      <c r="HC170">
        <f t="shared" si="165"/>
        <v>0</v>
      </c>
      <c r="HE170" t="s">
        <v>108</v>
      </c>
      <c r="HF170" t="s">
        <v>108</v>
      </c>
      <c r="IK170">
        <v>0</v>
      </c>
    </row>
    <row r="171" spans="1:245" x14ac:dyDescent="0.2">
      <c r="A171">
        <v>18</v>
      </c>
      <c r="B171">
        <v>1</v>
      </c>
      <c r="C171">
        <v>186</v>
      </c>
      <c r="E171" t="s">
        <v>232</v>
      </c>
      <c r="F171" t="s">
        <v>104</v>
      </c>
      <c r="G171" t="s">
        <v>116</v>
      </c>
      <c r="H171" t="s">
        <v>106</v>
      </c>
      <c r="I171">
        <f>I162*J171</f>
        <v>1</v>
      </c>
      <c r="J171">
        <v>33.333333333333336</v>
      </c>
      <c r="O171">
        <f t="shared" si="126"/>
        <v>12391.67</v>
      </c>
      <c r="P171">
        <f t="shared" si="127"/>
        <v>12391.67</v>
      </c>
      <c r="Q171">
        <f t="shared" si="128"/>
        <v>0</v>
      </c>
      <c r="R171">
        <f t="shared" si="129"/>
        <v>0</v>
      </c>
      <c r="S171">
        <f t="shared" si="130"/>
        <v>0</v>
      </c>
      <c r="T171">
        <f t="shared" si="131"/>
        <v>0</v>
      </c>
      <c r="U171">
        <f t="shared" si="132"/>
        <v>0</v>
      </c>
      <c r="V171">
        <f t="shared" si="133"/>
        <v>0</v>
      </c>
      <c r="W171">
        <f t="shared" si="134"/>
        <v>0</v>
      </c>
      <c r="X171">
        <f t="shared" si="135"/>
        <v>0</v>
      </c>
      <c r="Y171">
        <f t="shared" si="136"/>
        <v>0</v>
      </c>
      <c r="AA171">
        <v>52430918</v>
      </c>
      <c r="AB171">
        <f t="shared" si="137"/>
        <v>12391.67</v>
      </c>
      <c r="AC171">
        <f t="shared" si="138"/>
        <v>12391.67</v>
      </c>
      <c r="AD171">
        <f t="shared" si="139"/>
        <v>0</v>
      </c>
      <c r="AE171">
        <f t="shared" si="140"/>
        <v>0</v>
      </c>
      <c r="AF171">
        <f t="shared" si="141"/>
        <v>0</v>
      </c>
      <c r="AG171">
        <f t="shared" si="142"/>
        <v>0</v>
      </c>
      <c r="AH171">
        <f t="shared" si="143"/>
        <v>0</v>
      </c>
      <c r="AI171">
        <f t="shared" si="144"/>
        <v>0</v>
      </c>
      <c r="AJ171">
        <f t="shared" si="145"/>
        <v>0</v>
      </c>
      <c r="AK171">
        <v>12391.67</v>
      </c>
      <c r="AL171">
        <v>12391.67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70</v>
      </c>
      <c r="AU171">
        <v>10</v>
      </c>
      <c r="AV171">
        <v>1</v>
      </c>
      <c r="AW171">
        <v>1</v>
      </c>
      <c r="AZ171">
        <v>1</v>
      </c>
      <c r="BA171">
        <v>1</v>
      </c>
      <c r="BB171">
        <v>1</v>
      </c>
      <c r="BC171">
        <v>1</v>
      </c>
      <c r="BD171" t="s">
        <v>3</v>
      </c>
      <c r="BE171" t="s">
        <v>3</v>
      </c>
      <c r="BF171" t="s">
        <v>3</v>
      </c>
      <c r="BG171" t="s">
        <v>3</v>
      </c>
      <c r="BH171">
        <v>3</v>
      </c>
      <c r="BI171">
        <v>4</v>
      </c>
      <c r="BJ171" t="s">
        <v>3</v>
      </c>
      <c r="BM171">
        <v>0</v>
      </c>
      <c r="BN171">
        <v>0</v>
      </c>
      <c r="BO171" t="s">
        <v>3</v>
      </c>
      <c r="BP171">
        <v>0</v>
      </c>
      <c r="BQ171">
        <v>1</v>
      </c>
      <c r="BR171">
        <v>0</v>
      </c>
      <c r="BS171">
        <v>1</v>
      </c>
      <c r="BT171">
        <v>1</v>
      </c>
      <c r="BU171">
        <v>1</v>
      </c>
      <c r="BV171">
        <v>1</v>
      </c>
      <c r="BW171">
        <v>1</v>
      </c>
      <c r="BX171">
        <v>1</v>
      </c>
      <c r="BY171" t="s">
        <v>3</v>
      </c>
      <c r="BZ171">
        <v>70</v>
      </c>
      <c r="CA171">
        <v>10</v>
      </c>
      <c r="CE171">
        <v>0</v>
      </c>
      <c r="CF171">
        <v>0</v>
      </c>
      <c r="CG171">
        <v>0</v>
      </c>
      <c r="CM171">
        <v>0</v>
      </c>
      <c r="CN171" t="s">
        <v>3</v>
      </c>
      <c r="CO171">
        <v>0</v>
      </c>
      <c r="CP171">
        <f t="shared" si="146"/>
        <v>12391.67</v>
      </c>
      <c r="CQ171">
        <f t="shared" si="147"/>
        <v>12391.67</v>
      </c>
      <c r="CR171">
        <f t="shared" si="148"/>
        <v>0</v>
      </c>
      <c r="CS171">
        <f t="shared" si="149"/>
        <v>0</v>
      </c>
      <c r="CT171">
        <f t="shared" si="150"/>
        <v>0</v>
      </c>
      <c r="CU171">
        <f t="shared" si="151"/>
        <v>0</v>
      </c>
      <c r="CV171">
        <f t="shared" si="152"/>
        <v>0</v>
      </c>
      <c r="CW171">
        <f t="shared" si="153"/>
        <v>0</v>
      </c>
      <c r="CX171">
        <f t="shared" si="154"/>
        <v>0</v>
      </c>
      <c r="CY171">
        <f t="shared" si="155"/>
        <v>0</v>
      </c>
      <c r="CZ171">
        <f t="shared" si="156"/>
        <v>0</v>
      </c>
      <c r="DC171" t="s">
        <v>3</v>
      </c>
      <c r="DD171" t="s">
        <v>3</v>
      </c>
      <c r="DE171" t="s">
        <v>3</v>
      </c>
      <c r="DF171" t="s">
        <v>3</v>
      </c>
      <c r="DG171" t="s">
        <v>3</v>
      </c>
      <c r="DH171" t="s">
        <v>3</v>
      </c>
      <c r="DI171" t="s">
        <v>3</v>
      </c>
      <c r="DJ171" t="s">
        <v>3</v>
      </c>
      <c r="DK171" t="s">
        <v>3</v>
      </c>
      <c r="DL171" t="s">
        <v>3</v>
      </c>
      <c r="DM171" t="s">
        <v>3</v>
      </c>
      <c r="DN171">
        <v>0</v>
      </c>
      <c r="DO171">
        <v>0</v>
      </c>
      <c r="DP171">
        <v>1</v>
      </c>
      <c r="DQ171">
        <v>1</v>
      </c>
      <c r="DU171">
        <v>1010</v>
      </c>
      <c r="DV171" t="s">
        <v>106</v>
      </c>
      <c r="DW171" t="s">
        <v>106</v>
      </c>
      <c r="DX171">
        <v>1</v>
      </c>
      <c r="EE171">
        <v>52362078</v>
      </c>
      <c r="EF171">
        <v>1</v>
      </c>
      <c r="EG171" t="s">
        <v>22</v>
      </c>
      <c r="EH171">
        <v>0</v>
      </c>
      <c r="EI171" t="s">
        <v>3</v>
      </c>
      <c r="EJ171">
        <v>4</v>
      </c>
      <c r="EK171">
        <v>0</v>
      </c>
      <c r="EL171" t="s">
        <v>23</v>
      </c>
      <c r="EM171" t="s">
        <v>24</v>
      </c>
      <c r="EO171" t="s">
        <v>3</v>
      </c>
      <c r="EQ171">
        <v>0</v>
      </c>
      <c r="ER171">
        <v>12391.67</v>
      </c>
      <c r="ES171">
        <v>12391.67</v>
      </c>
      <c r="ET171">
        <v>0</v>
      </c>
      <c r="EU171">
        <v>0</v>
      </c>
      <c r="EV171">
        <v>0</v>
      </c>
      <c r="EW171">
        <v>0</v>
      </c>
      <c r="EX171">
        <v>0</v>
      </c>
      <c r="EZ171">
        <v>5</v>
      </c>
      <c r="FC171">
        <v>1</v>
      </c>
      <c r="FD171">
        <v>18</v>
      </c>
      <c r="FF171">
        <v>14870</v>
      </c>
      <c r="FQ171">
        <v>0</v>
      </c>
      <c r="FR171">
        <f t="shared" si="157"/>
        <v>0</v>
      </c>
      <c r="FS171">
        <v>0</v>
      </c>
      <c r="FX171">
        <v>70</v>
      </c>
      <c r="FY171">
        <v>10</v>
      </c>
      <c r="GA171" t="s">
        <v>117</v>
      </c>
      <c r="GD171">
        <v>0</v>
      </c>
      <c r="GF171">
        <v>-106681237</v>
      </c>
      <c r="GG171">
        <v>2</v>
      </c>
      <c r="GH171">
        <v>3</v>
      </c>
      <c r="GI171">
        <v>-2</v>
      </c>
      <c r="GJ171">
        <v>0</v>
      </c>
      <c r="GK171">
        <f>ROUND(R171*(R12)/100,2)</f>
        <v>0</v>
      </c>
      <c r="GL171">
        <f t="shared" si="158"/>
        <v>0</v>
      </c>
      <c r="GM171">
        <f t="shared" si="159"/>
        <v>12391.67</v>
      </c>
      <c r="GN171">
        <f t="shared" si="160"/>
        <v>0</v>
      </c>
      <c r="GO171">
        <f t="shared" si="161"/>
        <v>0</v>
      </c>
      <c r="GP171">
        <f t="shared" si="162"/>
        <v>12391.67</v>
      </c>
      <c r="GR171">
        <v>1</v>
      </c>
      <c r="GS171">
        <v>1</v>
      </c>
      <c r="GT171">
        <v>0</v>
      </c>
      <c r="GU171" t="s">
        <v>3</v>
      </c>
      <c r="GV171">
        <f t="shared" si="163"/>
        <v>0</v>
      </c>
      <c r="GW171">
        <v>1</v>
      </c>
      <c r="GX171">
        <f t="shared" si="164"/>
        <v>0</v>
      </c>
      <c r="HA171">
        <v>0</v>
      </c>
      <c r="HB171">
        <v>0</v>
      </c>
      <c r="HC171">
        <f t="shared" si="165"/>
        <v>0</v>
      </c>
      <c r="HE171" t="s">
        <v>108</v>
      </c>
      <c r="HF171" t="s">
        <v>108</v>
      </c>
      <c r="IK171">
        <v>0</v>
      </c>
    </row>
    <row r="173" spans="1:245" x14ac:dyDescent="0.2">
      <c r="A173" s="2">
        <v>51</v>
      </c>
      <c r="B173" s="2">
        <f>B147</f>
        <v>1</v>
      </c>
      <c r="C173" s="2">
        <f>A147</f>
        <v>5</v>
      </c>
      <c r="D173" s="2">
        <f>ROW(A147)</f>
        <v>147</v>
      </c>
      <c r="E173" s="2"/>
      <c r="F173" s="2" t="str">
        <f>IF(F147&lt;&gt;"",F147,"")</f>
        <v>Новый подраздел</v>
      </c>
      <c r="G173" s="2" t="str">
        <f>IF(G147&lt;&gt;"",G147,"")</f>
        <v>Игровая площадка группы № 11</v>
      </c>
      <c r="H173" s="2">
        <v>0</v>
      </c>
      <c r="I173" s="2"/>
      <c r="J173" s="2"/>
      <c r="K173" s="2"/>
      <c r="L173" s="2"/>
      <c r="M173" s="2"/>
      <c r="N173" s="2"/>
      <c r="O173" s="2">
        <f t="shared" ref="O173:T173" si="166">ROUND(AB173,2)</f>
        <v>317860.96999999997</v>
      </c>
      <c r="P173" s="2">
        <f t="shared" si="166"/>
        <v>268052.18</v>
      </c>
      <c r="Q173" s="2">
        <f t="shared" si="166"/>
        <v>8504.98</v>
      </c>
      <c r="R173" s="2">
        <f t="shared" si="166"/>
        <v>4522.68</v>
      </c>
      <c r="S173" s="2">
        <f t="shared" si="166"/>
        <v>41303.81</v>
      </c>
      <c r="T173" s="2">
        <f t="shared" si="166"/>
        <v>0</v>
      </c>
      <c r="U173" s="2">
        <f>AH173</f>
        <v>197.21099400000003</v>
      </c>
      <c r="V173" s="2">
        <f>AI173</f>
        <v>0</v>
      </c>
      <c r="W173" s="2">
        <f>ROUND(AJ173,2)</f>
        <v>0</v>
      </c>
      <c r="X173" s="2">
        <f>ROUND(AK173,2)</f>
        <v>28912.67</v>
      </c>
      <c r="Y173" s="2">
        <f>ROUND(AL173,2)</f>
        <v>4130.38</v>
      </c>
      <c r="Z173" s="2"/>
      <c r="AA173" s="2"/>
      <c r="AB173" s="2">
        <f>ROUND(SUMIF(AA151:AA171,"=52430918",O151:O171),2)</f>
        <v>317860.96999999997</v>
      </c>
      <c r="AC173" s="2">
        <f>ROUND(SUMIF(AA151:AA171,"=52430918",P151:P171),2)</f>
        <v>268052.18</v>
      </c>
      <c r="AD173" s="2">
        <f>ROUND(SUMIF(AA151:AA171,"=52430918",Q151:Q171),2)</f>
        <v>8504.98</v>
      </c>
      <c r="AE173" s="2">
        <f>ROUND(SUMIF(AA151:AA171,"=52430918",R151:R171),2)</f>
        <v>4522.68</v>
      </c>
      <c r="AF173" s="2">
        <f>ROUND(SUMIF(AA151:AA171,"=52430918",S151:S171),2)</f>
        <v>41303.81</v>
      </c>
      <c r="AG173" s="2">
        <f>ROUND(SUMIF(AA151:AA171,"=52430918",T151:T171),2)</f>
        <v>0</v>
      </c>
      <c r="AH173" s="2">
        <f>SUMIF(AA151:AA171,"=52430918",U151:U171)</f>
        <v>197.21099400000003</v>
      </c>
      <c r="AI173" s="2">
        <f>SUMIF(AA151:AA171,"=52430918",V151:V171)</f>
        <v>0</v>
      </c>
      <c r="AJ173" s="2">
        <f>ROUND(SUMIF(AA151:AA171,"=52430918",W151:W171),2)</f>
        <v>0</v>
      </c>
      <c r="AK173" s="2">
        <f>ROUND(SUMIF(AA151:AA171,"=52430918",X151:X171),2)</f>
        <v>28912.67</v>
      </c>
      <c r="AL173" s="2">
        <f>ROUND(SUMIF(AA151:AA171,"=52430918",Y151:Y171),2)</f>
        <v>4130.38</v>
      </c>
      <c r="AM173" s="2"/>
      <c r="AN173" s="2"/>
      <c r="AO173" s="2">
        <f t="shared" ref="AO173:BD173" si="167">ROUND(BX173,2)</f>
        <v>0</v>
      </c>
      <c r="AP173" s="2">
        <f t="shared" si="167"/>
        <v>0</v>
      </c>
      <c r="AQ173" s="2">
        <f t="shared" si="167"/>
        <v>0</v>
      </c>
      <c r="AR173" s="2">
        <f t="shared" si="167"/>
        <v>355788.51</v>
      </c>
      <c r="AS173" s="2">
        <f t="shared" si="167"/>
        <v>0</v>
      </c>
      <c r="AT173" s="2">
        <f t="shared" si="167"/>
        <v>0</v>
      </c>
      <c r="AU173" s="2">
        <f t="shared" si="167"/>
        <v>355788.51</v>
      </c>
      <c r="AV173" s="2">
        <f t="shared" si="167"/>
        <v>268052.18</v>
      </c>
      <c r="AW173" s="2">
        <f t="shared" si="167"/>
        <v>268052.18</v>
      </c>
      <c r="AX173" s="2">
        <f t="shared" si="167"/>
        <v>0</v>
      </c>
      <c r="AY173" s="2">
        <f t="shared" si="167"/>
        <v>268052.18</v>
      </c>
      <c r="AZ173" s="2">
        <f t="shared" si="167"/>
        <v>0</v>
      </c>
      <c r="BA173" s="2">
        <f t="shared" si="167"/>
        <v>0</v>
      </c>
      <c r="BB173" s="2">
        <f t="shared" si="167"/>
        <v>0</v>
      </c>
      <c r="BC173" s="2">
        <f t="shared" si="167"/>
        <v>0</v>
      </c>
      <c r="BD173" s="2">
        <f t="shared" si="167"/>
        <v>0</v>
      </c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  <c r="BW173" s="2"/>
      <c r="BX173" s="2">
        <f>ROUND(SUMIF(AA151:AA171,"=52430918",FQ151:FQ171),2)</f>
        <v>0</v>
      </c>
      <c r="BY173" s="2">
        <f>ROUND(SUMIF(AA151:AA171,"=52430918",FR151:FR171),2)</f>
        <v>0</v>
      </c>
      <c r="BZ173" s="2">
        <f>ROUND(SUMIF(AA151:AA171,"=52430918",GL151:GL171),2)</f>
        <v>0</v>
      </c>
      <c r="CA173" s="2">
        <f>ROUND(SUMIF(AA151:AA171,"=52430918",GM151:GM171),2)</f>
        <v>355788.51</v>
      </c>
      <c r="CB173" s="2">
        <f>ROUND(SUMIF(AA151:AA171,"=52430918",GN151:GN171),2)</f>
        <v>0</v>
      </c>
      <c r="CC173" s="2">
        <f>ROUND(SUMIF(AA151:AA171,"=52430918",GO151:GO171),2)</f>
        <v>0</v>
      </c>
      <c r="CD173" s="2">
        <f>ROUND(SUMIF(AA151:AA171,"=52430918",GP151:GP171),2)</f>
        <v>355788.51</v>
      </c>
      <c r="CE173" s="2">
        <f>AC173-BX173</f>
        <v>268052.18</v>
      </c>
      <c r="CF173" s="2">
        <f>AC173-BY173</f>
        <v>268052.18</v>
      </c>
      <c r="CG173" s="2">
        <f>BX173-BZ173</f>
        <v>0</v>
      </c>
      <c r="CH173" s="2">
        <f>AC173-BX173-BY173+BZ173</f>
        <v>268052.18</v>
      </c>
      <c r="CI173" s="2">
        <f>BY173-BZ173</f>
        <v>0</v>
      </c>
      <c r="CJ173" s="2">
        <f>ROUND(SUMIF(AA151:AA171,"=52430918",GX151:GX171),2)</f>
        <v>0</v>
      </c>
      <c r="CK173" s="2">
        <f>ROUND(SUMIF(AA151:AA171,"=52430918",GY151:GY171),2)</f>
        <v>0</v>
      </c>
      <c r="CL173" s="2">
        <f>ROUND(SUMIF(AA151:AA171,"=52430918",GZ151:GZ171),2)</f>
        <v>0</v>
      </c>
      <c r="CM173" s="2">
        <f>ROUND(SUMIF(AA151:AA171,"=52430918",HD151:HD171),2)</f>
        <v>0</v>
      </c>
      <c r="CN173" s="2"/>
      <c r="CO173" s="2"/>
      <c r="CP173" s="2"/>
      <c r="CQ173" s="2"/>
      <c r="CR173" s="2"/>
      <c r="CS173" s="2"/>
      <c r="CT173" s="2"/>
      <c r="CU173" s="2"/>
      <c r="CV173" s="2"/>
      <c r="CW173" s="2"/>
      <c r="CX173" s="2"/>
      <c r="CY173" s="2"/>
      <c r="CZ173" s="2"/>
      <c r="DA173" s="2"/>
      <c r="DB173" s="2"/>
      <c r="DC173" s="2"/>
      <c r="DD173" s="2"/>
      <c r="DE173" s="2"/>
      <c r="DF173" s="2"/>
      <c r="DG173" s="3"/>
      <c r="DH173" s="3"/>
      <c r="DI173" s="3"/>
      <c r="DJ173" s="3"/>
      <c r="DK173" s="3"/>
      <c r="DL173" s="3"/>
      <c r="DM173" s="3"/>
      <c r="DN173" s="3"/>
      <c r="DO173" s="3"/>
      <c r="DP173" s="3"/>
      <c r="DQ173" s="3"/>
      <c r="DR173" s="3"/>
      <c r="DS173" s="3"/>
      <c r="DT173" s="3"/>
      <c r="DU173" s="3"/>
      <c r="DV173" s="3"/>
      <c r="DW173" s="3"/>
      <c r="DX173" s="3"/>
      <c r="DY173" s="3"/>
      <c r="DZ173" s="3"/>
      <c r="EA173" s="3"/>
      <c r="EB173" s="3"/>
      <c r="EC173" s="3"/>
      <c r="ED173" s="3"/>
      <c r="EE173" s="3"/>
      <c r="EF173" s="3"/>
      <c r="EG173" s="3"/>
      <c r="EH173" s="3"/>
      <c r="EI173" s="3"/>
      <c r="EJ173" s="3"/>
      <c r="EK173" s="3"/>
      <c r="EL173" s="3"/>
      <c r="EM173" s="3"/>
      <c r="EN173" s="3"/>
      <c r="EO173" s="3"/>
      <c r="EP173" s="3"/>
      <c r="EQ173" s="3"/>
      <c r="ER173" s="3"/>
      <c r="ES173" s="3"/>
      <c r="ET173" s="3"/>
      <c r="EU173" s="3"/>
      <c r="EV173" s="3"/>
      <c r="EW173" s="3"/>
      <c r="EX173" s="3"/>
      <c r="EY173" s="3"/>
      <c r="EZ173" s="3"/>
      <c r="FA173" s="3"/>
      <c r="FB173" s="3"/>
      <c r="FC173" s="3"/>
      <c r="FD173" s="3"/>
      <c r="FE173" s="3"/>
      <c r="FF173" s="3"/>
      <c r="FG173" s="3"/>
      <c r="FH173" s="3"/>
      <c r="FI173" s="3"/>
      <c r="FJ173" s="3"/>
      <c r="FK173" s="3"/>
      <c r="FL173" s="3"/>
      <c r="FM173" s="3"/>
      <c r="FN173" s="3"/>
      <c r="FO173" s="3"/>
      <c r="FP173" s="3"/>
      <c r="FQ173" s="3"/>
      <c r="FR173" s="3"/>
      <c r="FS173" s="3"/>
      <c r="FT173" s="3"/>
      <c r="FU173" s="3"/>
      <c r="FV173" s="3"/>
      <c r="FW173" s="3"/>
      <c r="FX173" s="3"/>
      <c r="FY173" s="3"/>
      <c r="FZ173" s="3"/>
      <c r="GA173" s="3"/>
      <c r="GB173" s="3"/>
      <c r="GC173" s="3"/>
      <c r="GD173" s="3"/>
      <c r="GE173" s="3"/>
      <c r="GF173" s="3"/>
      <c r="GG173" s="3"/>
      <c r="GH173" s="3"/>
      <c r="GI173" s="3"/>
      <c r="GJ173" s="3"/>
      <c r="GK173" s="3"/>
      <c r="GL173" s="3"/>
      <c r="GM173" s="3"/>
      <c r="GN173" s="3"/>
      <c r="GO173" s="3"/>
      <c r="GP173" s="3"/>
      <c r="GQ173" s="3"/>
      <c r="GR173" s="3"/>
      <c r="GS173" s="3"/>
      <c r="GT173" s="3"/>
      <c r="GU173" s="3"/>
      <c r="GV173" s="3"/>
      <c r="GW173" s="3"/>
      <c r="GX173" s="3">
        <v>0</v>
      </c>
    </row>
    <row r="175" spans="1:245" x14ac:dyDescent="0.2">
      <c r="A175" s="4">
        <v>50</v>
      </c>
      <c r="B175" s="4">
        <v>0</v>
      </c>
      <c r="C175" s="4">
        <v>0</v>
      </c>
      <c r="D175" s="4">
        <v>1</v>
      </c>
      <c r="E175" s="4">
        <v>201</v>
      </c>
      <c r="F175" s="4">
        <f>ROUND(Source!O173,O175)</f>
        <v>317860.96999999997</v>
      </c>
      <c r="G175" s="4" t="s">
        <v>118</v>
      </c>
      <c r="H175" s="4" t="s">
        <v>119</v>
      </c>
      <c r="I175" s="4"/>
      <c r="J175" s="4"/>
      <c r="K175" s="4">
        <v>201</v>
      </c>
      <c r="L175" s="4">
        <v>1</v>
      </c>
      <c r="M175" s="4">
        <v>3</v>
      </c>
      <c r="N175" s="4" t="s">
        <v>3</v>
      </c>
      <c r="O175" s="4">
        <v>2</v>
      </c>
      <c r="P175" s="4"/>
      <c r="Q175" s="4"/>
      <c r="R175" s="4"/>
      <c r="S175" s="4"/>
      <c r="T175" s="4"/>
      <c r="U175" s="4"/>
      <c r="V175" s="4"/>
      <c r="W175" s="4"/>
    </row>
    <row r="176" spans="1:245" x14ac:dyDescent="0.2">
      <c r="A176" s="4">
        <v>50</v>
      </c>
      <c r="B176" s="4">
        <v>0</v>
      </c>
      <c r="C176" s="4">
        <v>0</v>
      </c>
      <c r="D176" s="4">
        <v>1</v>
      </c>
      <c r="E176" s="4">
        <v>202</v>
      </c>
      <c r="F176" s="4">
        <f>ROUND(Source!P173,O176)</f>
        <v>268052.18</v>
      </c>
      <c r="G176" s="4" t="s">
        <v>120</v>
      </c>
      <c r="H176" s="4" t="s">
        <v>121</v>
      </c>
      <c r="I176" s="4"/>
      <c r="J176" s="4"/>
      <c r="K176" s="4">
        <v>202</v>
      </c>
      <c r="L176" s="4">
        <v>2</v>
      </c>
      <c r="M176" s="4">
        <v>3</v>
      </c>
      <c r="N176" s="4" t="s">
        <v>3</v>
      </c>
      <c r="O176" s="4">
        <v>2</v>
      </c>
      <c r="P176" s="4"/>
      <c r="Q176" s="4"/>
      <c r="R176" s="4"/>
      <c r="S176" s="4"/>
      <c r="T176" s="4"/>
      <c r="U176" s="4"/>
      <c r="V176" s="4"/>
      <c r="W176" s="4"/>
    </row>
    <row r="177" spans="1:23" x14ac:dyDescent="0.2">
      <c r="A177" s="4">
        <v>50</v>
      </c>
      <c r="B177" s="4">
        <v>0</v>
      </c>
      <c r="C177" s="4">
        <v>0</v>
      </c>
      <c r="D177" s="4">
        <v>1</v>
      </c>
      <c r="E177" s="4">
        <v>222</v>
      </c>
      <c r="F177" s="4">
        <f>ROUND(Source!AO173,O177)</f>
        <v>0</v>
      </c>
      <c r="G177" s="4" t="s">
        <v>122</v>
      </c>
      <c r="H177" s="4" t="s">
        <v>123</v>
      </c>
      <c r="I177" s="4"/>
      <c r="J177" s="4"/>
      <c r="K177" s="4">
        <v>222</v>
      </c>
      <c r="L177" s="4">
        <v>3</v>
      </c>
      <c r="M177" s="4">
        <v>3</v>
      </c>
      <c r="N177" s="4" t="s">
        <v>3</v>
      </c>
      <c r="O177" s="4">
        <v>2</v>
      </c>
      <c r="P177" s="4"/>
      <c r="Q177" s="4"/>
      <c r="R177" s="4"/>
      <c r="S177" s="4"/>
      <c r="T177" s="4"/>
      <c r="U177" s="4"/>
      <c r="V177" s="4"/>
      <c r="W177" s="4"/>
    </row>
    <row r="178" spans="1:23" x14ac:dyDescent="0.2">
      <c r="A178" s="4">
        <v>50</v>
      </c>
      <c r="B178" s="4">
        <v>0</v>
      </c>
      <c r="C178" s="4">
        <v>0</v>
      </c>
      <c r="D178" s="4">
        <v>1</v>
      </c>
      <c r="E178" s="4">
        <v>225</v>
      </c>
      <c r="F178" s="4">
        <f>ROUND(Source!AV173,O178)</f>
        <v>268052.18</v>
      </c>
      <c r="G178" s="4" t="s">
        <v>124</v>
      </c>
      <c r="H178" s="4" t="s">
        <v>125</v>
      </c>
      <c r="I178" s="4"/>
      <c r="J178" s="4"/>
      <c r="K178" s="4">
        <v>225</v>
      </c>
      <c r="L178" s="4">
        <v>4</v>
      </c>
      <c r="M178" s="4">
        <v>3</v>
      </c>
      <c r="N178" s="4" t="s">
        <v>3</v>
      </c>
      <c r="O178" s="4">
        <v>2</v>
      </c>
      <c r="P178" s="4"/>
      <c r="Q178" s="4"/>
      <c r="R178" s="4"/>
      <c r="S178" s="4"/>
      <c r="T178" s="4"/>
      <c r="U178" s="4"/>
      <c r="V178" s="4"/>
      <c r="W178" s="4"/>
    </row>
    <row r="179" spans="1:23" x14ac:dyDescent="0.2">
      <c r="A179" s="4">
        <v>50</v>
      </c>
      <c r="B179" s="4">
        <v>0</v>
      </c>
      <c r="C179" s="4">
        <v>0</v>
      </c>
      <c r="D179" s="4">
        <v>1</v>
      </c>
      <c r="E179" s="4">
        <v>226</v>
      </c>
      <c r="F179" s="4">
        <f>ROUND(Source!AW173,O179)</f>
        <v>268052.18</v>
      </c>
      <c r="G179" s="4" t="s">
        <v>126</v>
      </c>
      <c r="H179" s="4" t="s">
        <v>127</v>
      </c>
      <c r="I179" s="4"/>
      <c r="J179" s="4"/>
      <c r="K179" s="4">
        <v>226</v>
      </c>
      <c r="L179" s="4">
        <v>5</v>
      </c>
      <c r="M179" s="4">
        <v>3</v>
      </c>
      <c r="N179" s="4" t="s">
        <v>3</v>
      </c>
      <c r="O179" s="4">
        <v>2</v>
      </c>
      <c r="P179" s="4"/>
      <c r="Q179" s="4"/>
      <c r="R179" s="4"/>
      <c r="S179" s="4"/>
      <c r="T179" s="4"/>
      <c r="U179" s="4"/>
      <c r="V179" s="4"/>
      <c r="W179" s="4"/>
    </row>
    <row r="180" spans="1:23" x14ac:dyDescent="0.2">
      <c r="A180" s="4">
        <v>50</v>
      </c>
      <c r="B180" s="4">
        <v>0</v>
      </c>
      <c r="C180" s="4">
        <v>0</v>
      </c>
      <c r="D180" s="4">
        <v>1</v>
      </c>
      <c r="E180" s="4">
        <v>227</v>
      </c>
      <c r="F180" s="4">
        <f>ROUND(Source!AX173,O180)</f>
        <v>0</v>
      </c>
      <c r="G180" s="4" t="s">
        <v>128</v>
      </c>
      <c r="H180" s="4" t="s">
        <v>129</v>
      </c>
      <c r="I180" s="4"/>
      <c r="J180" s="4"/>
      <c r="K180" s="4">
        <v>227</v>
      </c>
      <c r="L180" s="4">
        <v>6</v>
      </c>
      <c r="M180" s="4">
        <v>3</v>
      </c>
      <c r="N180" s="4" t="s">
        <v>3</v>
      </c>
      <c r="O180" s="4">
        <v>2</v>
      </c>
      <c r="P180" s="4"/>
      <c r="Q180" s="4"/>
      <c r="R180" s="4"/>
      <c r="S180" s="4"/>
      <c r="T180" s="4"/>
      <c r="U180" s="4"/>
      <c r="V180" s="4"/>
      <c r="W180" s="4"/>
    </row>
    <row r="181" spans="1:23" x14ac:dyDescent="0.2">
      <c r="A181" s="4">
        <v>50</v>
      </c>
      <c r="B181" s="4">
        <v>0</v>
      </c>
      <c r="C181" s="4">
        <v>0</v>
      </c>
      <c r="D181" s="4">
        <v>1</v>
      </c>
      <c r="E181" s="4">
        <v>228</v>
      </c>
      <c r="F181" s="4">
        <f>ROUND(Source!AY173,O181)</f>
        <v>268052.18</v>
      </c>
      <c r="G181" s="4" t="s">
        <v>130</v>
      </c>
      <c r="H181" s="4" t="s">
        <v>131</v>
      </c>
      <c r="I181" s="4"/>
      <c r="J181" s="4"/>
      <c r="K181" s="4">
        <v>228</v>
      </c>
      <c r="L181" s="4">
        <v>7</v>
      </c>
      <c r="M181" s="4">
        <v>3</v>
      </c>
      <c r="N181" s="4" t="s">
        <v>3</v>
      </c>
      <c r="O181" s="4">
        <v>2</v>
      </c>
      <c r="P181" s="4"/>
      <c r="Q181" s="4"/>
      <c r="R181" s="4"/>
      <c r="S181" s="4"/>
      <c r="T181" s="4"/>
      <c r="U181" s="4"/>
      <c r="V181" s="4"/>
      <c r="W181" s="4"/>
    </row>
    <row r="182" spans="1:23" x14ac:dyDescent="0.2">
      <c r="A182" s="4">
        <v>50</v>
      </c>
      <c r="B182" s="4">
        <v>0</v>
      </c>
      <c r="C182" s="4">
        <v>0</v>
      </c>
      <c r="D182" s="4">
        <v>1</v>
      </c>
      <c r="E182" s="4">
        <v>216</v>
      </c>
      <c r="F182" s="4">
        <f>ROUND(Source!AP173,O182)</f>
        <v>0</v>
      </c>
      <c r="G182" s="4" t="s">
        <v>132</v>
      </c>
      <c r="H182" s="4" t="s">
        <v>133</v>
      </c>
      <c r="I182" s="4"/>
      <c r="J182" s="4"/>
      <c r="K182" s="4">
        <v>216</v>
      </c>
      <c r="L182" s="4">
        <v>8</v>
      </c>
      <c r="M182" s="4">
        <v>3</v>
      </c>
      <c r="N182" s="4" t="s">
        <v>3</v>
      </c>
      <c r="O182" s="4">
        <v>2</v>
      </c>
      <c r="P182" s="4"/>
      <c r="Q182" s="4"/>
      <c r="R182" s="4"/>
      <c r="S182" s="4"/>
      <c r="T182" s="4"/>
      <c r="U182" s="4"/>
      <c r="V182" s="4"/>
      <c r="W182" s="4"/>
    </row>
    <row r="183" spans="1:23" x14ac:dyDescent="0.2">
      <c r="A183" s="4">
        <v>50</v>
      </c>
      <c r="B183" s="4">
        <v>0</v>
      </c>
      <c r="C183" s="4">
        <v>0</v>
      </c>
      <c r="D183" s="4">
        <v>1</v>
      </c>
      <c r="E183" s="4">
        <v>223</v>
      </c>
      <c r="F183" s="4">
        <f>ROUND(Source!AQ173,O183)</f>
        <v>0</v>
      </c>
      <c r="G183" s="4" t="s">
        <v>134</v>
      </c>
      <c r="H183" s="4" t="s">
        <v>135</v>
      </c>
      <c r="I183" s="4"/>
      <c r="J183" s="4"/>
      <c r="K183" s="4">
        <v>223</v>
      </c>
      <c r="L183" s="4">
        <v>9</v>
      </c>
      <c r="M183" s="4">
        <v>3</v>
      </c>
      <c r="N183" s="4" t="s">
        <v>3</v>
      </c>
      <c r="O183" s="4">
        <v>2</v>
      </c>
      <c r="P183" s="4"/>
      <c r="Q183" s="4"/>
      <c r="R183" s="4"/>
      <c r="S183" s="4"/>
      <c r="T183" s="4"/>
      <c r="U183" s="4"/>
      <c r="V183" s="4"/>
      <c r="W183" s="4"/>
    </row>
    <row r="184" spans="1:23" x14ac:dyDescent="0.2">
      <c r="A184" s="4">
        <v>50</v>
      </c>
      <c r="B184" s="4">
        <v>0</v>
      </c>
      <c r="C184" s="4">
        <v>0</v>
      </c>
      <c r="D184" s="4">
        <v>1</v>
      </c>
      <c r="E184" s="4">
        <v>229</v>
      </c>
      <c r="F184" s="4">
        <f>ROUND(Source!AZ173,O184)</f>
        <v>0</v>
      </c>
      <c r="G184" s="4" t="s">
        <v>136</v>
      </c>
      <c r="H184" s="4" t="s">
        <v>137</v>
      </c>
      <c r="I184" s="4"/>
      <c r="J184" s="4"/>
      <c r="K184" s="4">
        <v>229</v>
      </c>
      <c r="L184" s="4">
        <v>10</v>
      </c>
      <c r="M184" s="4">
        <v>3</v>
      </c>
      <c r="N184" s="4" t="s">
        <v>3</v>
      </c>
      <c r="O184" s="4">
        <v>2</v>
      </c>
      <c r="P184" s="4"/>
      <c r="Q184" s="4"/>
      <c r="R184" s="4"/>
      <c r="S184" s="4"/>
      <c r="T184" s="4"/>
      <c r="U184" s="4"/>
      <c r="V184" s="4"/>
      <c r="W184" s="4"/>
    </row>
    <row r="185" spans="1:23" x14ac:dyDescent="0.2">
      <c r="A185" s="4">
        <v>50</v>
      </c>
      <c r="B185" s="4">
        <v>0</v>
      </c>
      <c r="C185" s="4">
        <v>0</v>
      </c>
      <c r="D185" s="4">
        <v>1</v>
      </c>
      <c r="E185" s="4">
        <v>203</v>
      </c>
      <c r="F185" s="4">
        <f>ROUND(Source!Q173,O185)</f>
        <v>8504.98</v>
      </c>
      <c r="G185" s="4" t="s">
        <v>138</v>
      </c>
      <c r="H185" s="4" t="s">
        <v>139</v>
      </c>
      <c r="I185" s="4"/>
      <c r="J185" s="4"/>
      <c r="K185" s="4">
        <v>203</v>
      </c>
      <c r="L185" s="4">
        <v>11</v>
      </c>
      <c r="M185" s="4">
        <v>3</v>
      </c>
      <c r="N185" s="4" t="s">
        <v>3</v>
      </c>
      <c r="O185" s="4">
        <v>2</v>
      </c>
      <c r="P185" s="4"/>
      <c r="Q185" s="4"/>
      <c r="R185" s="4"/>
      <c r="S185" s="4"/>
      <c r="T185" s="4"/>
      <c r="U185" s="4"/>
      <c r="V185" s="4"/>
      <c r="W185" s="4"/>
    </row>
    <row r="186" spans="1:23" x14ac:dyDescent="0.2">
      <c r="A186" s="4">
        <v>50</v>
      </c>
      <c r="B186" s="4">
        <v>0</v>
      </c>
      <c r="C186" s="4">
        <v>0</v>
      </c>
      <c r="D186" s="4">
        <v>1</v>
      </c>
      <c r="E186" s="4">
        <v>231</v>
      </c>
      <c r="F186" s="4">
        <f>ROUND(Source!BB173,O186)</f>
        <v>0</v>
      </c>
      <c r="G186" s="4" t="s">
        <v>140</v>
      </c>
      <c r="H186" s="4" t="s">
        <v>141</v>
      </c>
      <c r="I186" s="4"/>
      <c r="J186" s="4"/>
      <c r="K186" s="4">
        <v>231</v>
      </c>
      <c r="L186" s="4">
        <v>12</v>
      </c>
      <c r="M186" s="4">
        <v>3</v>
      </c>
      <c r="N186" s="4" t="s">
        <v>3</v>
      </c>
      <c r="O186" s="4">
        <v>2</v>
      </c>
      <c r="P186" s="4"/>
      <c r="Q186" s="4"/>
      <c r="R186" s="4"/>
      <c r="S186" s="4"/>
      <c r="T186" s="4"/>
      <c r="U186" s="4"/>
      <c r="V186" s="4"/>
      <c r="W186" s="4"/>
    </row>
    <row r="187" spans="1:23" x14ac:dyDescent="0.2">
      <c r="A187" s="4">
        <v>50</v>
      </c>
      <c r="B187" s="4">
        <v>0</v>
      </c>
      <c r="C187" s="4">
        <v>0</v>
      </c>
      <c r="D187" s="4">
        <v>1</v>
      </c>
      <c r="E187" s="4">
        <v>204</v>
      </c>
      <c r="F187" s="4">
        <f>ROUND(Source!R173,O187)</f>
        <v>4522.68</v>
      </c>
      <c r="G187" s="4" t="s">
        <v>142</v>
      </c>
      <c r="H187" s="4" t="s">
        <v>143</v>
      </c>
      <c r="I187" s="4"/>
      <c r="J187" s="4"/>
      <c r="K187" s="4">
        <v>204</v>
      </c>
      <c r="L187" s="4">
        <v>13</v>
      </c>
      <c r="M187" s="4">
        <v>3</v>
      </c>
      <c r="N187" s="4" t="s">
        <v>3</v>
      </c>
      <c r="O187" s="4">
        <v>2</v>
      </c>
      <c r="P187" s="4"/>
      <c r="Q187" s="4"/>
      <c r="R187" s="4"/>
      <c r="S187" s="4"/>
      <c r="T187" s="4"/>
      <c r="U187" s="4"/>
      <c r="V187" s="4"/>
      <c r="W187" s="4"/>
    </row>
    <row r="188" spans="1:23" x14ac:dyDescent="0.2">
      <c r="A188" s="4">
        <v>50</v>
      </c>
      <c r="B188" s="4">
        <v>0</v>
      </c>
      <c r="C188" s="4">
        <v>0</v>
      </c>
      <c r="D188" s="4">
        <v>1</v>
      </c>
      <c r="E188" s="4">
        <v>205</v>
      </c>
      <c r="F188" s="4">
        <f>ROUND(Source!S173,O188)</f>
        <v>41303.81</v>
      </c>
      <c r="G188" s="4" t="s">
        <v>144</v>
      </c>
      <c r="H188" s="4" t="s">
        <v>145</v>
      </c>
      <c r="I188" s="4"/>
      <c r="J188" s="4"/>
      <c r="K188" s="4">
        <v>205</v>
      </c>
      <c r="L188" s="4">
        <v>14</v>
      </c>
      <c r="M188" s="4">
        <v>3</v>
      </c>
      <c r="N188" s="4" t="s">
        <v>3</v>
      </c>
      <c r="O188" s="4">
        <v>2</v>
      </c>
      <c r="P188" s="4"/>
      <c r="Q188" s="4"/>
      <c r="R188" s="4"/>
      <c r="S188" s="4"/>
      <c r="T188" s="4"/>
      <c r="U188" s="4"/>
      <c r="V188" s="4"/>
      <c r="W188" s="4"/>
    </row>
    <row r="189" spans="1:23" x14ac:dyDescent="0.2">
      <c r="A189" s="4">
        <v>50</v>
      </c>
      <c r="B189" s="4">
        <v>0</v>
      </c>
      <c r="C189" s="4">
        <v>0</v>
      </c>
      <c r="D189" s="4">
        <v>1</v>
      </c>
      <c r="E189" s="4">
        <v>232</v>
      </c>
      <c r="F189" s="4">
        <f>ROUND(Source!BC173,O189)</f>
        <v>0</v>
      </c>
      <c r="G189" s="4" t="s">
        <v>146</v>
      </c>
      <c r="H189" s="4" t="s">
        <v>147</v>
      </c>
      <c r="I189" s="4"/>
      <c r="J189" s="4"/>
      <c r="K189" s="4">
        <v>232</v>
      </c>
      <c r="L189" s="4">
        <v>15</v>
      </c>
      <c r="M189" s="4">
        <v>3</v>
      </c>
      <c r="N189" s="4" t="s">
        <v>3</v>
      </c>
      <c r="O189" s="4">
        <v>2</v>
      </c>
      <c r="P189" s="4"/>
      <c r="Q189" s="4"/>
      <c r="R189" s="4"/>
      <c r="S189" s="4"/>
      <c r="T189" s="4"/>
      <c r="U189" s="4"/>
      <c r="V189" s="4"/>
      <c r="W189" s="4"/>
    </row>
    <row r="190" spans="1:23" x14ac:dyDescent="0.2">
      <c r="A190" s="4">
        <v>50</v>
      </c>
      <c r="B190" s="4">
        <v>0</v>
      </c>
      <c r="C190" s="4">
        <v>0</v>
      </c>
      <c r="D190" s="4">
        <v>1</v>
      </c>
      <c r="E190" s="4">
        <v>214</v>
      </c>
      <c r="F190" s="4">
        <f>ROUND(Source!AS173,O190)</f>
        <v>0</v>
      </c>
      <c r="G190" s="4" t="s">
        <v>148</v>
      </c>
      <c r="H190" s="4" t="s">
        <v>149</v>
      </c>
      <c r="I190" s="4"/>
      <c r="J190" s="4"/>
      <c r="K190" s="4">
        <v>214</v>
      </c>
      <c r="L190" s="4">
        <v>16</v>
      </c>
      <c r="M190" s="4">
        <v>3</v>
      </c>
      <c r="N190" s="4" t="s">
        <v>3</v>
      </c>
      <c r="O190" s="4">
        <v>2</v>
      </c>
      <c r="P190" s="4"/>
      <c r="Q190" s="4"/>
      <c r="R190" s="4"/>
      <c r="S190" s="4"/>
      <c r="T190" s="4"/>
      <c r="U190" s="4"/>
      <c r="V190" s="4"/>
      <c r="W190" s="4"/>
    </row>
    <row r="191" spans="1:23" x14ac:dyDescent="0.2">
      <c r="A191" s="4">
        <v>50</v>
      </c>
      <c r="B191" s="4">
        <v>0</v>
      </c>
      <c r="C191" s="4">
        <v>0</v>
      </c>
      <c r="D191" s="4">
        <v>1</v>
      </c>
      <c r="E191" s="4">
        <v>215</v>
      </c>
      <c r="F191" s="4">
        <f>ROUND(Source!AT173,O191)</f>
        <v>0</v>
      </c>
      <c r="G191" s="4" t="s">
        <v>150</v>
      </c>
      <c r="H191" s="4" t="s">
        <v>151</v>
      </c>
      <c r="I191" s="4"/>
      <c r="J191" s="4"/>
      <c r="K191" s="4">
        <v>215</v>
      </c>
      <c r="L191" s="4">
        <v>17</v>
      </c>
      <c r="M191" s="4">
        <v>3</v>
      </c>
      <c r="N191" s="4" t="s">
        <v>3</v>
      </c>
      <c r="O191" s="4">
        <v>2</v>
      </c>
      <c r="P191" s="4"/>
      <c r="Q191" s="4"/>
      <c r="R191" s="4"/>
      <c r="S191" s="4"/>
      <c r="T191" s="4"/>
      <c r="U191" s="4"/>
      <c r="V191" s="4"/>
      <c r="W191" s="4"/>
    </row>
    <row r="192" spans="1:23" x14ac:dyDescent="0.2">
      <c r="A192" s="4">
        <v>50</v>
      </c>
      <c r="B192" s="4">
        <v>0</v>
      </c>
      <c r="C192" s="4">
        <v>0</v>
      </c>
      <c r="D192" s="4">
        <v>1</v>
      </c>
      <c r="E192" s="4">
        <v>217</v>
      </c>
      <c r="F192" s="4">
        <f>ROUND(Source!AU173,O192)</f>
        <v>355788.51</v>
      </c>
      <c r="G192" s="4" t="s">
        <v>152</v>
      </c>
      <c r="H192" s="4" t="s">
        <v>153</v>
      </c>
      <c r="I192" s="4"/>
      <c r="J192" s="4"/>
      <c r="K192" s="4">
        <v>217</v>
      </c>
      <c r="L192" s="4">
        <v>18</v>
      </c>
      <c r="M192" s="4">
        <v>3</v>
      </c>
      <c r="N192" s="4" t="s">
        <v>3</v>
      </c>
      <c r="O192" s="4">
        <v>2</v>
      </c>
      <c r="P192" s="4"/>
      <c r="Q192" s="4"/>
      <c r="R192" s="4"/>
      <c r="S192" s="4"/>
      <c r="T192" s="4"/>
      <c r="U192" s="4"/>
      <c r="V192" s="4"/>
      <c r="W192" s="4"/>
    </row>
    <row r="193" spans="1:245" x14ac:dyDescent="0.2">
      <c r="A193" s="4">
        <v>50</v>
      </c>
      <c r="B193" s="4">
        <v>0</v>
      </c>
      <c r="C193" s="4">
        <v>0</v>
      </c>
      <c r="D193" s="4">
        <v>1</v>
      </c>
      <c r="E193" s="4">
        <v>230</v>
      </c>
      <c r="F193" s="4">
        <f>ROUND(Source!BA173,O193)</f>
        <v>0</v>
      </c>
      <c r="G193" s="4" t="s">
        <v>154</v>
      </c>
      <c r="H193" s="4" t="s">
        <v>155</v>
      </c>
      <c r="I193" s="4"/>
      <c r="J193" s="4"/>
      <c r="K193" s="4">
        <v>230</v>
      </c>
      <c r="L193" s="4">
        <v>19</v>
      </c>
      <c r="M193" s="4">
        <v>3</v>
      </c>
      <c r="N193" s="4" t="s">
        <v>3</v>
      </c>
      <c r="O193" s="4">
        <v>2</v>
      </c>
      <c r="P193" s="4"/>
      <c r="Q193" s="4"/>
      <c r="R193" s="4"/>
      <c r="S193" s="4"/>
      <c r="T193" s="4"/>
      <c r="U193" s="4"/>
      <c r="V193" s="4"/>
      <c r="W193" s="4"/>
    </row>
    <row r="194" spans="1:245" x14ac:dyDescent="0.2">
      <c r="A194" s="4">
        <v>50</v>
      </c>
      <c r="B194" s="4">
        <v>0</v>
      </c>
      <c r="C194" s="4">
        <v>0</v>
      </c>
      <c r="D194" s="4">
        <v>1</v>
      </c>
      <c r="E194" s="4">
        <v>206</v>
      </c>
      <c r="F194" s="4">
        <f>ROUND(Source!T173,O194)</f>
        <v>0</v>
      </c>
      <c r="G194" s="4" t="s">
        <v>156</v>
      </c>
      <c r="H194" s="4" t="s">
        <v>157</v>
      </c>
      <c r="I194" s="4"/>
      <c r="J194" s="4"/>
      <c r="K194" s="4">
        <v>206</v>
      </c>
      <c r="L194" s="4">
        <v>20</v>
      </c>
      <c r="M194" s="4">
        <v>3</v>
      </c>
      <c r="N194" s="4" t="s">
        <v>3</v>
      </c>
      <c r="O194" s="4">
        <v>2</v>
      </c>
      <c r="P194" s="4"/>
      <c r="Q194" s="4"/>
      <c r="R194" s="4"/>
      <c r="S194" s="4"/>
      <c r="T194" s="4"/>
      <c r="U194" s="4"/>
      <c r="V194" s="4"/>
      <c r="W194" s="4"/>
    </row>
    <row r="195" spans="1:245" x14ac:dyDescent="0.2">
      <c r="A195" s="4">
        <v>50</v>
      </c>
      <c r="B195" s="4">
        <v>0</v>
      </c>
      <c r="C195" s="4">
        <v>0</v>
      </c>
      <c r="D195" s="4">
        <v>1</v>
      </c>
      <c r="E195" s="4">
        <v>207</v>
      </c>
      <c r="F195" s="4">
        <f>Source!U173</f>
        <v>197.21099400000003</v>
      </c>
      <c r="G195" s="4" t="s">
        <v>158</v>
      </c>
      <c r="H195" s="4" t="s">
        <v>159</v>
      </c>
      <c r="I195" s="4"/>
      <c r="J195" s="4"/>
      <c r="K195" s="4">
        <v>207</v>
      </c>
      <c r="L195" s="4">
        <v>21</v>
      </c>
      <c r="M195" s="4">
        <v>3</v>
      </c>
      <c r="N195" s="4" t="s">
        <v>3</v>
      </c>
      <c r="O195" s="4">
        <v>-1</v>
      </c>
      <c r="P195" s="4"/>
      <c r="Q195" s="4"/>
      <c r="R195" s="4"/>
      <c r="S195" s="4"/>
      <c r="T195" s="4"/>
      <c r="U195" s="4"/>
      <c r="V195" s="4"/>
      <c r="W195" s="4"/>
    </row>
    <row r="196" spans="1:245" x14ac:dyDescent="0.2">
      <c r="A196" s="4">
        <v>50</v>
      </c>
      <c r="B196" s="4">
        <v>0</v>
      </c>
      <c r="C196" s="4">
        <v>0</v>
      </c>
      <c r="D196" s="4">
        <v>1</v>
      </c>
      <c r="E196" s="4">
        <v>208</v>
      </c>
      <c r="F196" s="4">
        <f>Source!V173</f>
        <v>0</v>
      </c>
      <c r="G196" s="4" t="s">
        <v>160</v>
      </c>
      <c r="H196" s="4" t="s">
        <v>161</v>
      </c>
      <c r="I196" s="4"/>
      <c r="J196" s="4"/>
      <c r="K196" s="4">
        <v>208</v>
      </c>
      <c r="L196" s="4">
        <v>22</v>
      </c>
      <c r="M196" s="4">
        <v>3</v>
      </c>
      <c r="N196" s="4" t="s">
        <v>3</v>
      </c>
      <c r="O196" s="4">
        <v>-1</v>
      </c>
      <c r="P196" s="4"/>
      <c r="Q196" s="4"/>
      <c r="R196" s="4"/>
      <c r="S196" s="4"/>
      <c r="T196" s="4"/>
      <c r="U196" s="4"/>
      <c r="V196" s="4"/>
      <c r="W196" s="4"/>
    </row>
    <row r="197" spans="1:245" x14ac:dyDescent="0.2">
      <c r="A197" s="4">
        <v>50</v>
      </c>
      <c r="B197" s="4">
        <v>0</v>
      </c>
      <c r="C197" s="4">
        <v>0</v>
      </c>
      <c r="D197" s="4">
        <v>1</v>
      </c>
      <c r="E197" s="4">
        <v>209</v>
      </c>
      <c r="F197" s="4">
        <f>ROUND(Source!W173,O197)</f>
        <v>0</v>
      </c>
      <c r="G197" s="4" t="s">
        <v>162</v>
      </c>
      <c r="H197" s="4" t="s">
        <v>163</v>
      </c>
      <c r="I197" s="4"/>
      <c r="J197" s="4"/>
      <c r="K197" s="4">
        <v>209</v>
      </c>
      <c r="L197" s="4">
        <v>23</v>
      </c>
      <c r="M197" s="4">
        <v>3</v>
      </c>
      <c r="N197" s="4" t="s">
        <v>3</v>
      </c>
      <c r="O197" s="4">
        <v>2</v>
      </c>
      <c r="P197" s="4"/>
      <c r="Q197" s="4"/>
      <c r="R197" s="4"/>
      <c r="S197" s="4"/>
      <c r="T197" s="4"/>
      <c r="U197" s="4"/>
      <c r="V197" s="4"/>
      <c r="W197" s="4"/>
    </row>
    <row r="198" spans="1:245" x14ac:dyDescent="0.2">
      <c r="A198" s="4">
        <v>50</v>
      </c>
      <c r="B198" s="4">
        <v>0</v>
      </c>
      <c r="C198" s="4">
        <v>0</v>
      </c>
      <c r="D198" s="4">
        <v>1</v>
      </c>
      <c r="E198" s="4">
        <v>233</v>
      </c>
      <c r="F198" s="4">
        <f>ROUND(Source!BD173,O198)</f>
        <v>0</v>
      </c>
      <c r="G198" s="4" t="s">
        <v>164</v>
      </c>
      <c r="H198" s="4" t="s">
        <v>165</v>
      </c>
      <c r="I198" s="4"/>
      <c r="J198" s="4"/>
      <c r="K198" s="4">
        <v>233</v>
      </c>
      <c r="L198" s="4">
        <v>24</v>
      </c>
      <c r="M198" s="4">
        <v>3</v>
      </c>
      <c r="N198" s="4" t="s">
        <v>3</v>
      </c>
      <c r="O198" s="4">
        <v>2</v>
      </c>
      <c r="P198" s="4"/>
      <c r="Q198" s="4"/>
      <c r="R198" s="4"/>
      <c r="S198" s="4"/>
      <c r="T198" s="4"/>
      <c r="U198" s="4"/>
      <c r="V198" s="4"/>
      <c r="W198" s="4"/>
    </row>
    <row r="199" spans="1:245" x14ac:dyDescent="0.2">
      <c r="A199" s="4">
        <v>50</v>
      </c>
      <c r="B199" s="4">
        <v>0</v>
      </c>
      <c r="C199" s="4">
        <v>0</v>
      </c>
      <c r="D199" s="4">
        <v>1</v>
      </c>
      <c r="E199" s="4">
        <v>210</v>
      </c>
      <c r="F199" s="4">
        <f>ROUND(Source!X173,O199)</f>
        <v>28912.67</v>
      </c>
      <c r="G199" s="4" t="s">
        <v>166</v>
      </c>
      <c r="H199" s="4" t="s">
        <v>167</v>
      </c>
      <c r="I199" s="4"/>
      <c r="J199" s="4"/>
      <c r="K199" s="4">
        <v>210</v>
      </c>
      <c r="L199" s="4">
        <v>25</v>
      </c>
      <c r="M199" s="4">
        <v>3</v>
      </c>
      <c r="N199" s="4" t="s">
        <v>3</v>
      </c>
      <c r="O199" s="4">
        <v>2</v>
      </c>
      <c r="P199" s="4"/>
      <c r="Q199" s="4"/>
      <c r="R199" s="4"/>
      <c r="S199" s="4"/>
      <c r="T199" s="4"/>
      <c r="U199" s="4"/>
      <c r="V199" s="4"/>
      <c r="W199" s="4"/>
    </row>
    <row r="200" spans="1:245" x14ac:dyDescent="0.2">
      <c r="A200" s="4">
        <v>50</v>
      </c>
      <c r="B200" s="4">
        <v>0</v>
      </c>
      <c r="C200" s="4">
        <v>0</v>
      </c>
      <c r="D200" s="4">
        <v>1</v>
      </c>
      <c r="E200" s="4">
        <v>211</v>
      </c>
      <c r="F200" s="4">
        <f>ROUND(Source!Y173,O200)</f>
        <v>4130.38</v>
      </c>
      <c r="G200" s="4" t="s">
        <v>168</v>
      </c>
      <c r="H200" s="4" t="s">
        <v>169</v>
      </c>
      <c r="I200" s="4"/>
      <c r="J200" s="4"/>
      <c r="K200" s="4">
        <v>211</v>
      </c>
      <c r="L200" s="4">
        <v>26</v>
      </c>
      <c r="M200" s="4">
        <v>3</v>
      </c>
      <c r="N200" s="4" t="s">
        <v>3</v>
      </c>
      <c r="O200" s="4">
        <v>2</v>
      </c>
      <c r="P200" s="4"/>
      <c r="Q200" s="4"/>
      <c r="R200" s="4"/>
      <c r="S200" s="4"/>
      <c r="T200" s="4"/>
      <c r="U200" s="4"/>
      <c r="V200" s="4"/>
      <c r="W200" s="4"/>
    </row>
    <row r="201" spans="1:245" x14ac:dyDescent="0.2">
      <c r="A201" s="4">
        <v>50</v>
      </c>
      <c r="B201" s="4">
        <v>0</v>
      </c>
      <c r="C201" s="4">
        <v>0</v>
      </c>
      <c r="D201" s="4">
        <v>1</v>
      </c>
      <c r="E201" s="4">
        <v>224</v>
      </c>
      <c r="F201" s="4">
        <f>ROUND(Source!AR173,O201)</f>
        <v>355788.51</v>
      </c>
      <c r="G201" s="4" t="s">
        <v>170</v>
      </c>
      <c r="H201" s="4" t="s">
        <v>171</v>
      </c>
      <c r="I201" s="4"/>
      <c r="J201" s="4"/>
      <c r="K201" s="4">
        <v>224</v>
      </c>
      <c r="L201" s="4">
        <v>27</v>
      </c>
      <c r="M201" s="4">
        <v>3</v>
      </c>
      <c r="N201" s="4" t="s">
        <v>3</v>
      </c>
      <c r="O201" s="4">
        <v>2</v>
      </c>
      <c r="P201" s="4"/>
      <c r="Q201" s="4"/>
      <c r="R201" s="4"/>
      <c r="S201" s="4"/>
      <c r="T201" s="4"/>
      <c r="U201" s="4"/>
      <c r="V201" s="4"/>
      <c r="W201" s="4"/>
    </row>
    <row r="203" spans="1:245" x14ac:dyDescent="0.2">
      <c r="A203" s="1">
        <v>5</v>
      </c>
      <c r="B203" s="1">
        <v>1</v>
      </c>
      <c r="C203" s="1"/>
      <c r="D203" s="1">
        <f>ROW(A229)</f>
        <v>229</v>
      </c>
      <c r="E203" s="1"/>
      <c r="F203" s="1" t="s">
        <v>15</v>
      </c>
      <c r="G203" s="1" t="s">
        <v>233</v>
      </c>
      <c r="H203" s="1" t="s">
        <v>3</v>
      </c>
      <c r="I203" s="1">
        <v>0</v>
      </c>
      <c r="J203" s="1"/>
      <c r="K203" s="1">
        <v>0</v>
      </c>
      <c r="L203" s="1"/>
      <c r="M203" s="1"/>
      <c r="N203" s="1"/>
      <c r="O203" s="1"/>
      <c r="P203" s="1"/>
      <c r="Q203" s="1"/>
      <c r="R203" s="1"/>
      <c r="S203" s="1"/>
      <c r="T203" s="1"/>
      <c r="U203" s="1" t="s">
        <v>3</v>
      </c>
      <c r="V203" s="1">
        <v>0</v>
      </c>
      <c r="W203" s="1"/>
      <c r="X203" s="1"/>
      <c r="Y203" s="1"/>
      <c r="Z203" s="1"/>
      <c r="AA203" s="1"/>
      <c r="AB203" s="1" t="s">
        <v>3</v>
      </c>
      <c r="AC203" s="1" t="s">
        <v>3</v>
      </c>
      <c r="AD203" s="1" t="s">
        <v>3</v>
      </c>
      <c r="AE203" s="1" t="s">
        <v>3</v>
      </c>
      <c r="AF203" s="1" t="s">
        <v>3</v>
      </c>
      <c r="AG203" s="1" t="s">
        <v>3</v>
      </c>
      <c r="AH203" s="1"/>
      <c r="AI203" s="1"/>
      <c r="AJ203" s="1"/>
      <c r="AK203" s="1"/>
      <c r="AL203" s="1"/>
      <c r="AM203" s="1"/>
      <c r="AN203" s="1"/>
      <c r="AO203" s="1"/>
      <c r="AP203" s="1" t="s">
        <v>3</v>
      </c>
      <c r="AQ203" s="1" t="s">
        <v>3</v>
      </c>
      <c r="AR203" s="1" t="s">
        <v>3</v>
      </c>
      <c r="AS203" s="1"/>
      <c r="AT203" s="1"/>
      <c r="AU203" s="1"/>
      <c r="AV203" s="1"/>
      <c r="AW203" s="1"/>
      <c r="AX203" s="1"/>
      <c r="AY203" s="1"/>
      <c r="AZ203" s="1" t="s">
        <v>3</v>
      </c>
      <c r="BA203" s="1"/>
      <c r="BB203" s="1" t="s">
        <v>3</v>
      </c>
      <c r="BC203" s="1" t="s">
        <v>3</v>
      </c>
      <c r="BD203" s="1" t="s">
        <v>3</v>
      </c>
      <c r="BE203" s="1" t="s">
        <v>3</v>
      </c>
      <c r="BF203" s="1" t="s">
        <v>3</v>
      </c>
      <c r="BG203" s="1" t="s">
        <v>3</v>
      </c>
      <c r="BH203" s="1" t="s">
        <v>3</v>
      </c>
      <c r="BI203" s="1" t="s">
        <v>3</v>
      </c>
      <c r="BJ203" s="1" t="s">
        <v>3</v>
      </c>
      <c r="BK203" s="1" t="s">
        <v>3</v>
      </c>
      <c r="BL203" s="1" t="s">
        <v>3</v>
      </c>
      <c r="BM203" s="1" t="s">
        <v>3</v>
      </c>
      <c r="BN203" s="1" t="s">
        <v>3</v>
      </c>
      <c r="BO203" s="1" t="s">
        <v>3</v>
      </c>
      <c r="BP203" s="1" t="s">
        <v>3</v>
      </c>
      <c r="BQ203" s="1"/>
      <c r="BR203" s="1"/>
      <c r="BS203" s="1"/>
      <c r="BT203" s="1"/>
      <c r="BU203" s="1"/>
      <c r="BV203" s="1"/>
      <c r="BW203" s="1"/>
      <c r="BX203" s="1">
        <v>0</v>
      </c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>
        <v>0</v>
      </c>
    </row>
    <row r="205" spans="1:245" x14ac:dyDescent="0.2">
      <c r="A205" s="2">
        <v>52</v>
      </c>
      <c r="B205" s="2">
        <f t="shared" ref="B205:G205" si="168">B229</f>
        <v>1</v>
      </c>
      <c r="C205" s="2">
        <f t="shared" si="168"/>
        <v>5</v>
      </c>
      <c r="D205" s="2">
        <f t="shared" si="168"/>
        <v>203</v>
      </c>
      <c r="E205" s="2">
        <f t="shared" si="168"/>
        <v>0</v>
      </c>
      <c r="F205" s="2" t="str">
        <f t="shared" si="168"/>
        <v>Новый подраздел</v>
      </c>
      <c r="G205" s="2" t="str">
        <f t="shared" si="168"/>
        <v>Игровая площадка группы № 8</v>
      </c>
      <c r="H205" s="2"/>
      <c r="I205" s="2"/>
      <c r="J205" s="2"/>
      <c r="K205" s="2"/>
      <c r="L205" s="2"/>
      <c r="M205" s="2"/>
      <c r="N205" s="2"/>
      <c r="O205" s="2">
        <f t="shared" ref="O205:AT205" si="169">O229</f>
        <v>329277.17</v>
      </c>
      <c r="P205" s="2">
        <f t="shared" si="169"/>
        <v>284645.81</v>
      </c>
      <c r="Q205" s="2">
        <f t="shared" si="169"/>
        <v>7474.35</v>
      </c>
      <c r="R205" s="2">
        <f t="shared" si="169"/>
        <v>3975.33</v>
      </c>
      <c r="S205" s="2">
        <f t="shared" si="169"/>
        <v>37157.01</v>
      </c>
      <c r="T205" s="2">
        <f t="shared" si="169"/>
        <v>0</v>
      </c>
      <c r="U205" s="2">
        <f t="shared" si="169"/>
        <v>176.72290000000001</v>
      </c>
      <c r="V205" s="2">
        <f t="shared" si="169"/>
        <v>0</v>
      </c>
      <c r="W205" s="2">
        <f t="shared" si="169"/>
        <v>0</v>
      </c>
      <c r="X205" s="2">
        <f t="shared" si="169"/>
        <v>26009.91</v>
      </c>
      <c r="Y205" s="2">
        <f t="shared" si="169"/>
        <v>3715.71</v>
      </c>
      <c r="Z205" s="2">
        <f t="shared" si="169"/>
        <v>0</v>
      </c>
      <c r="AA205" s="2">
        <f t="shared" si="169"/>
        <v>0</v>
      </c>
      <c r="AB205" s="2">
        <f t="shared" si="169"/>
        <v>329277.17</v>
      </c>
      <c r="AC205" s="2">
        <f t="shared" si="169"/>
        <v>284645.81</v>
      </c>
      <c r="AD205" s="2">
        <f t="shared" si="169"/>
        <v>7474.35</v>
      </c>
      <c r="AE205" s="2">
        <f t="shared" si="169"/>
        <v>3975.33</v>
      </c>
      <c r="AF205" s="2">
        <f t="shared" si="169"/>
        <v>37157.01</v>
      </c>
      <c r="AG205" s="2">
        <f t="shared" si="169"/>
        <v>0</v>
      </c>
      <c r="AH205" s="2">
        <f t="shared" si="169"/>
        <v>176.72290000000001</v>
      </c>
      <c r="AI205" s="2">
        <f t="shared" si="169"/>
        <v>0</v>
      </c>
      <c r="AJ205" s="2">
        <f t="shared" si="169"/>
        <v>0</v>
      </c>
      <c r="AK205" s="2">
        <f t="shared" si="169"/>
        <v>26009.91</v>
      </c>
      <c r="AL205" s="2">
        <f t="shared" si="169"/>
        <v>3715.71</v>
      </c>
      <c r="AM205" s="2">
        <f t="shared" si="169"/>
        <v>0</v>
      </c>
      <c r="AN205" s="2">
        <f t="shared" si="169"/>
        <v>0</v>
      </c>
      <c r="AO205" s="2">
        <f t="shared" si="169"/>
        <v>0</v>
      </c>
      <c r="AP205" s="2">
        <f t="shared" si="169"/>
        <v>0</v>
      </c>
      <c r="AQ205" s="2">
        <f t="shared" si="169"/>
        <v>0</v>
      </c>
      <c r="AR205" s="2">
        <f t="shared" si="169"/>
        <v>363296.14</v>
      </c>
      <c r="AS205" s="2">
        <f t="shared" si="169"/>
        <v>0</v>
      </c>
      <c r="AT205" s="2">
        <f t="shared" si="169"/>
        <v>0</v>
      </c>
      <c r="AU205" s="2">
        <f t="shared" ref="AU205:BZ205" si="170">AU229</f>
        <v>363296.14</v>
      </c>
      <c r="AV205" s="2">
        <f t="shared" si="170"/>
        <v>284645.81</v>
      </c>
      <c r="AW205" s="2">
        <f t="shared" si="170"/>
        <v>284645.81</v>
      </c>
      <c r="AX205" s="2">
        <f t="shared" si="170"/>
        <v>0</v>
      </c>
      <c r="AY205" s="2">
        <f t="shared" si="170"/>
        <v>284645.81</v>
      </c>
      <c r="AZ205" s="2">
        <f t="shared" si="170"/>
        <v>0</v>
      </c>
      <c r="BA205" s="2">
        <f t="shared" si="170"/>
        <v>0</v>
      </c>
      <c r="BB205" s="2">
        <f t="shared" si="170"/>
        <v>0</v>
      </c>
      <c r="BC205" s="2">
        <f t="shared" si="170"/>
        <v>0</v>
      </c>
      <c r="BD205" s="2">
        <f t="shared" si="170"/>
        <v>0</v>
      </c>
      <c r="BE205" s="2">
        <f t="shared" si="170"/>
        <v>0</v>
      </c>
      <c r="BF205" s="2">
        <f t="shared" si="170"/>
        <v>0</v>
      </c>
      <c r="BG205" s="2">
        <f t="shared" si="170"/>
        <v>0</v>
      </c>
      <c r="BH205" s="2">
        <f t="shared" si="170"/>
        <v>0</v>
      </c>
      <c r="BI205" s="2">
        <f t="shared" si="170"/>
        <v>0</v>
      </c>
      <c r="BJ205" s="2">
        <f t="shared" si="170"/>
        <v>0</v>
      </c>
      <c r="BK205" s="2">
        <f t="shared" si="170"/>
        <v>0</v>
      </c>
      <c r="BL205" s="2">
        <f t="shared" si="170"/>
        <v>0</v>
      </c>
      <c r="BM205" s="2">
        <f t="shared" si="170"/>
        <v>0</v>
      </c>
      <c r="BN205" s="2">
        <f t="shared" si="170"/>
        <v>0</v>
      </c>
      <c r="BO205" s="2">
        <f t="shared" si="170"/>
        <v>0</v>
      </c>
      <c r="BP205" s="2">
        <f t="shared" si="170"/>
        <v>0</v>
      </c>
      <c r="BQ205" s="2">
        <f t="shared" si="170"/>
        <v>0</v>
      </c>
      <c r="BR205" s="2">
        <f t="shared" si="170"/>
        <v>0</v>
      </c>
      <c r="BS205" s="2">
        <f t="shared" si="170"/>
        <v>0</v>
      </c>
      <c r="BT205" s="2">
        <f t="shared" si="170"/>
        <v>0</v>
      </c>
      <c r="BU205" s="2">
        <f t="shared" si="170"/>
        <v>0</v>
      </c>
      <c r="BV205" s="2">
        <f t="shared" si="170"/>
        <v>0</v>
      </c>
      <c r="BW205" s="2">
        <f t="shared" si="170"/>
        <v>0</v>
      </c>
      <c r="BX205" s="2">
        <f t="shared" si="170"/>
        <v>0</v>
      </c>
      <c r="BY205" s="2">
        <f t="shared" si="170"/>
        <v>0</v>
      </c>
      <c r="BZ205" s="2">
        <f t="shared" si="170"/>
        <v>0</v>
      </c>
      <c r="CA205" s="2">
        <f t="shared" ref="CA205:DF205" si="171">CA229</f>
        <v>363296.14</v>
      </c>
      <c r="CB205" s="2">
        <f t="shared" si="171"/>
        <v>0</v>
      </c>
      <c r="CC205" s="2">
        <f t="shared" si="171"/>
        <v>0</v>
      </c>
      <c r="CD205" s="2">
        <f t="shared" si="171"/>
        <v>363296.14</v>
      </c>
      <c r="CE205" s="2">
        <f t="shared" si="171"/>
        <v>284645.81</v>
      </c>
      <c r="CF205" s="2">
        <f t="shared" si="171"/>
        <v>284645.81</v>
      </c>
      <c r="CG205" s="2">
        <f t="shared" si="171"/>
        <v>0</v>
      </c>
      <c r="CH205" s="2">
        <f t="shared" si="171"/>
        <v>284645.81</v>
      </c>
      <c r="CI205" s="2">
        <f t="shared" si="171"/>
        <v>0</v>
      </c>
      <c r="CJ205" s="2">
        <f t="shared" si="171"/>
        <v>0</v>
      </c>
      <c r="CK205" s="2">
        <f t="shared" si="171"/>
        <v>0</v>
      </c>
      <c r="CL205" s="2">
        <f t="shared" si="171"/>
        <v>0</v>
      </c>
      <c r="CM205" s="2">
        <f t="shared" si="171"/>
        <v>0</v>
      </c>
      <c r="CN205" s="2">
        <f t="shared" si="171"/>
        <v>0</v>
      </c>
      <c r="CO205" s="2">
        <f t="shared" si="171"/>
        <v>0</v>
      </c>
      <c r="CP205" s="2">
        <f t="shared" si="171"/>
        <v>0</v>
      </c>
      <c r="CQ205" s="2">
        <f t="shared" si="171"/>
        <v>0</v>
      </c>
      <c r="CR205" s="2">
        <f t="shared" si="171"/>
        <v>0</v>
      </c>
      <c r="CS205" s="2">
        <f t="shared" si="171"/>
        <v>0</v>
      </c>
      <c r="CT205" s="2">
        <f t="shared" si="171"/>
        <v>0</v>
      </c>
      <c r="CU205" s="2">
        <f t="shared" si="171"/>
        <v>0</v>
      </c>
      <c r="CV205" s="2">
        <f t="shared" si="171"/>
        <v>0</v>
      </c>
      <c r="CW205" s="2">
        <f t="shared" si="171"/>
        <v>0</v>
      </c>
      <c r="CX205" s="2">
        <f t="shared" si="171"/>
        <v>0</v>
      </c>
      <c r="CY205" s="2">
        <f t="shared" si="171"/>
        <v>0</v>
      </c>
      <c r="CZ205" s="2">
        <f t="shared" si="171"/>
        <v>0</v>
      </c>
      <c r="DA205" s="2">
        <f t="shared" si="171"/>
        <v>0</v>
      </c>
      <c r="DB205" s="2">
        <f t="shared" si="171"/>
        <v>0</v>
      </c>
      <c r="DC205" s="2">
        <f t="shared" si="171"/>
        <v>0</v>
      </c>
      <c r="DD205" s="2">
        <f t="shared" si="171"/>
        <v>0</v>
      </c>
      <c r="DE205" s="2">
        <f t="shared" si="171"/>
        <v>0</v>
      </c>
      <c r="DF205" s="2">
        <f t="shared" si="171"/>
        <v>0</v>
      </c>
      <c r="DG205" s="3">
        <f t="shared" ref="DG205:EL205" si="172">DG229</f>
        <v>0</v>
      </c>
      <c r="DH205" s="3">
        <f t="shared" si="172"/>
        <v>0</v>
      </c>
      <c r="DI205" s="3">
        <f t="shared" si="172"/>
        <v>0</v>
      </c>
      <c r="DJ205" s="3">
        <f t="shared" si="172"/>
        <v>0</v>
      </c>
      <c r="DK205" s="3">
        <f t="shared" si="172"/>
        <v>0</v>
      </c>
      <c r="DL205" s="3">
        <f t="shared" si="172"/>
        <v>0</v>
      </c>
      <c r="DM205" s="3">
        <f t="shared" si="172"/>
        <v>0</v>
      </c>
      <c r="DN205" s="3">
        <f t="shared" si="172"/>
        <v>0</v>
      </c>
      <c r="DO205" s="3">
        <f t="shared" si="172"/>
        <v>0</v>
      </c>
      <c r="DP205" s="3">
        <f t="shared" si="172"/>
        <v>0</v>
      </c>
      <c r="DQ205" s="3">
        <f t="shared" si="172"/>
        <v>0</v>
      </c>
      <c r="DR205" s="3">
        <f t="shared" si="172"/>
        <v>0</v>
      </c>
      <c r="DS205" s="3">
        <f t="shared" si="172"/>
        <v>0</v>
      </c>
      <c r="DT205" s="3">
        <f t="shared" si="172"/>
        <v>0</v>
      </c>
      <c r="DU205" s="3">
        <f t="shared" si="172"/>
        <v>0</v>
      </c>
      <c r="DV205" s="3">
        <f t="shared" si="172"/>
        <v>0</v>
      </c>
      <c r="DW205" s="3">
        <f t="shared" si="172"/>
        <v>0</v>
      </c>
      <c r="DX205" s="3">
        <f t="shared" si="172"/>
        <v>0</v>
      </c>
      <c r="DY205" s="3">
        <f t="shared" si="172"/>
        <v>0</v>
      </c>
      <c r="DZ205" s="3">
        <f t="shared" si="172"/>
        <v>0</v>
      </c>
      <c r="EA205" s="3">
        <f t="shared" si="172"/>
        <v>0</v>
      </c>
      <c r="EB205" s="3">
        <f t="shared" si="172"/>
        <v>0</v>
      </c>
      <c r="EC205" s="3">
        <f t="shared" si="172"/>
        <v>0</v>
      </c>
      <c r="ED205" s="3">
        <f t="shared" si="172"/>
        <v>0</v>
      </c>
      <c r="EE205" s="3">
        <f t="shared" si="172"/>
        <v>0</v>
      </c>
      <c r="EF205" s="3">
        <f t="shared" si="172"/>
        <v>0</v>
      </c>
      <c r="EG205" s="3">
        <f t="shared" si="172"/>
        <v>0</v>
      </c>
      <c r="EH205" s="3">
        <f t="shared" si="172"/>
        <v>0</v>
      </c>
      <c r="EI205" s="3">
        <f t="shared" si="172"/>
        <v>0</v>
      </c>
      <c r="EJ205" s="3">
        <f t="shared" si="172"/>
        <v>0</v>
      </c>
      <c r="EK205" s="3">
        <f t="shared" si="172"/>
        <v>0</v>
      </c>
      <c r="EL205" s="3">
        <f t="shared" si="172"/>
        <v>0</v>
      </c>
      <c r="EM205" s="3">
        <f t="shared" ref="EM205:FR205" si="173">EM229</f>
        <v>0</v>
      </c>
      <c r="EN205" s="3">
        <f t="shared" si="173"/>
        <v>0</v>
      </c>
      <c r="EO205" s="3">
        <f t="shared" si="173"/>
        <v>0</v>
      </c>
      <c r="EP205" s="3">
        <f t="shared" si="173"/>
        <v>0</v>
      </c>
      <c r="EQ205" s="3">
        <f t="shared" si="173"/>
        <v>0</v>
      </c>
      <c r="ER205" s="3">
        <f t="shared" si="173"/>
        <v>0</v>
      </c>
      <c r="ES205" s="3">
        <f t="shared" si="173"/>
        <v>0</v>
      </c>
      <c r="ET205" s="3">
        <f t="shared" si="173"/>
        <v>0</v>
      </c>
      <c r="EU205" s="3">
        <f t="shared" si="173"/>
        <v>0</v>
      </c>
      <c r="EV205" s="3">
        <f t="shared" si="173"/>
        <v>0</v>
      </c>
      <c r="EW205" s="3">
        <f t="shared" si="173"/>
        <v>0</v>
      </c>
      <c r="EX205" s="3">
        <f t="shared" si="173"/>
        <v>0</v>
      </c>
      <c r="EY205" s="3">
        <f t="shared" si="173"/>
        <v>0</v>
      </c>
      <c r="EZ205" s="3">
        <f t="shared" si="173"/>
        <v>0</v>
      </c>
      <c r="FA205" s="3">
        <f t="shared" si="173"/>
        <v>0</v>
      </c>
      <c r="FB205" s="3">
        <f t="shared" si="173"/>
        <v>0</v>
      </c>
      <c r="FC205" s="3">
        <f t="shared" si="173"/>
        <v>0</v>
      </c>
      <c r="FD205" s="3">
        <f t="shared" si="173"/>
        <v>0</v>
      </c>
      <c r="FE205" s="3">
        <f t="shared" si="173"/>
        <v>0</v>
      </c>
      <c r="FF205" s="3">
        <f t="shared" si="173"/>
        <v>0</v>
      </c>
      <c r="FG205" s="3">
        <f t="shared" si="173"/>
        <v>0</v>
      </c>
      <c r="FH205" s="3">
        <f t="shared" si="173"/>
        <v>0</v>
      </c>
      <c r="FI205" s="3">
        <f t="shared" si="173"/>
        <v>0</v>
      </c>
      <c r="FJ205" s="3">
        <f t="shared" si="173"/>
        <v>0</v>
      </c>
      <c r="FK205" s="3">
        <f t="shared" si="173"/>
        <v>0</v>
      </c>
      <c r="FL205" s="3">
        <f t="shared" si="173"/>
        <v>0</v>
      </c>
      <c r="FM205" s="3">
        <f t="shared" si="173"/>
        <v>0</v>
      </c>
      <c r="FN205" s="3">
        <f t="shared" si="173"/>
        <v>0</v>
      </c>
      <c r="FO205" s="3">
        <f t="shared" si="173"/>
        <v>0</v>
      </c>
      <c r="FP205" s="3">
        <f t="shared" si="173"/>
        <v>0</v>
      </c>
      <c r="FQ205" s="3">
        <f t="shared" si="173"/>
        <v>0</v>
      </c>
      <c r="FR205" s="3">
        <f t="shared" si="173"/>
        <v>0</v>
      </c>
      <c r="FS205" s="3">
        <f t="shared" ref="FS205:GX205" si="174">FS229</f>
        <v>0</v>
      </c>
      <c r="FT205" s="3">
        <f t="shared" si="174"/>
        <v>0</v>
      </c>
      <c r="FU205" s="3">
        <f t="shared" si="174"/>
        <v>0</v>
      </c>
      <c r="FV205" s="3">
        <f t="shared" si="174"/>
        <v>0</v>
      </c>
      <c r="FW205" s="3">
        <f t="shared" si="174"/>
        <v>0</v>
      </c>
      <c r="FX205" s="3">
        <f t="shared" si="174"/>
        <v>0</v>
      </c>
      <c r="FY205" s="3">
        <f t="shared" si="174"/>
        <v>0</v>
      </c>
      <c r="FZ205" s="3">
        <f t="shared" si="174"/>
        <v>0</v>
      </c>
      <c r="GA205" s="3">
        <f t="shared" si="174"/>
        <v>0</v>
      </c>
      <c r="GB205" s="3">
        <f t="shared" si="174"/>
        <v>0</v>
      </c>
      <c r="GC205" s="3">
        <f t="shared" si="174"/>
        <v>0</v>
      </c>
      <c r="GD205" s="3">
        <f t="shared" si="174"/>
        <v>0</v>
      </c>
      <c r="GE205" s="3">
        <f t="shared" si="174"/>
        <v>0</v>
      </c>
      <c r="GF205" s="3">
        <f t="shared" si="174"/>
        <v>0</v>
      </c>
      <c r="GG205" s="3">
        <f t="shared" si="174"/>
        <v>0</v>
      </c>
      <c r="GH205" s="3">
        <f t="shared" si="174"/>
        <v>0</v>
      </c>
      <c r="GI205" s="3">
        <f t="shared" si="174"/>
        <v>0</v>
      </c>
      <c r="GJ205" s="3">
        <f t="shared" si="174"/>
        <v>0</v>
      </c>
      <c r="GK205" s="3">
        <f t="shared" si="174"/>
        <v>0</v>
      </c>
      <c r="GL205" s="3">
        <f t="shared" si="174"/>
        <v>0</v>
      </c>
      <c r="GM205" s="3">
        <f t="shared" si="174"/>
        <v>0</v>
      </c>
      <c r="GN205" s="3">
        <f t="shared" si="174"/>
        <v>0</v>
      </c>
      <c r="GO205" s="3">
        <f t="shared" si="174"/>
        <v>0</v>
      </c>
      <c r="GP205" s="3">
        <f t="shared" si="174"/>
        <v>0</v>
      </c>
      <c r="GQ205" s="3">
        <f t="shared" si="174"/>
        <v>0</v>
      </c>
      <c r="GR205" s="3">
        <f t="shared" si="174"/>
        <v>0</v>
      </c>
      <c r="GS205" s="3">
        <f t="shared" si="174"/>
        <v>0</v>
      </c>
      <c r="GT205" s="3">
        <f t="shared" si="174"/>
        <v>0</v>
      </c>
      <c r="GU205" s="3">
        <f t="shared" si="174"/>
        <v>0</v>
      </c>
      <c r="GV205" s="3">
        <f t="shared" si="174"/>
        <v>0</v>
      </c>
      <c r="GW205" s="3">
        <f t="shared" si="174"/>
        <v>0</v>
      </c>
      <c r="GX205" s="3">
        <f t="shared" si="174"/>
        <v>0</v>
      </c>
    </row>
    <row r="207" spans="1:245" x14ac:dyDescent="0.2">
      <c r="A207">
        <v>17</v>
      </c>
      <c r="B207">
        <v>1</v>
      </c>
      <c r="C207">
        <f>ROW(SmtRes!A187)</f>
        <v>187</v>
      </c>
      <c r="D207">
        <f>ROW(EtalonRes!A178)</f>
        <v>178</v>
      </c>
      <c r="E207" t="s">
        <v>234</v>
      </c>
      <c r="F207" t="s">
        <v>26</v>
      </c>
      <c r="G207" t="s">
        <v>27</v>
      </c>
      <c r="H207" t="s">
        <v>28</v>
      </c>
      <c r="I207">
        <v>25.2</v>
      </c>
      <c r="J207">
        <v>0</v>
      </c>
      <c r="O207">
        <f t="shared" ref="O207:O227" si="175">ROUND(CP207,2)</f>
        <v>12976.74</v>
      </c>
      <c r="P207">
        <f t="shared" ref="P207:P227" si="176">ROUND(CQ207*I207,2)</f>
        <v>0</v>
      </c>
      <c r="Q207">
        <f t="shared" ref="Q207:Q227" si="177">ROUND(CR207*I207,2)</f>
        <v>0</v>
      </c>
      <c r="R207">
        <f t="shared" ref="R207:R227" si="178">ROUND(CS207*I207,2)</f>
        <v>0</v>
      </c>
      <c r="S207">
        <f t="shared" ref="S207:S227" si="179">ROUND(CT207*I207,2)</f>
        <v>12976.74</v>
      </c>
      <c r="T207">
        <f t="shared" ref="T207:T227" si="180">ROUND(CU207*I207,2)</f>
        <v>0</v>
      </c>
      <c r="U207">
        <f t="shared" ref="U207:U227" si="181">CV207*I207</f>
        <v>67.031999999999996</v>
      </c>
      <c r="V207">
        <f t="shared" ref="V207:V227" si="182">CW207*I207</f>
        <v>0</v>
      </c>
      <c r="W207">
        <f t="shared" ref="W207:W227" si="183">ROUND(CX207*I207,2)</f>
        <v>0</v>
      </c>
      <c r="X207">
        <f t="shared" ref="X207:X227" si="184">ROUND(CY207,2)</f>
        <v>9083.7199999999993</v>
      </c>
      <c r="Y207">
        <f t="shared" ref="Y207:Y227" si="185">ROUND(CZ207,2)</f>
        <v>1297.67</v>
      </c>
      <c r="AA207">
        <v>52430918</v>
      </c>
      <c r="AB207">
        <f t="shared" ref="AB207:AB227" si="186">ROUND((AC207+AD207+AF207),6)</f>
        <v>514.95000000000005</v>
      </c>
      <c r="AC207">
        <f t="shared" ref="AC207:AC227" si="187">ROUND((ES207),6)</f>
        <v>0</v>
      </c>
      <c r="AD207">
        <f t="shared" ref="AD207:AD227" si="188">ROUND((((ET207)-(EU207))+AE207),6)</f>
        <v>0</v>
      </c>
      <c r="AE207">
        <f t="shared" ref="AE207:AE227" si="189">ROUND((EU207),6)</f>
        <v>0</v>
      </c>
      <c r="AF207">
        <f t="shared" ref="AF207:AF227" si="190">ROUND((EV207),6)</f>
        <v>514.95000000000005</v>
      </c>
      <c r="AG207">
        <f t="shared" ref="AG207:AG227" si="191">ROUND((AP207),6)</f>
        <v>0</v>
      </c>
      <c r="AH207">
        <f t="shared" ref="AH207:AH227" si="192">(EW207)</f>
        <v>2.66</v>
      </c>
      <c r="AI207">
        <f t="shared" ref="AI207:AI227" si="193">(EX207)</f>
        <v>0</v>
      </c>
      <c r="AJ207">
        <f t="shared" ref="AJ207:AJ227" si="194">(AS207)</f>
        <v>0</v>
      </c>
      <c r="AK207">
        <v>514.95000000000005</v>
      </c>
      <c r="AL207">
        <v>0</v>
      </c>
      <c r="AM207">
        <v>0</v>
      </c>
      <c r="AN207">
        <v>0</v>
      </c>
      <c r="AO207">
        <v>514.95000000000005</v>
      </c>
      <c r="AP207">
        <v>0</v>
      </c>
      <c r="AQ207">
        <v>2.66</v>
      </c>
      <c r="AR207">
        <v>0</v>
      </c>
      <c r="AS207">
        <v>0</v>
      </c>
      <c r="AT207">
        <v>70</v>
      </c>
      <c r="AU207">
        <v>10</v>
      </c>
      <c r="AV207">
        <v>1</v>
      </c>
      <c r="AW207">
        <v>1</v>
      </c>
      <c r="AZ207">
        <v>1</v>
      </c>
      <c r="BA207">
        <v>1</v>
      </c>
      <c r="BB207">
        <v>1</v>
      </c>
      <c r="BC207">
        <v>1</v>
      </c>
      <c r="BD207" t="s">
        <v>3</v>
      </c>
      <c r="BE207" t="s">
        <v>3</v>
      </c>
      <c r="BF207" t="s">
        <v>3</v>
      </c>
      <c r="BG207" t="s">
        <v>3</v>
      </c>
      <c r="BH207">
        <v>0</v>
      </c>
      <c r="BI207">
        <v>4</v>
      </c>
      <c r="BJ207" t="s">
        <v>29</v>
      </c>
      <c r="BM207">
        <v>0</v>
      </c>
      <c r="BN207">
        <v>0</v>
      </c>
      <c r="BO207" t="s">
        <v>3</v>
      </c>
      <c r="BP207">
        <v>0</v>
      </c>
      <c r="BQ207">
        <v>1</v>
      </c>
      <c r="BR207">
        <v>0</v>
      </c>
      <c r="BS207">
        <v>1</v>
      </c>
      <c r="BT207">
        <v>1</v>
      </c>
      <c r="BU207">
        <v>1</v>
      </c>
      <c r="BV207">
        <v>1</v>
      </c>
      <c r="BW207">
        <v>1</v>
      </c>
      <c r="BX207">
        <v>1</v>
      </c>
      <c r="BY207" t="s">
        <v>3</v>
      </c>
      <c r="BZ207">
        <v>70</v>
      </c>
      <c r="CA207">
        <v>10</v>
      </c>
      <c r="CE207">
        <v>0</v>
      </c>
      <c r="CF207">
        <v>0</v>
      </c>
      <c r="CG207">
        <v>0</v>
      </c>
      <c r="CM207">
        <v>0</v>
      </c>
      <c r="CN207" t="s">
        <v>3</v>
      </c>
      <c r="CO207">
        <v>0</v>
      </c>
      <c r="CP207">
        <f t="shared" ref="CP207:CP227" si="195">(P207+Q207+S207)</f>
        <v>12976.74</v>
      </c>
      <c r="CQ207">
        <f t="shared" ref="CQ207:CQ227" si="196">(AC207*BC207*AW207)</f>
        <v>0</v>
      </c>
      <c r="CR207">
        <f t="shared" ref="CR207:CR227" si="197">((((ET207)*BB207-(EU207)*BS207)+AE207*BS207)*AV207)</f>
        <v>0</v>
      </c>
      <c r="CS207">
        <f t="shared" ref="CS207:CS227" si="198">(AE207*BS207*AV207)</f>
        <v>0</v>
      </c>
      <c r="CT207">
        <f t="shared" ref="CT207:CT227" si="199">(AF207*BA207*AV207)</f>
        <v>514.95000000000005</v>
      </c>
      <c r="CU207">
        <f t="shared" ref="CU207:CU227" si="200">AG207</f>
        <v>0</v>
      </c>
      <c r="CV207">
        <f t="shared" ref="CV207:CV227" si="201">(AH207*AV207)</f>
        <v>2.66</v>
      </c>
      <c r="CW207">
        <f t="shared" ref="CW207:CW227" si="202">AI207</f>
        <v>0</v>
      </c>
      <c r="CX207">
        <f t="shared" ref="CX207:CX227" si="203">AJ207</f>
        <v>0</v>
      </c>
      <c r="CY207">
        <f t="shared" ref="CY207:CY227" si="204">((S207*BZ207)/100)</f>
        <v>9083.7179999999989</v>
      </c>
      <c r="CZ207">
        <f t="shared" ref="CZ207:CZ227" si="205">((S207*CA207)/100)</f>
        <v>1297.674</v>
      </c>
      <c r="DC207" t="s">
        <v>3</v>
      </c>
      <c r="DD207" t="s">
        <v>3</v>
      </c>
      <c r="DE207" t="s">
        <v>3</v>
      </c>
      <c r="DF207" t="s">
        <v>3</v>
      </c>
      <c r="DG207" t="s">
        <v>3</v>
      </c>
      <c r="DH207" t="s">
        <v>3</v>
      </c>
      <c r="DI207" t="s">
        <v>3</v>
      </c>
      <c r="DJ207" t="s">
        <v>3</v>
      </c>
      <c r="DK207" t="s">
        <v>3</v>
      </c>
      <c r="DL207" t="s">
        <v>3</v>
      </c>
      <c r="DM207" t="s">
        <v>3</v>
      </c>
      <c r="DN207">
        <v>0</v>
      </c>
      <c r="DO207">
        <v>0</v>
      </c>
      <c r="DP207">
        <v>1</v>
      </c>
      <c r="DQ207">
        <v>1</v>
      </c>
      <c r="DU207">
        <v>1007</v>
      </c>
      <c r="DV207" t="s">
        <v>28</v>
      </c>
      <c r="DW207" t="s">
        <v>28</v>
      </c>
      <c r="DX207">
        <v>1</v>
      </c>
      <c r="EE207">
        <v>52362078</v>
      </c>
      <c r="EF207">
        <v>1</v>
      </c>
      <c r="EG207" t="s">
        <v>22</v>
      </c>
      <c r="EH207">
        <v>0</v>
      </c>
      <c r="EI207" t="s">
        <v>3</v>
      </c>
      <c r="EJ207">
        <v>4</v>
      </c>
      <c r="EK207">
        <v>0</v>
      </c>
      <c r="EL207" t="s">
        <v>23</v>
      </c>
      <c r="EM207" t="s">
        <v>24</v>
      </c>
      <c r="EO207" t="s">
        <v>3</v>
      </c>
      <c r="EQ207">
        <v>131072</v>
      </c>
      <c r="ER207">
        <v>514.95000000000005</v>
      </c>
      <c r="ES207">
        <v>0</v>
      </c>
      <c r="ET207">
        <v>0</v>
      </c>
      <c r="EU207">
        <v>0</v>
      </c>
      <c r="EV207">
        <v>514.95000000000005</v>
      </c>
      <c r="EW207">
        <v>2.66</v>
      </c>
      <c r="EX207">
        <v>0</v>
      </c>
      <c r="EY207">
        <v>0</v>
      </c>
      <c r="FQ207">
        <v>0</v>
      </c>
      <c r="FR207">
        <f t="shared" ref="FR207:FR227" si="206">ROUND(IF(AND(BH207=3,BI207=3),P207,0),2)</f>
        <v>0</v>
      </c>
      <c r="FS207">
        <v>0</v>
      </c>
      <c r="FX207">
        <v>70</v>
      </c>
      <c r="FY207">
        <v>10</v>
      </c>
      <c r="GA207" t="s">
        <v>3</v>
      </c>
      <c r="GD207">
        <v>0</v>
      </c>
      <c r="GF207">
        <v>-559256742</v>
      </c>
      <c r="GG207">
        <v>2</v>
      </c>
      <c r="GH207">
        <v>1</v>
      </c>
      <c r="GI207">
        <v>-2</v>
      </c>
      <c r="GJ207">
        <v>0</v>
      </c>
      <c r="GK207">
        <f>ROUND(R207*(R12)/100,2)</f>
        <v>0</v>
      </c>
      <c r="GL207">
        <f t="shared" ref="GL207:GL227" si="207">ROUND(IF(AND(BH207=3,BI207=3,FS207&lt;&gt;0),P207,0),2)</f>
        <v>0</v>
      </c>
      <c r="GM207">
        <f t="shared" ref="GM207:GM227" si="208">ROUND(O207+X207+Y207+GK207,2)+GX207</f>
        <v>23358.13</v>
      </c>
      <c r="GN207">
        <f t="shared" ref="GN207:GN227" si="209">IF(OR(BI207=0,BI207=1),ROUND(O207+X207+Y207+GK207,2),0)</f>
        <v>0</v>
      </c>
      <c r="GO207">
        <f t="shared" ref="GO207:GO227" si="210">IF(BI207=2,ROUND(O207+X207+Y207+GK207,2),0)</f>
        <v>0</v>
      </c>
      <c r="GP207">
        <f t="shared" ref="GP207:GP227" si="211">IF(BI207=4,ROUND(O207+X207+Y207+GK207,2)+GX207,0)</f>
        <v>23358.13</v>
      </c>
      <c r="GR207">
        <v>0</v>
      </c>
      <c r="GS207">
        <v>3</v>
      </c>
      <c r="GT207">
        <v>0</v>
      </c>
      <c r="GU207" t="s">
        <v>3</v>
      </c>
      <c r="GV207">
        <f t="shared" ref="GV207:GV227" si="212">ROUND((GT207),6)</f>
        <v>0</v>
      </c>
      <c r="GW207">
        <v>1</v>
      </c>
      <c r="GX207">
        <f t="shared" ref="GX207:GX227" si="213">ROUND(HC207*I207,2)</f>
        <v>0</v>
      </c>
      <c r="HA207">
        <v>0</v>
      </c>
      <c r="HB207">
        <v>0</v>
      </c>
      <c r="HC207">
        <f t="shared" ref="HC207:HC227" si="214">GV207*GW207</f>
        <v>0</v>
      </c>
      <c r="HE207" t="s">
        <v>3</v>
      </c>
      <c r="HF207" t="s">
        <v>3</v>
      </c>
      <c r="IK207">
        <v>0</v>
      </c>
    </row>
    <row r="208" spans="1:245" x14ac:dyDescent="0.2">
      <c r="A208">
        <v>17</v>
      </c>
      <c r="B208">
        <v>1</v>
      </c>
      <c r="C208">
        <f>ROW(SmtRes!A195)</f>
        <v>195</v>
      </c>
      <c r="D208">
        <f>ROW(EtalonRes!A186)</f>
        <v>186</v>
      </c>
      <c r="E208" t="s">
        <v>235</v>
      </c>
      <c r="F208" t="s">
        <v>31</v>
      </c>
      <c r="G208" t="s">
        <v>180</v>
      </c>
      <c r="H208" t="s">
        <v>33</v>
      </c>
      <c r="I208">
        <f>ROUND(9/100,9)</f>
        <v>0.09</v>
      </c>
      <c r="J208">
        <v>0</v>
      </c>
      <c r="O208">
        <f t="shared" si="175"/>
        <v>6827.74</v>
      </c>
      <c r="P208">
        <f t="shared" si="176"/>
        <v>5864.58</v>
      </c>
      <c r="Q208">
        <f t="shared" si="177"/>
        <v>684.2</v>
      </c>
      <c r="R208">
        <f t="shared" si="178"/>
        <v>290.07</v>
      </c>
      <c r="S208">
        <f t="shared" si="179"/>
        <v>278.95999999999998</v>
      </c>
      <c r="T208">
        <f t="shared" si="180"/>
        <v>0</v>
      </c>
      <c r="U208">
        <f t="shared" si="181"/>
        <v>1.4903999999999997</v>
      </c>
      <c r="V208">
        <f t="shared" si="182"/>
        <v>0</v>
      </c>
      <c r="W208">
        <f t="shared" si="183"/>
        <v>0</v>
      </c>
      <c r="X208">
        <f t="shared" si="184"/>
        <v>195.27</v>
      </c>
      <c r="Y208">
        <f t="shared" si="185"/>
        <v>27.9</v>
      </c>
      <c r="AA208">
        <v>52430918</v>
      </c>
      <c r="AB208">
        <f t="shared" si="186"/>
        <v>75863.820000000007</v>
      </c>
      <c r="AC208">
        <f t="shared" si="187"/>
        <v>65162.05</v>
      </c>
      <c r="AD208">
        <f t="shared" si="188"/>
        <v>7602.23</v>
      </c>
      <c r="AE208">
        <f t="shared" si="189"/>
        <v>3222.98</v>
      </c>
      <c r="AF208">
        <f t="shared" si="190"/>
        <v>3099.54</v>
      </c>
      <c r="AG208">
        <f t="shared" si="191"/>
        <v>0</v>
      </c>
      <c r="AH208">
        <f t="shared" si="192"/>
        <v>16.559999999999999</v>
      </c>
      <c r="AI208">
        <f t="shared" si="193"/>
        <v>0</v>
      </c>
      <c r="AJ208">
        <f t="shared" si="194"/>
        <v>0</v>
      </c>
      <c r="AK208">
        <v>75863.820000000007</v>
      </c>
      <c r="AL208">
        <v>65162.05</v>
      </c>
      <c r="AM208">
        <v>7602.23</v>
      </c>
      <c r="AN208">
        <v>3222.98</v>
      </c>
      <c r="AO208">
        <v>3099.54</v>
      </c>
      <c r="AP208">
        <v>0</v>
      </c>
      <c r="AQ208">
        <v>16.559999999999999</v>
      </c>
      <c r="AR208">
        <v>0</v>
      </c>
      <c r="AS208">
        <v>0</v>
      </c>
      <c r="AT208">
        <v>70</v>
      </c>
      <c r="AU208">
        <v>10</v>
      </c>
      <c r="AV208">
        <v>1</v>
      </c>
      <c r="AW208">
        <v>1</v>
      </c>
      <c r="AZ208">
        <v>1</v>
      </c>
      <c r="BA208">
        <v>1</v>
      </c>
      <c r="BB208">
        <v>1</v>
      </c>
      <c r="BC208">
        <v>1</v>
      </c>
      <c r="BD208" t="s">
        <v>3</v>
      </c>
      <c r="BE208" t="s">
        <v>3</v>
      </c>
      <c r="BF208" t="s">
        <v>3</v>
      </c>
      <c r="BG208" t="s">
        <v>3</v>
      </c>
      <c r="BH208">
        <v>0</v>
      </c>
      <c r="BI208">
        <v>4</v>
      </c>
      <c r="BJ208" t="s">
        <v>34</v>
      </c>
      <c r="BM208">
        <v>0</v>
      </c>
      <c r="BN208">
        <v>0</v>
      </c>
      <c r="BO208" t="s">
        <v>3</v>
      </c>
      <c r="BP208">
        <v>0</v>
      </c>
      <c r="BQ208">
        <v>1</v>
      </c>
      <c r="BR208">
        <v>0</v>
      </c>
      <c r="BS208">
        <v>1</v>
      </c>
      <c r="BT208">
        <v>1</v>
      </c>
      <c r="BU208">
        <v>1</v>
      </c>
      <c r="BV208">
        <v>1</v>
      </c>
      <c r="BW208">
        <v>1</v>
      </c>
      <c r="BX208">
        <v>1</v>
      </c>
      <c r="BY208" t="s">
        <v>3</v>
      </c>
      <c r="BZ208">
        <v>70</v>
      </c>
      <c r="CA208">
        <v>10</v>
      </c>
      <c r="CE208">
        <v>0</v>
      </c>
      <c r="CF208">
        <v>0</v>
      </c>
      <c r="CG208">
        <v>0</v>
      </c>
      <c r="CM208">
        <v>0</v>
      </c>
      <c r="CN208" t="s">
        <v>3</v>
      </c>
      <c r="CO208">
        <v>0</v>
      </c>
      <c r="CP208">
        <f t="shared" si="195"/>
        <v>6827.74</v>
      </c>
      <c r="CQ208">
        <f t="shared" si="196"/>
        <v>65162.05</v>
      </c>
      <c r="CR208">
        <f t="shared" si="197"/>
        <v>7602.23</v>
      </c>
      <c r="CS208">
        <f t="shared" si="198"/>
        <v>3222.98</v>
      </c>
      <c r="CT208">
        <f t="shared" si="199"/>
        <v>3099.54</v>
      </c>
      <c r="CU208">
        <f t="shared" si="200"/>
        <v>0</v>
      </c>
      <c r="CV208">
        <f t="shared" si="201"/>
        <v>16.559999999999999</v>
      </c>
      <c r="CW208">
        <f t="shared" si="202"/>
        <v>0</v>
      </c>
      <c r="CX208">
        <f t="shared" si="203"/>
        <v>0</v>
      </c>
      <c r="CY208">
        <f t="shared" si="204"/>
        <v>195.27199999999996</v>
      </c>
      <c r="CZ208">
        <f t="shared" si="205"/>
        <v>27.896000000000001</v>
      </c>
      <c r="DC208" t="s">
        <v>3</v>
      </c>
      <c r="DD208" t="s">
        <v>3</v>
      </c>
      <c r="DE208" t="s">
        <v>3</v>
      </c>
      <c r="DF208" t="s">
        <v>3</v>
      </c>
      <c r="DG208" t="s">
        <v>3</v>
      </c>
      <c r="DH208" t="s">
        <v>3</v>
      </c>
      <c r="DI208" t="s">
        <v>3</v>
      </c>
      <c r="DJ208" t="s">
        <v>3</v>
      </c>
      <c r="DK208" t="s">
        <v>3</v>
      </c>
      <c r="DL208" t="s">
        <v>3</v>
      </c>
      <c r="DM208" t="s">
        <v>3</v>
      </c>
      <c r="DN208">
        <v>0</v>
      </c>
      <c r="DO208">
        <v>0</v>
      </c>
      <c r="DP208">
        <v>1</v>
      </c>
      <c r="DQ208">
        <v>1</v>
      </c>
      <c r="DU208">
        <v>1007</v>
      </c>
      <c r="DV208" t="s">
        <v>33</v>
      </c>
      <c r="DW208" t="s">
        <v>33</v>
      </c>
      <c r="DX208">
        <v>100</v>
      </c>
      <c r="EE208">
        <v>52362078</v>
      </c>
      <c r="EF208">
        <v>1</v>
      </c>
      <c r="EG208" t="s">
        <v>22</v>
      </c>
      <c r="EH208">
        <v>0</v>
      </c>
      <c r="EI208" t="s">
        <v>3</v>
      </c>
      <c r="EJ208">
        <v>4</v>
      </c>
      <c r="EK208">
        <v>0</v>
      </c>
      <c r="EL208" t="s">
        <v>23</v>
      </c>
      <c r="EM208" t="s">
        <v>24</v>
      </c>
      <c r="EO208" t="s">
        <v>3</v>
      </c>
      <c r="EQ208">
        <v>131072</v>
      </c>
      <c r="ER208">
        <v>75863.820000000007</v>
      </c>
      <c r="ES208">
        <v>65162.05</v>
      </c>
      <c r="ET208">
        <v>7602.23</v>
      </c>
      <c r="EU208">
        <v>3222.98</v>
      </c>
      <c r="EV208">
        <v>3099.54</v>
      </c>
      <c r="EW208">
        <v>16.559999999999999</v>
      </c>
      <c r="EX208">
        <v>0</v>
      </c>
      <c r="EY208">
        <v>0</v>
      </c>
      <c r="FQ208">
        <v>0</v>
      </c>
      <c r="FR208">
        <f t="shared" si="206"/>
        <v>0</v>
      </c>
      <c r="FS208">
        <v>0</v>
      </c>
      <c r="FX208">
        <v>70</v>
      </c>
      <c r="FY208">
        <v>10</v>
      </c>
      <c r="GA208" t="s">
        <v>3</v>
      </c>
      <c r="GD208">
        <v>0</v>
      </c>
      <c r="GF208">
        <v>-831871559</v>
      </c>
      <c r="GG208">
        <v>2</v>
      </c>
      <c r="GH208">
        <v>1</v>
      </c>
      <c r="GI208">
        <v>-2</v>
      </c>
      <c r="GJ208">
        <v>0</v>
      </c>
      <c r="GK208">
        <f>ROUND(R208*(R12)/100,2)</f>
        <v>313.27999999999997</v>
      </c>
      <c r="GL208">
        <f t="shared" si="207"/>
        <v>0</v>
      </c>
      <c r="GM208">
        <f t="shared" si="208"/>
        <v>7364.19</v>
      </c>
      <c r="GN208">
        <f t="shared" si="209"/>
        <v>0</v>
      </c>
      <c r="GO208">
        <f t="shared" si="210"/>
        <v>0</v>
      </c>
      <c r="GP208">
        <f t="shared" si="211"/>
        <v>7364.19</v>
      </c>
      <c r="GR208">
        <v>0</v>
      </c>
      <c r="GS208">
        <v>3</v>
      </c>
      <c r="GT208">
        <v>0</v>
      </c>
      <c r="GU208" t="s">
        <v>3</v>
      </c>
      <c r="GV208">
        <f t="shared" si="212"/>
        <v>0</v>
      </c>
      <c r="GW208">
        <v>1</v>
      </c>
      <c r="GX208">
        <f t="shared" si="213"/>
        <v>0</v>
      </c>
      <c r="HA208">
        <v>0</v>
      </c>
      <c r="HB208">
        <v>0</v>
      </c>
      <c r="HC208">
        <f t="shared" si="214"/>
        <v>0</v>
      </c>
      <c r="HE208" t="s">
        <v>3</v>
      </c>
      <c r="HF208" t="s">
        <v>3</v>
      </c>
      <c r="IK208">
        <v>0</v>
      </c>
    </row>
    <row r="209" spans="1:245" x14ac:dyDescent="0.2">
      <c r="A209">
        <v>17</v>
      </c>
      <c r="B209">
        <v>1</v>
      </c>
      <c r="C209">
        <f>ROW(SmtRes!A201)</f>
        <v>201</v>
      </c>
      <c r="D209">
        <f>ROW(EtalonRes!A191)</f>
        <v>191</v>
      </c>
      <c r="E209" t="s">
        <v>236</v>
      </c>
      <c r="F209" t="s">
        <v>36</v>
      </c>
      <c r="G209" t="s">
        <v>37</v>
      </c>
      <c r="H209" t="s">
        <v>38</v>
      </c>
      <c r="I209">
        <f>ROUND(90/100,9)</f>
        <v>0.9</v>
      </c>
      <c r="J209">
        <v>0</v>
      </c>
      <c r="O209">
        <f t="shared" si="175"/>
        <v>30555.3</v>
      </c>
      <c r="P209">
        <f t="shared" si="176"/>
        <v>22559.040000000001</v>
      </c>
      <c r="Q209">
        <f t="shared" si="177"/>
        <v>2912.74</v>
      </c>
      <c r="R209">
        <f t="shared" si="178"/>
        <v>1016.26</v>
      </c>
      <c r="S209">
        <f t="shared" si="179"/>
        <v>5083.5200000000004</v>
      </c>
      <c r="T209">
        <f t="shared" si="180"/>
        <v>0</v>
      </c>
      <c r="U209">
        <f t="shared" si="181"/>
        <v>25.146000000000001</v>
      </c>
      <c r="V209">
        <f t="shared" si="182"/>
        <v>0</v>
      </c>
      <c r="W209">
        <f t="shared" si="183"/>
        <v>0</v>
      </c>
      <c r="X209">
        <f t="shared" si="184"/>
        <v>3558.46</v>
      </c>
      <c r="Y209">
        <f t="shared" si="185"/>
        <v>508.35</v>
      </c>
      <c r="AA209">
        <v>52430918</v>
      </c>
      <c r="AB209">
        <f t="shared" si="186"/>
        <v>33950.33</v>
      </c>
      <c r="AC209">
        <f t="shared" si="187"/>
        <v>25065.599999999999</v>
      </c>
      <c r="AD209">
        <f t="shared" si="188"/>
        <v>3236.38</v>
      </c>
      <c r="AE209">
        <f t="shared" si="189"/>
        <v>1129.18</v>
      </c>
      <c r="AF209">
        <f t="shared" si="190"/>
        <v>5648.35</v>
      </c>
      <c r="AG209">
        <f t="shared" si="191"/>
        <v>0</v>
      </c>
      <c r="AH209">
        <f t="shared" si="192"/>
        <v>27.94</v>
      </c>
      <c r="AI209">
        <f t="shared" si="193"/>
        <v>0</v>
      </c>
      <c r="AJ209">
        <f t="shared" si="194"/>
        <v>0</v>
      </c>
      <c r="AK209">
        <v>33950.33</v>
      </c>
      <c r="AL209">
        <v>25065.599999999999</v>
      </c>
      <c r="AM209">
        <v>3236.38</v>
      </c>
      <c r="AN209">
        <v>1129.18</v>
      </c>
      <c r="AO209">
        <v>5648.35</v>
      </c>
      <c r="AP209">
        <v>0</v>
      </c>
      <c r="AQ209">
        <v>27.94</v>
      </c>
      <c r="AR209">
        <v>0</v>
      </c>
      <c r="AS209">
        <v>0</v>
      </c>
      <c r="AT209">
        <v>70</v>
      </c>
      <c r="AU209">
        <v>10</v>
      </c>
      <c r="AV209">
        <v>1</v>
      </c>
      <c r="AW209">
        <v>1</v>
      </c>
      <c r="AZ209">
        <v>1</v>
      </c>
      <c r="BA209">
        <v>1</v>
      </c>
      <c r="BB209">
        <v>1</v>
      </c>
      <c r="BC209">
        <v>1</v>
      </c>
      <c r="BD209" t="s">
        <v>3</v>
      </c>
      <c r="BE209" t="s">
        <v>3</v>
      </c>
      <c r="BF209" t="s">
        <v>3</v>
      </c>
      <c r="BG209" t="s">
        <v>3</v>
      </c>
      <c r="BH209">
        <v>0</v>
      </c>
      <c r="BI209">
        <v>4</v>
      </c>
      <c r="BJ209" t="s">
        <v>39</v>
      </c>
      <c r="BM209">
        <v>0</v>
      </c>
      <c r="BN209">
        <v>0</v>
      </c>
      <c r="BO209" t="s">
        <v>3</v>
      </c>
      <c r="BP209">
        <v>0</v>
      </c>
      <c r="BQ209">
        <v>1</v>
      </c>
      <c r="BR209">
        <v>0</v>
      </c>
      <c r="BS209">
        <v>1</v>
      </c>
      <c r="BT209">
        <v>1</v>
      </c>
      <c r="BU209">
        <v>1</v>
      </c>
      <c r="BV209">
        <v>1</v>
      </c>
      <c r="BW209">
        <v>1</v>
      </c>
      <c r="BX209">
        <v>1</v>
      </c>
      <c r="BY209" t="s">
        <v>3</v>
      </c>
      <c r="BZ209">
        <v>70</v>
      </c>
      <c r="CA209">
        <v>10</v>
      </c>
      <c r="CE209">
        <v>0</v>
      </c>
      <c r="CF209">
        <v>0</v>
      </c>
      <c r="CG209">
        <v>0</v>
      </c>
      <c r="CM209">
        <v>0</v>
      </c>
      <c r="CN209" t="s">
        <v>3</v>
      </c>
      <c r="CO209">
        <v>0</v>
      </c>
      <c r="CP209">
        <f t="shared" si="195"/>
        <v>30555.3</v>
      </c>
      <c r="CQ209">
        <f t="shared" si="196"/>
        <v>25065.599999999999</v>
      </c>
      <c r="CR209">
        <f t="shared" si="197"/>
        <v>3236.38</v>
      </c>
      <c r="CS209">
        <f t="shared" si="198"/>
        <v>1129.18</v>
      </c>
      <c r="CT209">
        <f t="shared" si="199"/>
        <v>5648.35</v>
      </c>
      <c r="CU209">
        <f t="shared" si="200"/>
        <v>0</v>
      </c>
      <c r="CV209">
        <f t="shared" si="201"/>
        <v>27.94</v>
      </c>
      <c r="CW209">
        <f t="shared" si="202"/>
        <v>0</v>
      </c>
      <c r="CX209">
        <f t="shared" si="203"/>
        <v>0</v>
      </c>
      <c r="CY209">
        <f t="shared" si="204"/>
        <v>3558.4640000000004</v>
      </c>
      <c r="CZ209">
        <f t="shared" si="205"/>
        <v>508.35200000000003</v>
      </c>
      <c r="DC209" t="s">
        <v>3</v>
      </c>
      <c r="DD209" t="s">
        <v>3</v>
      </c>
      <c r="DE209" t="s">
        <v>3</v>
      </c>
      <c r="DF209" t="s">
        <v>3</v>
      </c>
      <c r="DG209" t="s">
        <v>3</v>
      </c>
      <c r="DH209" t="s">
        <v>3</v>
      </c>
      <c r="DI209" t="s">
        <v>3</v>
      </c>
      <c r="DJ209" t="s">
        <v>3</v>
      </c>
      <c r="DK209" t="s">
        <v>3</v>
      </c>
      <c r="DL209" t="s">
        <v>3</v>
      </c>
      <c r="DM209" t="s">
        <v>3</v>
      </c>
      <c r="DN209">
        <v>0</v>
      </c>
      <c r="DO209">
        <v>0</v>
      </c>
      <c r="DP209">
        <v>1</v>
      </c>
      <c r="DQ209">
        <v>1</v>
      </c>
      <c r="DU209">
        <v>1005</v>
      </c>
      <c r="DV209" t="s">
        <v>38</v>
      </c>
      <c r="DW209" t="s">
        <v>38</v>
      </c>
      <c r="DX209">
        <v>100</v>
      </c>
      <c r="EE209">
        <v>52362078</v>
      </c>
      <c r="EF209">
        <v>1</v>
      </c>
      <c r="EG209" t="s">
        <v>22</v>
      </c>
      <c r="EH209">
        <v>0</v>
      </c>
      <c r="EI209" t="s">
        <v>3</v>
      </c>
      <c r="EJ209">
        <v>4</v>
      </c>
      <c r="EK209">
        <v>0</v>
      </c>
      <c r="EL209" t="s">
        <v>23</v>
      </c>
      <c r="EM209" t="s">
        <v>24</v>
      </c>
      <c r="EO209" t="s">
        <v>3</v>
      </c>
      <c r="EQ209">
        <v>131072</v>
      </c>
      <c r="ER209">
        <v>33950.33</v>
      </c>
      <c r="ES209">
        <v>25065.599999999999</v>
      </c>
      <c r="ET209">
        <v>3236.38</v>
      </c>
      <c r="EU209">
        <v>1129.18</v>
      </c>
      <c r="EV209">
        <v>5648.35</v>
      </c>
      <c r="EW209">
        <v>27.94</v>
      </c>
      <c r="EX209">
        <v>0</v>
      </c>
      <c r="EY209">
        <v>0</v>
      </c>
      <c r="FQ209">
        <v>0</v>
      </c>
      <c r="FR209">
        <f t="shared" si="206"/>
        <v>0</v>
      </c>
      <c r="FS209">
        <v>0</v>
      </c>
      <c r="FX209">
        <v>70</v>
      </c>
      <c r="FY209">
        <v>10</v>
      </c>
      <c r="GA209" t="s">
        <v>3</v>
      </c>
      <c r="GD209">
        <v>0</v>
      </c>
      <c r="GF209">
        <v>-1973864012</v>
      </c>
      <c r="GG209">
        <v>2</v>
      </c>
      <c r="GH209">
        <v>1</v>
      </c>
      <c r="GI209">
        <v>-2</v>
      </c>
      <c r="GJ209">
        <v>0</v>
      </c>
      <c r="GK209">
        <f>ROUND(R209*(R12)/100,2)</f>
        <v>1097.56</v>
      </c>
      <c r="GL209">
        <f t="shared" si="207"/>
        <v>0</v>
      </c>
      <c r="GM209">
        <f t="shared" si="208"/>
        <v>35719.67</v>
      </c>
      <c r="GN209">
        <f t="shared" si="209"/>
        <v>0</v>
      </c>
      <c r="GO209">
        <f t="shared" si="210"/>
        <v>0</v>
      </c>
      <c r="GP209">
        <f t="shared" si="211"/>
        <v>35719.67</v>
      </c>
      <c r="GR209">
        <v>0</v>
      </c>
      <c r="GS209">
        <v>3</v>
      </c>
      <c r="GT209">
        <v>0</v>
      </c>
      <c r="GU209" t="s">
        <v>3</v>
      </c>
      <c r="GV209">
        <f t="shared" si="212"/>
        <v>0</v>
      </c>
      <c r="GW209">
        <v>1</v>
      </c>
      <c r="GX209">
        <f t="shared" si="213"/>
        <v>0</v>
      </c>
      <c r="HA209">
        <v>0</v>
      </c>
      <c r="HB209">
        <v>0</v>
      </c>
      <c r="HC209">
        <f t="shared" si="214"/>
        <v>0</v>
      </c>
      <c r="HE209" t="s">
        <v>3</v>
      </c>
      <c r="HF209" t="s">
        <v>3</v>
      </c>
      <c r="IK209">
        <v>0</v>
      </c>
    </row>
    <row r="210" spans="1:245" x14ac:dyDescent="0.2">
      <c r="A210">
        <v>18</v>
      </c>
      <c r="B210">
        <v>1</v>
      </c>
      <c r="C210">
        <v>199</v>
      </c>
      <c r="E210" t="s">
        <v>237</v>
      </c>
      <c r="F210" t="s">
        <v>41</v>
      </c>
      <c r="G210" t="s">
        <v>42</v>
      </c>
      <c r="H210" t="s">
        <v>28</v>
      </c>
      <c r="I210">
        <f>I209*J210</f>
        <v>15.659999999999998</v>
      </c>
      <c r="J210">
        <v>17.399999999999999</v>
      </c>
      <c r="O210">
        <f t="shared" si="175"/>
        <v>27620.33</v>
      </c>
      <c r="P210">
        <f t="shared" si="176"/>
        <v>27620.33</v>
      </c>
      <c r="Q210">
        <f t="shared" si="177"/>
        <v>0</v>
      </c>
      <c r="R210">
        <f t="shared" si="178"/>
        <v>0</v>
      </c>
      <c r="S210">
        <f t="shared" si="179"/>
        <v>0</v>
      </c>
      <c r="T210">
        <f t="shared" si="180"/>
        <v>0</v>
      </c>
      <c r="U210">
        <f t="shared" si="181"/>
        <v>0</v>
      </c>
      <c r="V210">
        <f t="shared" si="182"/>
        <v>0</v>
      </c>
      <c r="W210">
        <f t="shared" si="183"/>
        <v>0</v>
      </c>
      <c r="X210">
        <f t="shared" si="184"/>
        <v>0</v>
      </c>
      <c r="Y210">
        <f t="shared" si="185"/>
        <v>0</v>
      </c>
      <c r="AA210">
        <v>52430918</v>
      </c>
      <c r="AB210">
        <f t="shared" si="186"/>
        <v>1763.75</v>
      </c>
      <c r="AC210">
        <f t="shared" si="187"/>
        <v>1763.75</v>
      </c>
      <c r="AD210">
        <f t="shared" si="188"/>
        <v>0</v>
      </c>
      <c r="AE210">
        <f t="shared" si="189"/>
        <v>0</v>
      </c>
      <c r="AF210">
        <f t="shared" si="190"/>
        <v>0</v>
      </c>
      <c r="AG210">
        <f t="shared" si="191"/>
        <v>0</v>
      </c>
      <c r="AH210">
        <f t="shared" si="192"/>
        <v>0</v>
      </c>
      <c r="AI210">
        <f t="shared" si="193"/>
        <v>0</v>
      </c>
      <c r="AJ210">
        <f t="shared" si="194"/>
        <v>0</v>
      </c>
      <c r="AK210">
        <v>1763.75</v>
      </c>
      <c r="AL210">
        <v>1763.75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70</v>
      </c>
      <c r="AU210">
        <v>10</v>
      </c>
      <c r="AV210">
        <v>1</v>
      </c>
      <c r="AW210">
        <v>1</v>
      </c>
      <c r="AZ210">
        <v>1</v>
      </c>
      <c r="BA210">
        <v>1</v>
      </c>
      <c r="BB210">
        <v>1</v>
      </c>
      <c r="BC210">
        <v>1</v>
      </c>
      <c r="BD210" t="s">
        <v>3</v>
      </c>
      <c r="BE210" t="s">
        <v>3</v>
      </c>
      <c r="BF210" t="s">
        <v>3</v>
      </c>
      <c r="BG210" t="s">
        <v>3</v>
      </c>
      <c r="BH210">
        <v>3</v>
      </c>
      <c r="BI210">
        <v>4</v>
      </c>
      <c r="BJ210" t="s">
        <v>43</v>
      </c>
      <c r="BM210">
        <v>0</v>
      </c>
      <c r="BN210">
        <v>0</v>
      </c>
      <c r="BO210" t="s">
        <v>3</v>
      </c>
      <c r="BP210">
        <v>0</v>
      </c>
      <c r="BQ210">
        <v>1</v>
      </c>
      <c r="BR210">
        <v>0</v>
      </c>
      <c r="BS210">
        <v>1</v>
      </c>
      <c r="BT210">
        <v>1</v>
      </c>
      <c r="BU210">
        <v>1</v>
      </c>
      <c r="BV210">
        <v>1</v>
      </c>
      <c r="BW210">
        <v>1</v>
      </c>
      <c r="BX210">
        <v>1</v>
      </c>
      <c r="BY210" t="s">
        <v>3</v>
      </c>
      <c r="BZ210">
        <v>70</v>
      </c>
      <c r="CA210">
        <v>10</v>
      </c>
      <c r="CE210">
        <v>0</v>
      </c>
      <c r="CF210">
        <v>0</v>
      </c>
      <c r="CG210">
        <v>0</v>
      </c>
      <c r="CM210">
        <v>0</v>
      </c>
      <c r="CN210" t="s">
        <v>3</v>
      </c>
      <c r="CO210">
        <v>0</v>
      </c>
      <c r="CP210">
        <f t="shared" si="195"/>
        <v>27620.33</v>
      </c>
      <c r="CQ210">
        <f t="shared" si="196"/>
        <v>1763.75</v>
      </c>
      <c r="CR210">
        <f t="shared" si="197"/>
        <v>0</v>
      </c>
      <c r="CS210">
        <f t="shared" si="198"/>
        <v>0</v>
      </c>
      <c r="CT210">
        <f t="shared" si="199"/>
        <v>0</v>
      </c>
      <c r="CU210">
        <f t="shared" si="200"/>
        <v>0</v>
      </c>
      <c r="CV210">
        <f t="shared" si="201"/>
        <v>0</v>
      </c>
      <c r="CW210">
        <f t="shared" si="202"/>
        <v>0</v>
      </c>
      <c r="CX210">
        <f t="shared" si="203"/>
        <v>0</v>
      </c>
      <c r="CY210">
        <f t="shared" si="204"/>
        <v>0</v>
      </c>
      <c r="CZ210">
        <f t="shared" si="205"/>
        <v>0</v>
      </c>
      <c r="DC210" t="s">
        <v>3</v>
      </c>
      <c r="DD210" t="s">
        <v>3</v>
      </c>
      <c r="DE210" t="s">
        <v>3</v>
      </c>
      <c r="DF210" t="s">
        <v>3</v>
      </c>
      <c r="DG210" t="s">
        <v>3</v>
      </c>
      <c r="DH210" t="s">
        <v>3</v>
      </c>
      <c r="DI210" t="s">
        <v>3</v>
      </c>
      <c r="DJ210" t="s">
        <v>3</v>
      </c>
      <c r="DK210" t="s">
        <v>3</v>
      </c>
      <c r="DL210" t="s">
        <v>3</v>
      </c>
      <c r="DM210" t="s">
        <v>3</v>
      </c>
      <c r="DN210">
        <v>0</v>
      </c>
      <c r="DO210">
        <v>0</v>
      </c>
      <c r="DP210">
        <v>1</v>
      </c>
      <c r="DQ210">
        <v>1</v>
      </c>
      <c r="DU210">
        <v>1007</v>
      </c>
      <c r="DV210" t="s">
        <v>28</v>
      </c>
      <c r="DW210" t="s">
        <v>28</v>
      </c>
      <c r="DX210">
        <v>1</v>
      </c>
      <c r="EE210">
        <v>52362078</v>
      </c>
      <c r="EF210">
        <v>1</v>
      </c>
      <c r="EG210" t="s">
        <v>22</v>
      </c>
      <c r="EH210">
        <v>0</v>
      </c>
      <c r="EI210" t="s">
        <v>3</v>
      </c>
      <c r="EJ210">
        <v>4</v>
      </c>
      <c r="EK210">
        <v>0</v>
      </c>
      <c r="EL210" t="s">
        <v>23</v>
      </c>
      <c r="EM210" t="s">
        <v>24</v>
      </c>
      <c r="EO210" t="s">
        <v>3</v>
      </c>
      <c r="EQ210">
        <v>0</v>
      </c>
      <c r="ER210">
        <v>1763.75</v>
      </c>
      <c r="ES210">
        <v>1763.75</v>
      </c>
      <c r="ET210">
        <v>0</v>
      </c>
      <c r="EU210">
        <v>0</v>
      </c>
      <c r="EV210">
        <v>0</v>
      </c>
      <c r="EW210">
        <v>0</v>
      </c>
      <c r="EX210">
        <v>0</v>
      </c>
      <c r="FQ210">
        <v>0</v>
      </c>
      <c r="FR210">
        <f t="shared" si="206"/>
        <v>0</v>
      </c>
      <c r="FS210">
        <v>0</v>
      </c>
      <c r="FX210">
        <v>70</v>
      </c>
      <c r="FY210">
        <v>10</v>
      </c>
      <c r="GA210" t="s">
        <v>3</v>
      </c>
      <c r="GD210">
        <v>0</v>
      </c>
      <c r="GF210">
        <v>-886425656</v>
      </c>
      <c r="GG210">
        <v>2</v>
      </c>
      <c r="GH210">
        <v>1</v>
      </c>
      <c r="GI210">
        <v>-2</v>
      </c>
      <c r="GJ210">
        <v>0</v>
      </c>
      <c r="GK210">
        <f>ROUND(R210*(R12)/100,2)</f>
        <v>0</v>
      </c>
      <c r="GL210">
        <f t="shared" si="207"/>
        <v>0</v>
      </c>
      <c r="GM210">
        <f t="shared" si="208"/>
        <v>27620.33</v>
      </c>
      <c r="GN210">
        <f t="shared" si="209"/>
        <v>0</v>
      </c>
      <c r="GO210">
        <f t="shared" si="210"/>
        <v>0</v>
      </c>
      <c r="GP210">
        <f t="shared" si="211"/>
        <v>27620.33</v>
      </c>
      <c r="GR210">
        <v>0</v>
      </c>
      <c r="GS210">
        <v>3</v>
      </c>
      <c r="GT210">
        <v>0</v>
      </c>
      <c r="GU210" t="s">
        <v>3</v>
      </c>
      <c r="GV210">
        <f t="shared" si="212"/>
        <v>0</v>
      </c>
      <c r="GW210">
        <v>1</v>
      </c>
      <c r="GX210">
        <f t="shared" si="213"/>
        <v>0</v>
      </c>
      <c r="HA210">
        <v>0</v>
      </c>
      <c r="HB210">
        <v>0</v>
      </c>
      <c r="HC210">
        <f t="shared" si="214"/>
        <v>0</v>
      </c>
      <c r="HE210" t="s">
        <v>3</v>
      </c>
      <c r="HF210" t="s">
        <v>3</v>
      </c>
      <c r="IK210">
        <v>0</v>
      </c>
    </row>
    <row r="211" spans="1:245" x14ac:dyDescent="0.2">
      <c r="A211">
        <v>18</v>
      </c>
      <c r="B211">
        <v>1</v>
      </c>
      <c r="C211">
        <v>200</v>
      </c>
      <c r="E211" t="s">
        <v>238</v>
      </c>
      <c r="F211" t="s">
        <v>45</v>
      </c>
      <c r="G211" t="s">
        <v>46</v>
      </c>
      <c r="H211" t="s">
        <v>28</v>
      </c>
      <c r="I211">
        <f>I209*J211</f>
        <v>-15.659999999999998</v>
      </c>
      <c r="J211">
        <v>-17.399999999999999</v>
      </c>
      <c r="O211">
        <f t="shared" si="175"/>
        <v>-22495.59</v>
      </c>
      <c r="P211">
        <f t="shared" si="176"/>
        <v>-22495.59</v>
      </c>
      <c r="Q211">
        <f t="shared" si="177"/>
        <v>0</v>
      </c>
      <c r="R211">
        <f t="shared" si="178"/>
        <v>0</v>
      </c>
      <c r="S211">
        <f t="shared" si="179"/>
        <v>0</v>
      </c>
      <c r="T211">
        <f t="shared" si="180"/>
        <v>0</v>
      </c>
      <c r="U211">
        <f t="shared" si="181"/>
        <v>0</v>
      </c>
      <c r="V211">
        <f t="shared" si="182"/>
        <v>0</v>
      </c>
      <c r="W211">
        <f t="shared" si="183"/>
        <v>0</v>
      </c>
      <c r="X211">
        <f t="shared" si="184"/>
        <v>0</v>
      </c>
      <c r="Y211">
        <f t="shared" si="185"/>
        <v>0</v>
      </c>
      <c r="AA211">
        <v>52430918</v>
      </c>
      <c r="AB211">
        <f t="shared" si="186"/>
        <v>1436.5</v>
      </c>
      <c r="AC211">
        <f t="shared" si="187"/>
        <v>1436.5</v>
      </c>
      <c r="AD211">
        <f t="shared" si="188"/>
        <v>0</v>
      </c>
      <c r="AE211">
        <f t="shared" si="189"/>
        <v>0</v>
      </c>
      <c r="AF211">
        <f t="shared" si="190"/>
        <v>0</v>
      </c>
      <c r="AG211">
        <f t="shared" si="191"/>
        <v>0</v>
      </c>
      <c r="AH211">
        <f t="shared" si="192"/>
        <v>0</v>
      </c>
      <c r="AI211">
        <f t="shared" si="193"/>
        <v>0</v>
      </c>
      <c r="AJ211">
        <f t="shared" si="194"/>
        <v>0</v>
      </c>
      <c r="AK211">
        <v>1436.5</v>
      </c>
      <c r="AL211">
        <v>1436.5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70</v>
      </c>
      <c r="AU211">
        <v>10</v>
      </c>
      <c r="AV211">
        <v>1</v>
      </c>
      <c r="AW211">
        <v>1</v>
      </c>
      <c r="AZ211">
        <v>1</v>
      </c>
      <c r="BA211">
        <v>1</v>
      </c>
      <c r="BB211">
        <v>1</v>
      </c>
      <c r="BC211">
        <v>1</v>
      </c>
      <c r="BD211" t="s">
        <v>3</v>
      </c>
      <c r="BE211" t="s">
        <v>3</v>
      </c>
      <c r="BF211" t="s">
        <v>3</v>
      </c>
      <c r="BG211" t="s">
        <v>3</v>
      </c>
      <c r="BH211">
        <v>3</v>
      </c>
      <c r="BI211">
        <v>4</v>
      </c>
      <c r="BJ211" t="s">
        <v>47</v>
      </c>
      <c r="BM211">
        <v>0</v>
      </c>
      <c r="BN211">
        <v>0</v>
      </c>
      <c r="BO211" t="s">
        <v>3</v>
      </c>
      <c r="BP211">
        <v>0</v>
      </c>
      <c r="BQ211">
        <v>1</v>
      </c>
      <c r="BR211">
        <v>1</v>
      </c>
      <c r="BS211">
        <v>1</v>
      </c>
      <c r="BT211">
        <v>1</v>
      </c>
      <c r="BU211">
        <v>1</v>
      </c>
      <c r="BV211">
        <v>1</v>
      </c>
      <c r="BW211">
        <v>1</v>
      </c>
      <c r="BX211">
        <v>1</v>
      </c>
      <c r="BY211" t="s">
        <v>3</v>
      </c>
      <c r="BZ211">
        <v>70</v>
      </c>
      <c r="CA211">
        <v>10</v>
      </c>
      <c r="CE211">
        <v>0</v>
      </c>
      <c r="CF211">
        <v>0</v>
      </c>
      <c r="CG211">
        <v>0</v>
      </c>
      <c r="CM211">
        <v>0</v>
      </c>
      <c r="CN211" t="s">
        <v>3</v>
      </c>
      <c r="CO211">
        <v>0</v>
      </c>
      <c r="CP211">
        <f t="shared" si="195"/>
        <v>-22495.59</v>
      </c>
      <c r="CQ211">
        <f t="shared" si="196"/>
        <v>1436.5</v>
      </c>
      <c r="CR211">
        <f t="shared" si="197"/>
        <v>0</v>
      </c>
      <c r="CS211">
        <f t="shared" si="198"/>
        <v>0</v>
      </c>
      <c r="CT211">
        <f t="shared" si="199"/>
        <v>0</v>
      </c>
      <c r="CU211">
        <f t="shared" si="200"/>
        <v>0</v>
      </c>
      <c r="CV211">
        <f t="shared" si="201"/>
        <v>0</v>
      </c>
      <c r="CW211">
        <f t="shared" si="202"/>
        <v>0</v>
      </c>
      <c r="CX211">
        <f t="shared" si="203"/>
        <v>0</v>
      </c>
      <c r="CY211">
        <f t="shared" si="204"/>
        <v>0</v>
      </c>
      <c r="CZ211">
        <f t="shared" si="205"/>
        <v>0</v>
      </c>
      <c r="DC211" t="s">
        <v>3</v>
      </c>
      <c r="DD211" t="s">
        <v>3</v>
      </c>
      <c r="DE211" t="s">
        <v>3</v>
      </c>
      <c r="DF211" t="s">
        <v>3</v>
      </c>
      <c r="DG211" t="s">
        <v>3</v>
      </c>
      <c r="DH211" t="s">
        <v>3</v>
      </c>
      <c r="DI211" t="s">
        <v>3</v>
      </c>
      <c r="DJ211" t="s">
        <v>3</v>
      </c>
      <c r="DK211" t="s">
        <v>3</v>
      </c>
      <c r="DL211" t="s">
        <v>3</v>
      </c>
      <c r="DM211" t="s">
        <v>3</v>
      </c>
      <c r="DN211">
        <v>0</v>
      </c>
      <c r="DO211">
        <v>0</v>
      </c>
      <c r="DP211">
        <v>1</v>
      </c>
      <c r="DQ211">
        <v>1</v>
      </c>
      <c r="DU211">
        <v>1007</v>
      </c>
      <c r="DV211" t="s">
        <v>28</v>
      </c>
      <c r="DW211" t="s">
        <v>28</v>
      </c>
      <c r="DX211">
        <v>1</v>
      </c>
      <c r="EE211">
        <v>52362078</v>
      </c>
      <c r="EF211">
        <v>1</v>
      </c>
      <c r="EG211" t="s">
        <v>22</v>
      </c>
      <c r="EH211">
        <v>0</v>
      </c>
      <c r="EI211" t="s">
        <v>3</v>
      </c>
      <c r="EJ211">
        <v>4</v>
      </c>
      <c r="EK211">
        <v>0</v>
      </c>
      <c r="EL211" t="s">
        <v>23</v>
      </c>
      <c r="EM211" t="s">
        <v>24</v>
      </c>
      <c r="EO211" t="s">
        <v>3</v>
      </c>
      <c r="EQ211">
        <v>32768</v>
      </c>
      <c r="ER211">
        <v>1436.5</v>
      </c>
      <c r="ES211">
        <v>1436.5</v>
      </c>
      <c r="ET211">
        <v>0</v>
      </c>
      <c r="EU211">
        <v>0</v>
      </c>
      <c r="EV211">
        <v>0</v>
      </c>
      <c r="EW211">
        <v>0</v>
      </c>
      <c r="EX211">
        <v>0</v>
      </c>
      <c r="FQ211">
        <v>0</v>
      </c>
      <c r="FR211">
        <f t="shared" si="206"/>
        <v>0</v>
      </c>
      <c r="FS211">
        <v>0</v>
      </c>
      <c r="FX211">
        <v>70</v>
      </c>
      <c r="FY211">
        <v>10</v>
      </c>
      <c r="GA211" t="s">
        <v>3</v>
      </c>
      <c r="GD211">
        <v>0</v>
      </c>
      <c r="GF211">
        <v>1744717608</v>
      </c>
      <c r="GG211">
        <v>2</v>
      </c>
      <c r="GH211">
        <v>1</v>
      </c>
      <c r="GI211">
        <v>-2</v>
      </c>
      <c r="GJ211">
        <v>0</v>
      </c>
      <c r="GK211">
        <f>ROUND(R211*(R12)/100,2)</f>
        <v>0</v>
      </c>
      <c r="GL211">
        <f t="shared" si="207"/>
        <v>0</v>
      </c>
      <c r="GM211">
        <f t="shared" si="208"/>
        <v>-22495.59</v>
      </c>
      <c r="GN211">
        <f t="shared" si="209"/>
        <v>0</v>
      </c>
      <c r="GO211">
        <f t="shared" si="210"/>
        <v>0</v>
      </c>
      <c r="GP211">
        <f t="shared" si="211"/>
        <v>-22495.59</v>
      </c>
      <c r="GR211">
        <v>0</v>
      </c>
      <c r="GS211">
        <v>3</v>
      </c>
      <c r="GT211">
        <v>0</v>
      </c>
      <c r="GU211" t="s">
        <v>3</v>
      </c>
      <c r="GV211">
        <f t="shared" si="212"/>
        <v>0</v>
      </c>
      <c r="GW211">
        <v>1</v>
      </c>
      <c r="GX211">
        <f t="shared" si="213"/>
        <v>0</v>
      </c>
      <c r="HA211">
        <v>0</v>
      </c>
      <c r="HB211">
        <v>0</v>
      </c>
      <c r="HC211">
        <f t="shared" si="214"/>
        <v>0</v>
      </c>
      <c r="HE211" t="s">
        <v>3</v>
      </c>
      <c r="HF211" t="s">
        <v>3</v>
      </c>
      <c r="IK211">
        <v>0</v>
      </c>
    </row>
    <row r="212" spans="1:245" x14ac:dyDescent="0.2">
      <c r="A212">
        <v>17</v>
      </c>
      <c r="B212">
        <v>1</v>
      </c>
      <c r="C212">
        <f>ROW(SmtRes!A205)</f>
        <v>205</v>
      </c>
      <c r="D212">
        <f>ROW(EtalonRes!A195)</f>
        <v>195</v>
      </c>
      <c r="E212" t="s">
        <v>239</v>
      </c>
      <c r="F212" t="s">
        <v>49</v>
      </c>
      <c r="G212" t="s">
        <v>50</v>
      </c>
      <c r="H212" t="s">
        <v>38</v>
      </c>
      <c r="I212">
        <f>ROUND(90/100,9)</f>
        <v>0.9</v>
      </c>
      <c r="J212">
        <v>0</v>
      </c>
      <c r="O212">
        <f t="shared" si="175"/>
        <v>21570.21</v>
      </c>
      <c r="P212">
        <f t="shared" si="176"/>
        <v>18439.97</v>
      </c>
      <c r="Q212">
        <f t="shared" si="177"/>
        <v>1010.75</v>
      </c>
      <c r="R212">
        <f t="shared" si="178"/>
        <v>424.55</v>
      </c>
      <c r="S212">
        <f t="shared" si="179"/>
        <v>2119.4899999999998</v>
      </c>
      <c r="T212">
        <f t="shared" si="180"/>
        <v>0</v>
      </c>
      <c r="U212">
        <f t="shared" si="181"/>
        <v>9.2700000000000014</v>
      </c>
      <c r="V212">
        <f t="shared" si="182"/>
        <v>0</v>
      </c>
      <c r="W212">
        <f t="shared" si="183"/>
        <v>0</v>
      </c>
      <c r="X212">
        <f t="shared" si="184"/>
        <v>1483.64</v>
      </c>
      <c r="Y212">
        <f t="shared" si="185"/>
        <v>211.95</v>
      </c>
      <c r="AA212">
        <v>52430918</v>
      </c>
      <c r="AB212">
        <f t="shared" si="186"/>
        <v>23966.9</v>
      </c>
      <c r="AC212">
        <f t="shared" si="187"/>
        <v>20488.849999999999</v>
      </c>
      <c r="AD212">
        <f t="shared" si="188"/>
        <v>1123.06</v>
      </c>
      <c r="AE212">
        <f t="shared" si="189"/>
        <v>471.72</v>
      </c>
      <c r="AF212">
        <f t="shared" si="190"/>
        <v>2354.9899999999998</v>
      </c>
      <c r="AG212">
        <f t="shared" si="191"/>
        <v>0</v>
      </c>
      <c r="AH212">
        <f t="shared" si="192"/>
        <v>10.3</v>
      </c>
      <c r="AI212">
        <f t="shared" si="193"/>
        <v>0</v>
      </c>
      <c r="AJ212">
        <f t="shared" si="194"/>
        <v>0</v>
      </c>
      <c r="AK212">
        <v>23966.9</v>
      </c>
      <c r="AL212">
        <v>20488.849999999999</v>
      </c>
      <c r="AM212">
        <v>1123.06</v>
      </c>
      <c r="AN212">
        <v>471.72</v>
      </c>
      <c r="AO212">
        <v>2354.9899999999998</v>
      </c>
      <c r="AP212">
        <v>0</v>
      </c>
      <c r="AQ212">
        <v>10.3</v>
      </c>
      <c r="AR212">
        <v>0</v>
      </c>
      <c r="AS212">
        <v>0</v>
      </c>
      <c r="AT212">
        <v>70</v>
      </c>
      <c r="AU212">
        <v>10</v>
      </c>
      <c r="AV212">
        <v>1</v>
      </c>
      <c r="AW212">
        <v>1</v>
      </c>
      <c r="AZ212">
        <v>1</v>
      </c>
      <c r="BA212">
        <v>1</v>
      </c>
      <c r="BB212">
        <v>1</v>
      </c>
      <c r="BC212">
        <v>1</v>
      </c>
      <c r="BD212" t="s">
        <v>3</v>
      </c>
      <c r="BE212" t="s">
        <v>3</v>
      </c>
      <c r="BF212" t="s">
        <v>3</v>
      </c>
      <c r="BG212" t="s">
        <v>3</v>
      </c>
      <c r="BH212">
        <v>0</v>
      </c>
      <c r="BI212">
        <v>4</v>
      </c>
      <c r="BJ212" t="s">
        <v>51</v>
      </c>
      <c r="BM212">
        <v>0</v>
      </c>
      <c r="BN212">
        <v>0</v>
      </c>
      <c r="BO212" t="s">
        <v>3</v>
      </c>
      <c r="BP212">
        <v>0</v>
      </c>
      <c r="BQ212">
        <v>1</v>
      </c>
      <c r="BR212">
        <v>0</v>
      </c>
      <c r="BS212">
        <v>1</v>
      </c>
      <c r="BT212">
        <v>1</v>
      </c>
      <c r="BU212">
        <v>1</v>
      </c>
      <c r="BV212">
        <v>1</v>
      </c>
      <c r="BW212">
        <v>1</v>
      </c>
      <c r="BX212">
        <v>1</v>
      </c>
      <c r="BY212" t="s">
        <v>3</v>
      </c>
      <c r="BZ212">
        <v>70</v>
      </c>
      <c r="CA212">
        <v>10</v>
      </c>
      <c r="CE212">
        <v>0</v>
      </c>
      <c r="CF212">
        <v>0</v>
      </c>
      <c r="CG212">
        <v>0</v>
      </c>
      <c r="CM212">
        <v>0</v>
      </c>
      <c r="CN212" t="s">
        <v>3</v>
      </c>
      <c r="CO212">
        <v>0</v>
      </c>
      <c r="CP212">
        <f t="shared" si="195"/>
        <v>21570.21</v>
      </c>
      <c r="CQ212">
        <f t="shared" si="196"/>
        <v>20488.849999999999</v>
      </c>
      <c r="CR212">
        <f t="shared" si="197"/>
        <v>1123.06</v>
      </c>
      <c r="CS212">
        <f t="shared" si="198"/>
        <v>471.72</v>
      </c>
      <c r="CT212">
        <f t="shared" si="199"/>
        <v>2354.9899999999998</v>
      </c>
      <c r="CU212">
        <f t="shared" si="200"/>
        <v>0</v>
      </c>
      <c r="CV212">
        <f t="shared" si="201"/>
        <v>10.3</v>
      </c>
      <c r="CW212">
        <f t="shared" si="202"/>
        <v>0</v>
      </c>
      <c r="CX212">
        <f t="shared" si="203"/>
        <v>0</v>
      </c>
      <c r="CY212">
        <f t="shared" si="204"/>
        <v>1483.6429999999998</v>
      </c>
      <c r="CZ212">
        <f t="shared" si="205"/>
        <v>211.94899999999998</v>
      </c>
      <c r="DC212" t="s">
        <v>3</v>
      </c>
      <c r="DD212" t="s">
        <v>3</v>
      </c>
      <c r="DE212" t="s">
        <v>3</v>
      </c>
      <c r="DF212" t="s">
        <v>3</v>
      </c>
      <c r="DG212" t="s">
        <v>3</v>
      </c>
      <c r="DH212" t="s">
        <v>3</v>
      </c>
      <c r="DI212" t="s">
        <v>3</v>
      </c>
      <c r="DJ212" t="s">
        <v>3</v>
      </c>
      <c r="DK212" t="s">
        <v>3</v>
      </c>
      <c r="DL212" t="s">
        <v>3</v>
      </c>
      <c r="DM212" t="s">
        <v>3</v>
      </c>
      <c r="DN212">
        <v>0</v>
      </c>
      <c r="DO212">
        <v>0</v>
      </c>
      <c r="DP212">
        <v>1</v>
      </c>
      <c r="DQ212">
        <v>1</v>
      </c>
      <c r="DU212">
        <v>1005</v>
      </c>
      <c r="DV212" t="s">
        <v>38</v>
      </c>
      <c r="DW212" t="s">
        <v>38</v>
      </c>
      <c r="DX212">
        <v>100</v>
      </c>
      <c r="EE212">
        <v>52362078</v>
      </c>
      <c r="EF212">
        <v>1</v>
      </c>
      <c r="EG212" t="s">
        <v>22</v>
      </c>
      <c r="EH212">
        <v>0</v>
      </c>
      <c r="EI212" t="s">
        <v>3</v>
      </c>
      <c r="EJ212">
        <v>4</v>
      </c>
      <c r="EK212">
        <v>0</v>
      </c>
      <c r="EL212" t="s">
        <v>23</v>
      </c>
      <c r="EM212" t="s">
        <v>24</v>
      </c>
      <c r="EO212" t="s">
        <v>3</v>
      </c>
      <c r="EQ212">
        <v>131072</v>
      </c>
      <c r="ER212">
        <v>23966.9</v>
      </c>
      <c r="ES212">
        <v>20488.849999999999</v>
      </c>
      <c r="ET212">
        <v>1123.06</v>
      </c>
      <c r="EU212">
        <v>471.72</v>
      </c>
      <c r="EV212">
        <v>2354.9899999999998</v>
      </c>
      <c r="EW212">
        <v>10.3</v>
      </c>
      <c r="EX212">
        <v>0</v>
      </c>
      <c r="EY212">
        <v>0</v>
      </c>
      <c r="FQ212">
        <v>0</v>
      </c>
      <c r="FR212">
        <f t="shared" si="206"/>
        <v>0</v>
      </c>
      <c r="FS212">
        <v>0</v>
      </c>
      <c r="FX212">
        <v>70</v>
      </c>
      <c r="FY212">
        <v>10</v>
      </c>
      <c r="GA212" t="s">
        <v>3</v>
      </c>
      <c r="GD212">
        <v>0</v>
      </c>
      <c r="GF212">
        <v>280582152</v>
      </c>
      <c r="GG212">
        <v>2</v>
      </c>
      <c r="GH212">
        <v>1</v>
      </c>
      <c r="GI212">
        <v>-2</v>
      </c>
      <c r="GJ212">
        <v>0</v>
      </c>
      <c r="GK212">
        <f>ROUND(R212*(R12)/100,2)</f>
        <v>458.51</v>
      </c>
      <c r="GL212">
        <f t="shared" si="207"/>
        <v>0</v>
      </c>
      <c r="GM212">
        <f t="shared" si="208"/>
        <v>23724.31</v>
      </c>
      <c r="GN212">
        <f t="shared" si="209"/>
        <v>0</v>
      </c>
      <c r="GO212">
        <f t="shared" si="210"/>
        <v>0</v>
      </c>
      <c r="GP212">
        <f t="shared" si="211"/>
        <v>23724.31</v>
      </c>
      <c r="GR212">
        <v>0</v>
      </c>
      <c r="GS212">
        <v>3</v>
      </c>
      <c r="GT212">
        <v>0</v>
      </c>
      <c r="GU212" t="s">
        <v>3</v>
      </c>
      <c r="GV212">
        <f t="shared" si="212"/>
        <v>0</v>
      </c>
      <c r="GW212">
        <v>1</v>
      </c>
      <c r="GX212">
        <f t="shared" si="213"/>
        <v>0</v>
      </c>
      <c r="HA212">
        <v>0</v>
      </c>
      <c r="HB212">
        <v>0</v>
      </c>
      <c r="HC212">
        <f t="shared" si="214"/>
        <v>0</v>
      </c>
      <c r="HE212" t="s">
        <v>3</v>
      </c>
      <c r="HF212" t="s">
        <v>3</v>
      </c>
      <c r="IK212">
        <v>0</v>
      </c>
    </row>
    <row r="213" spans="1:245" x14ac:dyDescent="0.2">
      <c r="A213">
        <v>17</v>
      </c>
      <c r="B213">
        <v>1</v>
      </c>
      <c r="C213">
        <f>ROW(SmtRes!A215)</f>
        <v>215</v>
      </c>
      <c r="D213">
        <f>ROW(EtalonRes!A205)</f>
        <v>205</v>
      </c>
      <c r="E213" t="s">
        <v>240</v>
      </c>
      <c r="F213" t="s">
        <v>53</v>
      </c>
      <c r="G213" t="s">
        <v>54</v>
      </c>
      <c r="H213" t="s">
        <v>38</v>
      </c>
      <c r="I213">
        <f>ROUND(90/100,9)</f>
        <v>0.9</v>
      </c>
      <c r="J213">
        <v>0</v>
      </c>
      <c r="O213">
        <f t="shared" si="175"/>
        <v>98148.160000000003</v>
      </c>
      <c r="P213">
        <f t="shared" si="176"/>
        <v>92123.66</v>
      </c>
      <c r="Q213">
        <f t="shared" si="177"/>
        <v>2355.5300000000002</v>
      </c>
      <c r="R213">
        <f t="shared" si="178"/>
        <v>1857.11</v>
      </c>
      <c r="S213">
        <f t="shared" si="179"/>
        <v>3668.97</v>
      </c>
      <c r="T213">
        <f t="shared" si="180"/>
        <v>0</v>
      </c>
      <c r="U213">
        <f t="shared" si="181"/>
        <v>16.596</v>
      </c>
      <c r="V213">
        <f t="shared" si="182"/>
        <v>0</v>
      </c>
      <c r="W213">
        <f t="shared" si="183"/>
        <v>0</v>
      </c>
      <c r="X213">
        <f t="shared" si="184"/>
        <v>2568.2800000000002</v>
      </c>
      <c r="Y213">
        <f t="shared" si="185"/>
        <v>366.9</v>
      </c>
      <c r="AA213">
        <v>52430918</v>
      </c>
      <c r="AB213">
        <f t="shared" si="186"/>
        <v>109053.5</v>
      </c>
      <c r="AC213">
        <f t="shared" si="187"/>
        <v>102359.62</v>
      </c>
      <c r="AD213">
        <f t="shared" si="188"/>
        <v>2617.25</v>
      </c>
      <c r="AE213">
        <f t="shared" si="189"/>
        <v>2063.46</v>
      </c>
      <c r="AF213">
        <f t="shared" si="190"/>
        <v>4076.63</v>
      </c>
      <c r="AG213">
        <f t="shared" si="191"/>
        <v>0</v>
      </c>
      <c r="AH213">
        <f t="shared" si="192"/>
        <v>18.440000000000001</v>
      </c>
      <c r="AI213">
        <f t="shared" si="193"/>
        <v>0</v>
      </c>
      <c r="AJ213">
        <f t="shared" si="194"/>
        <v>0</v>
      </c>
      <c r="AK213">
        <v>109053.5</v>
      </c>
      <c r="AL213">
        <v>102359.62</v>
      </c>
      <c r="AM213">
        <v>2617.25</v>
      </c>
      <c r="AN213">
        <v>2063.46</v>
      </c>
      <c r="AO213">
        <v>4076.63</v>
      </c>
      <c r="AP213">
        <v>0</v>
      </c>
      <c r="AQ213">
        <v>18.440000000000001</v>
      </c>
      <c r="AR213">
        <v>0</v>
      </c>
      <c r="AS213">
        <v>0</v>
      </c>
      <c r="AT213">
        <v>70</v>
      </c>
      <c r="AU213">
        <v>10</v>
      </c>
      <c r="AV213">
        <v>1</v>
      </c>
      <c r="AW213">
        <v>1</v>
      </c>
      <c r="AZ213">
        <v>1</v>
      </c>
      <c r="BA213">
        <v>1</v>
      </c>
      <c r="BB213">
        <v>1</v>
      </c>
      <c r="BC213">
        <v>1</v>
      </c>
      <c r="BD213" t="s">
        <v>3</v>
      </c>
      <c r="BE213" t="s">
        <v>3</v>
      </c>
      <c r="BF213" t="s">
        <v>3</v>
      </c>
      <c r="BG213" t="s">
        <v>3</v>
      </c>
      <c r="BH213">
        <v>0</v>
      </c>
      <c r="BI213">
        <v>4</v>
      </c>
      <c r="BJ213" t="s">
        <v>55</v>
      </c>
      <c r="BM213">
        <v>0</v>
      </c>
      <c r="BN213">
        <v>0</v>
      </c>
      <c r="BO213" t="s">
        <v>3</v>
      </c>
      <c r="BP213">
        <v>0</v>
      </c>
      <c r="BQ213">
        <v>1</v>
      </c>
      <c r="BR213">
        <v>0</v>
      </c>
      <c r="BS213">
        <v>1</v>
      </c>
      <c r="BT213">
        <v>1</v>
      </c>
      <c r="BU213">
        <v>1</v>
      </c>
      <c r="BV213">
        <v>1</v>
      </c>
      <c r="BW213">
        <v>1</v>
      </c>
      <c r="BX213">
        <v>1</v>
      </c>
      <c r="BY213" t="s">
        <v>3</v>
      </c>
      <c r="BZ213">
        <v>70</v>
      </c>
      <c r="CA213">
        <v>10</v>
      </c>
      <c r="CE213">
        <v>0</v>
      </c>
      <c r="CF213">
        <v>0</v>
      </c>
      <c r="CG213">
        <v>0</v>
      </c>
      <c r="CM213">
        <v>0</v>
      </c>
      <c r="CN213" t="s">
        <v>3</v>
      </c>
      <c r="CO213">
        <v>0</v>
      </c>
      <c r="CP213">
        <f t="shared" si="195"/>
        <v>98148.160000000003</v>
      </c>
      <c r="CQ213">
        <f t="shared" si="196"/>
        <v>102359.62</v>
      </c>
      <c r="CR213">
        <f t="shared" si="197"/>
        <v>2617.25</v>
      </c>
      <c r="CS213">
        <f t="shared" si="198"/>
        <v>2063.46</v>
      </c>
      <c r="CT213">
        <f t="shared" si="199"/>
        <v>4076.63</v>
      </c>
      <c r="CU213">
        <f t="shared" si="200"/>
        <v>0</v>
      </c>
      <c r="CV213">
        <f t="shared" si="201"/>
        <v>18.440000000000001</v>
      </c>
      <c r="CW213">
        <f t="shared" si="202"/>
        <v>0</v>
      </c>
      <c r="CX213">
        <f t="shared" si="203"/>
        <v>0</v>
      </c>
      <c r="CY213">
        <f t="shared" si="204"/>
        <v>2568.279</v>
      </c>
      <c r="CZ213">
        <f t="shared" si="205"/>
        <v>366.89699999999999</v>
      </c>
      <c r="DC213" t="s">
        <v>3</v>
      </c>
      <c r="DD213" t="s">
        <v>3</v>
      </c>
      <c r="DE213" t="s">
        <v>3</v>
      </c>
      <c r="DF213" t="s">
        <v>3</v>
      </c>
      <c r="DG213" t="s">
        <v>3</v>
      </c>
      <c r="DH213" t="s">
        <v>3</v>
      </c>
      <c r="DI213" t="s">
        <v>3</v>
      </c>
      <c r="DJ213" t="s">
        <v>3</v>
      </c>
      <c r="DK213" t="s">
        <v>3</v>
      </c>
      <c r="DL213" t="s">
        <v>3</v>
      </c>
      <c r="DM213" t="s">
        <v>3</v>
      </c>
      <c r="DN213">
        <v>0</v>
      </c>
      <c r="DO213">
        <v>0</v>
      </c>
      <c r="DP213">
        <v>1</v>
      </c>
      <c r="DQ213">
        <v>1</v>
      </c>
      <c r="DU213">
        <v>1005</v>
      </c>
      <c r="DV213" t="s">
        <v>38</v>
      </c>
      <c r="DW213" t="s">
        <v>38</v>
      </c>
      <c r="DX213">
        <v>100</v>
      </c>
      <c r="EE213">
        <v>52362078</v>
      </c>
      <c r="EF213">
        <v>1</v>
      </c>
      <c r="EG213" t="s">
        <v>22</v>
      </c>
      <c r="EH213">
        <v>0</v>
      </c>
      <c r="EI213" t="s">
        <v>3</v>
      </c>
      <c r="EJ213">
        <v>4</v>
      </c>
      <c r="EK213">
        <v>0</v>
      </c>
      <c r="EL213" t="s">
        <v>23</v>
      </c>
      <c r="EM213" t="s">
        <v>24</v>
      </c>
      <c r="EO213" t="s">
        <v>3</v>
      </c>
      <c r="EQ213">
        <v>131072</v>
      </c>
      <c r="ER213">
        <v>109053.5</v>
      </c>
      <c r="ES213">
        <v>102359.62</v>
      </c>
      <c r="ET213">
        <v>2617.25</v>
      </c>
      <c r="EU213">
        <v>2063.46</v>
      </c>
      <c r="EV213">
        <v>4076.63</v>
      </c>
      <c r="EW213">
        <v>18.440000000000001</v>
      </c>
      <c r="EX213">
        <v>0</v>
      </c>
      <c r="EY213">
        <v>0</v>
      </c>
      <c r="FQ213">
        <v>0</v>
      </c>
      <c r="FR213">
        <f t="shared" si="206"/>
        <v>0</v>
      </c>
      <c r="FS213">
        <v>0</v>
      </c>
      <c r="FX213">
        <v>70</v>
      </c>
      <c r="FY213">
        <v>10</v>
      </c>
      <c r="GA213" t="s">
        <v>3</v>
      </c>
      <c r="GD213">
        <v>0</v>
      </c>
      <c r="GF213">
        <v>-2129199936</v>
      </c>
      <c r="GG213">
        <v>2</v>
      </c>
      <c r="GH213">
        <v>1</v>
      </c>
      <c r="GI213">
        <v>-2</v>
      </c>
      <c r="GJ213">
        <v>0</v>
      </c>
      <c r="GK213">
        <f>ROUND(R213*(R12)/100,2)</f>
        <v>2005.68</v>
      </c>
      <c r="GL213">
        <f t="shared" si="207"/>
        <v>0</v>
      </c>
      <c r="GM213">
        <f t="shared" si="208"/>
        <v>103089.02</v>
      </c>
      <c r="GN213">
        <f t="shared" si="209"/>
        <v>0</v>
      </c>
      <c r="GO213">
        <f t="shared" si="210"/>
        <v>0</v>
      </c>
      <c r="GP213">
        <f t="shared" si="211"/>
        <v>103089.02</v>
      </c>
      <c r="GR213">
        <v>0</v>
      </c>
      <c r="GS213">
        <v>3</v>
      </c>
      <c r="GT213">
        <v>0</v>
      </c>
      <c r="GU213" t="s">
        <v>3</v>
      </c>
      <c r="GV213">
        <f t="shared" si="212"/>
        <v>0</v>
      </c>
      <c r="GW213">
        <v>1</v>
      </c>
      <c r="GX213">
        <f t="shared" si="213"/>
        <v>0</v>
      </c>
      <c r="HA213">
        <v>0</v>
      </c>
      <c r="HB213">
        <v>0</v>
      </c>
      <c r="HC213">
        <f t="shared" si="214"/>
        <v>0</v>
      </c>
      <c r="HE213" t="s">
        <v>3</v>
      </c>
      <c r="HF213" t="s">
        <v>3</v>
      </c>
      <c r="IK213">
        <v>0</v>
      </c>
    </row>
    <row r="214" spans="1:245" x14ac:dyDescent="0.2">
      <c r="A214">
        <v>17</v>
      </c>
      <c r="B214">
        <v>1</v>
      </c>
      <c r="C214">
        <f>ROW(SmtRes!A221)</f>
        <v>221</v>
      </c>
      <c r="D214">
        <f>ROW(EtalonRes!A211)</f>
        <v>211</v>
      </c>
      <c r="E214" t="s">
        <v>241</v>
      </c>
      <c r="F214" t="s">
        <v>57</v>
      </c>
      <c r="G214" t="s">
        <v>58</v>
      </c>
      <c r="H214" t="s">
        <v>38</v>
      </c>
      <c r="I214">
        <f>ROUND(90/100,9)</f>
        <v>0.9</v>
      </c>
      <c r="J214">
        <v>0</v>
      </c>
      <c r="O214">
        <f t="shared" si="175"/>
        <v>18056.810000000001</v>
      </c>
      <c r="P214">
        <f t="shared" si="176"/>
        <v>17070.86</v>
      </c>
      <c r="Q214">
        <f t="shared" si="177"/>
        <v>443.57</v>
      </c>
      <c r="R214">
        <f t="shared" si="178"/>
        <v>350.66</v>
      </c>
      <c r="S214">
        <f t="shared" si="179"/>
        <v>542.38</v>
      </c>
      <c r="T214">
        <f t="shared" si="180"/>
        <v>0</v>
      </c>
      <c r="U214">
        <f t="shared" si="181"/>
        <v>2.3849999999999998</v>
      </c>
      <c r="V214">
        <f t="shared" si="182"/>
        <v>0</v>
      </c>
      <c r="W214">
        <f t="shared" si="183"/>
        <v>0</v>
      </c>
      <c r="X214">
        <f t="shared" si="184"/>
        <v>379.67</v>
      </c>
      <c r="Y214">
        <f t="shared" si="185"/>
        <v>54.24</v>
      </c>
      <c r="AA214">
        <v>52430918</v>
      </c>
      <c r="AB214">
        <f t="shared" si="186"/>
        <v>20063.12</v>
      </c>
      <c r="AC214">
        <f t="shared" si="187"/>
        <v>18967.62</v>
      </c>
      <c r="AD214">
        <f t="shared" si="188"/>
        <v>492.86</v>
      </c>
      <c r="AE214">
        <f t="shared" si="189"/>
        <v>389.62</v>
      </c>
      <c r="AF214">
        <f t="shared" si="190"/>
        <v>602.64</v>
      </c>
      <c r="AG214">
        <f t="shared" si="191"/>
        <v>0</v>
      </c>
      <c r="AH214">
        <f t="shared" si="192"/>
        <v>2.65</v>
      </c>
      <c r="AI214">
        <f t="shared" si="193"/>
        <v>0</v>
      </c>
      <c r="AJ214">
        <f t="shared" si="194"/>
        <v>0</v>
      </c>
      <c r="AK214">
        <v>20063.12</v>
      </c>
      <c r="AL214">
        <v>18967.62</v>
      </c>
      <c r="AM214">
        <v>492.86</v>
      </c>
      <c r="AN214">
        <v>389.62</v>
      </c>
      <c r="AO214">
        <v>602.64</v>
      </c>
      <c r="AP214">
        <v>0</v>
      </c>
      <c r="AQ214">
        <v>2.65</v>
      </c>
      <c r="AR214">
        <v>0</v>
      </c>
      <c r="AS214">
        <v>0</v>
      </c>
      <c r="AT214">
        <v>70</v>
      </c>
      <c r="AU214">
        <v>10</v>
      </c>
      <c r="AV214">
        <v>1</v>
      </c>
      <c r="AW214">
        <v>1</v>
      </c>
      <c r="AZ214">
        <v>1</v>
      </c>
      <c r="BA214">
        <v>1</v>
      </c>
      <c r="BB214">
        <v>1</v>
      </c>
      <c r="BC214">
        <v>1</v>
      </c>
      <c r="BD214" t="s">
        <v>3</v>
      </c>
      <c r="BE214" t="s">
        <v>3</v>
      </c>
      <c r="BF214" t="s">
        <v>3</v>
      </c>
      <c r="BG214" t="s">
        <v>3</v>
      </c>
      <c r="BH214">
        <v>0</v>
      </c>
      <c r="BI214">
        <v>4</v>
      </c>
      <c r="BJ214" t="s">
        <v>59</v>
      </c>
      <c r="BM214">
        <v>0</v>
      </c>
      <c r="BN214">
        <v>0</v>
      </c>
      <c r="BO214" t="s">
        <v>3</v>
      </c>
      <c r="BP214">
        <v>0</v>
      </c>
      <c r="BQ214">
        <v>1</v>
      </c>
      <c r="BR214">
        <v>0</v>
      </c>
      <c r="BS214">
        <v>1</v>
      </c>
      <c r="BT214">
        <v>1</v>
      </c>
      <c r="BU214">
        <v>1</v>
      </c>
      <c r="BV214">
        <v>1</v>
      </c>
      <c r="BW214">
        <v>1</v>
      </c>
      <c r="BX214">
        <v>1</v>
      </c>
      <c r="BY214" t="s">
        <v>3</v>
      </c>
      <c r="BZ214">
        <v>70</v>
      </c>
      <c r="CA214">
        <v>10</v>
      </c>
      <c r="CE214">
        <v>0</v>
      </c>
      <c r="CF214">
        <v>0</v>
      </c>
      <c r="CG214">
        <v>0</v>
      </c>
      <c r="CM214">
        <v>0</v>
      </c>
      <c r="CN214" t="s">
        <v>3</v>
      </c>
      <c r="CO214">
        <v>0</v>
      </c>
      <c r="CP214">
        <f t="shared" si="195"/>
        <v>18056.810000000001</v>
      </c>
      <c r="CQ214">
        <f t="shared" si="196"/>
        <v>18967.62</v>
      </c>
      <c r="CR214">
        <f t="shared" si="197"/>
        <v>492.86</v>
      </c>
      <c r="CS214">
        <f t="shared" si="198"/>
        <v>389.62</v>
      </c>
      <c r="CT214">
        <f t="shared" si="199"/>
        <v>602.64</v>
      </c>
      <c r="CU214">
        <f t="shared" si="200"/>
        <v>0</v>
      </c>
      <c r="CV214">
        <f t="shared" si="201"/>
        <v>2.65</v>
      </c>
      <c r="CW214">
        <f t="shared" si="202"/>
        <v>0</v>
      </c>
      <c r="CX214">
        <f t="shared" si="203"/>
        <v>0</v>
      </c>
      <c r="CY214">
        <f t="shared" si="204"/>
        <v>379.666</v>
      </c>
      <c r="CZ214">
        <f t="shared" si="205"/>
        <v>54.238</v>
      </c>
      <c r="DC214" t="s">
        <v>3</v>
      </c>
      <c r="DD214" t="s">
        <v>3</v>
      </c>
      <c r="DE214" t="s">
        <v>3</v>
      </c>
      <c r="DF214" t="s">
        <v>3</v>
      </c>
      <c r="DG214" t="s">
        <v>3</v>
      </c>
      <c r="DH214" t="s">
        <v>3</v>
      </c>
      <c r="DI214" t="s">
        <v>3</v>
      </c>
      <c r="DJ214" t="s">
        <v>3</v>
      </c>
      <c r="DK214" t="s">
        <v>3</v>
      </c>
      <c r="DL214" t="s">
        <v>3</v>
      </c>
      <c r="DM214" t="s">
        <v>3</v>
      </c>
      <c r="DN214">
        <v>0</v>
      </c>
      <c r="DO214">
        <v>0</v>
      </c>
      <c r="DP214">
        <v>1</v>
      </c>
      <c r="DQ214">
        <v>1</v>
      </c>
      <c r="DU214">
        <v>1005</v>
      </c>
      <c r="DV214" t="s">
        <v>38</v>
      </c>
      <c r="DW214" t="s">
        <v>38</v>
      </c>
      <c r="DX214">
        <v>100</v>
      </c>
      <c r="EE214">
        <v>52362078</v>
      </c>
      <c r="EF214">
        <v>1</v>
      </c>
      <c r="EG214" t="s">
        <v>22</v>
      </c>
      <c r="EH214">
        <v>0</v>
      </c>
      <c r="EI214" t="s">
        <v>3</v>
      </c>
      <c r="EJ214">
        <v>4</v>
      </c>
      <c r="EK214">
        <v>0</v>
      </c>
      <c r="EL214" t="s">
        <v>23</v>
      </c>
      <c r="EM214" t="s">
        <v>24</v>
      </c>
      <c r="EO214" t="s">
        <v>3</v>
      </c>
      <c r="EQ214">
        <v>131072</v>
      </c>
      <c r="ER214">
        <v>20063.12</v>
      </c>
      <c r="ES214">
        <v>18967.62</v>
      </c>
      <c r="ET214">
        <v>492.86</v>
      </c>
      <c r="EU214">
        <v>389.62</v>
      </c>
      <c r="EV214">
        <v>602.64</v>
      </c>
      <c r="EW214">
        <v>2.65</v>
      </c>
      <c r="EX214">
        <v>0</v>
      </c>
      <c r="EY214">
        <v>0</v>
      </c>
      <c r="FQ214">
        <v>0</v>
      </c>
      <c r="FR214">
        <f t="shared" si="206"/>
        <v>0</v>
      </c>
      <c r="FS214">
        <v>0</v>
      </c>
      <c r="FX214">
        <v>70</v>
      </c>
      <c r="FY214">
        <v>10</v>
      </c>
      <c r="GA214" t="s">
        <v>3</v>
      </c>
      <c r="GD214">
        <v>0</v>
      </c>
      <c r="GF214">
        <v>-1181657983</v>
      </c>
      <c r="GG214">
        <v>2</v>
      </c>
      <c r="GH214">
        <v>1</v>
      </c>
      <c r="GI214">
        <v>-2</v>
      </c>
      <c r="GJ214">
        <v>0</v>
      </c>
      <c r="GK214">
        <f>ROUND(R214*(R12)/100,2)</f>
        <v>378.71</v>
      </c>
      <c r="GL214">
        <f t="shared" si="207"/>
        <v>0</v>
      </c>
      <c r="GM214">
        <f t="shared" si="208"/>
        <v>18869.43</v>
      </c>
      <c r="GN214">
        <f t="shared" si="209"/>
        <v>0</v>
      </c>
      <c r="GO214">
        <f t="shared" si="210"/>
        <v>0</v>
      </c>
      <c r="GP214">
        <f t="shared" si="211"/>
        <v>18869.43</v>
      </c>
      <c r="GR214">
        <v>0</v>
      </c>
      <c r="GS214">
        <v>3</v>
      </c>
      <c r="GT214">
        <v>0</v>
      </c>
      <c r="GU214" t="s">
        <v>3</v>
      </c>
      <c r="GV214">
        <f t="shared" si="212"/>
        <v>0</v>
      </c>
      <c r="GW214">
        <v>1</v>
      </c>
      <c r="GX214">
        <f t="shared" si="213"/>
        <v>0</v>
      </c>
      <c r="HA214">
        <v>0</v>
      </c>
      <c r="HB214">
        <v>0</v>
      </c>
      <c r="HC214">
        <f t="shared" si="214"/>
        <v>0</v>
      </c>
      <c r="HE214" t="s">
        <v>3</v>
      </c>
      <c r="HF214" t="s">
        <v>3</v>
      </c>
      <c r="IK214">
        <v>0</v>
      </c>
    </row>
    <row r="215" spans="1:245" x14ac:dyDescent="0.2">
      <c r="A215">
        <v>17</v>
      </c>
      <c r="B215">
        <v>1</v>
      </c>
      <c r="C215">
        <f>ROW(SmtRes!A222)</f>
        <v>222</v>
      </c>
      <c r="D215">
        <f>ROW(EtalonRes!A212)</f>
        <v>212</v>
      </c>
      <c r="E215" t="s">
        <v>242</v>
      </c>
      <c r="F215" t="s">
        <v>61</v>
      </c>
      <c r="G215" t="s">
        <v>62</v>
      </c>
      <c r="H215" t="s">
        <v>33</v>
      </c>
      <c r="I215">
        <v>0</v>
      </c>
      <c r="J215">
        <v>0</v>
      </c>
      <c r="O215">
        <f t="shared" si="175"/>
        <v>0</v>
      </c>
      <c r="P215">
        <f t="shared" si="176"/>
        <v>0</v>
      </c>
      <c r="Q215">
        <f t="shared" si="177"/>
        <v>0</v>
      </c>
      <c r="R215">
        <f t="shared" si="178"/>
        <v>0</v>
      </c>
      <c r="S215">
        <f t="shared" si="179"/>
        <v>0</v>
      </c>
      <c r="T215">
        <f t="shared" si="180"/>
        <v>0</v>
      </c>
      <c r="U215">
        <f t="shared" si="181"/>
        <v>0</v>
      </c>
      <c r="V215">
        <f t="shared" si="182"/>
        <v>0</v>
      </c>
      <c r="W215">
        <f t="shared" si="183"/>
        <v>0</v>
      </c>
      <c r="X215">
        <f t="shared" si="184"/>
        <v>0</v>
      </c>
      <c r="Y215">
        <f t="shared" si="185"/>
        <v>0</v>
      </c>
      <c r="AA215">
        <v>52430918</v>
      </c>
      <c r="AB215">
        <f t="shared" si="186"/>
        <v>41951.1</v>
      </c>
      <c r="AC215">
        <f t="shared" si="187"/>
        <v>0</v>
      </c>
      <c r="AD215">
        <f t="shared" si="188"/>
        <v>0</v>
      </c>
      <c r="AE215">
        <f t="shared" si="189"/>
        <v>0</v>
      </c>
      <c r="AF215">
        <f t="shared" si="190"/>
        <v>41951.1</v>
      </c>
      <c r="AG215">
        <f t="shared" si="191"/>
        <v>0</v>
      </c>
      <c r="AH215">
        <f t="shared" si="192"/>
        <v>221.6</v>
      </c>
      <c r="AI215">
        <f t="shared" si="193"/>
        <v>0</v>
      </c>
      <c r="AJ215">
        <f t="shared" si="194"/>
        <v>0</v>
      </c>
      <c r="AK215">
        <v>41951.1</v>
      </c>
      <c r="AL215">
        <v>0</v>
      </c>
      <c r="AM215">
        <v>0</v>
      </c>
      <c r="AN215">
        <v>0</v>
      </c>
      <c r="AO215">
        <v>41951.1</v>
      </c>
      <c r="AP215">
        <v>0</v>
      </c>
      <c r="AQ215">
        <v>221.6</v>
      </c>
      <c r="AR215">
        <v>0</v>
      </c>
      <c r="AS215">
        <v>0</v>
      </c>
      <c r="AT215">
        <v>70</v>
      </c>
      <c r="AU215">
        <v>10</v>
      </c>
      <c r="AV215">
        <v>1</v>
      </c>
      <c r="AW215">
        <v>1</v>
      </c>
      <c r="AZ215">
        <v>1</v>
      </c>
      <c r="BA215">
        <v>1</v>
      </c>
      <c r="BB215">
        <v>1</v>
      </c>
      <c r="BC215">
        <v>1</v>
      </c>
      <c r="BD215" t="s">
        <v>3</v>
      </c>
      <c r="BE215" t="s">
        <v>3</v>
      </c>
      <c r="BF215" t="s">
        <v>3</v>
      </c>
      <c r="BG215" t="s">
        <v>3</v>
      </c>
      <c r="BH215">
        <v>0</v>
      </c>
      <c r="BI215">
        <v>4</v>
      </c>
      <c r="BJ215" t="s">
        <v>63</v>
      </c>
      <c r="BM215">
        <v>0</v>
      </c>
      <c r="BN215">
        <v>0</v>
      </c>
      <c r="BO215" t="s">
        <v>3</v>
      </c>
      <c r="BP215">
        <v>0</v>
      </c>
      <c r="BQ215">
        <v>1</v>
      </c>
      <c r="BR215">
        <v>0</v>
      </c>
      <c r="BS215">
        <v>1</v>
      </c>
      <c r="BT215">
        <v>1</v>
      </c>
      <c r="BU215">
        <v>1</v>
      </c>
      <c r="BV215">
        <v>1</v>
      </c>
      <c r="BW215">
        <v>1</v>
      </c>
      <c r="BX215">
        <v>1</v>
      </c>
      <c r="BY215" t="s">
        <v>3</v>
      </c>
      <c r="BZ215">
        <v>70</v>
      </c>
      <c r="CA215">
        <v>10</v>
      </c>
      <c r="CE215">
        <v>0</v>
      </c>
      <c r="CF215">
        <v>0</v>
      </c>
      <c r="CG215">
        <v>0</v>
      </c>
      <c r="CM215">
        <v>0</v>
      </c>
      <c r="CN215" t="s">
        <v>3</v>
      </c>
      <c r="CO215">
        <v>0</v>
      </c>
      <c r="CP215">
        <f t="shared" si="195"/>
        <v>0</v>
      </c>
      <c r="CQ215">
        <f t="shared" si="196"/>
        <v>0</v>
      </c>
      <c r="CR215">
        <f t="shared" si="197"/>
        <v>0</v>
      </c>
      <c r="CS215">
        <f t="shared" si="198"/>
        <v>0</v>
      </c>
      <c r="CT215">
        <f t="shared" si="199"/>
        <v>41951.1</v>
      </c>
      <c r="CU215">
        <f t="shared" si="200"/>
        <v>0</v>
      </c>
      <c r="CV215">
        <f t="shared" si="201"/>
        <v>221.6</v>
      </c>
      <c r="CW215">
        <f t="shared" si="202"/>
        <v>0</v>
      </c>
      <c r="CX215">
        <f t="shared" si="203"/>
        <v>0</v>
      </c>
      <c r="CY215">
        <f t="shared" si="204"/>
        <v>0</v>
      </c>
      <c r="CZ215">
        <f t="shared" si="205"/>
        <v>0</v>
      </c>
      <c r="DC215" t="s">
        <v>3</v>
      </c>
      <c r="DD215" t="s">
        <v>3</v>
      </c>
      <c r="DE215" t="s">
        <v>3</v>
      </c>
      <c r="DF215" t="s">
        <v>3</v>
      </c>
      <c r="DG215" t="s">
        <v>3</v>
      </c>
      <c r="DH215" t="s">
        <v>3</v>
      </c>
      <c r="DI215" t="s">
        <v>3</v>
      </c>
      <c r="DJ215" t="s">
        <v>3</v>
      </c>
      <c r="DK215" t="s">
        <v>3</v>
      </c>
      <c r="DL215" t="s">
        <v>3</v>
      </c>
      <c r="DM215" t="s">
        <v>3</v>
      </c>
      <c r="DN215">
        <v>0</v>
      </c>
      <c r="DO215">
        <v>0</v>
      </c>
      <c r="DP215">
        <v>1</v>
      </c>
      <c r="DQ215">
        <v>1</v>
      </c>
      <c r="DU215">
        <v>1007</v>
      </c>
      <c r="DV215" t="s">
        <v>33</v>
      </c>
      <c r="DW215" t="s">
        <v>33</v>
      </c>
      <c r="DX215">
        <v>100</v>
      </c>
      <c r="EE215">
        <v>52362078</v>
      </c>
      <c r="EF215">
        <v>1</v>
      </c>
      <c r="EG215" t="s">
        <v>22</v>
      </c>
      <c r="EH215">
        <v>0</v>
      </c>
      <c r="EI215" t="s">
        <v>3</v>
      </c>
      <c r="EJ215">
        <v>4</v>
      </c>
      <c r="EK215">
        <v>0</v>
      </c>
      <c r="EL215" t="s">
        <v>23</v>
      </c>
      <c r="EM215" t="s">
        <v>24</v>
      </c>
      <c r="EO215" t="s">
        <v>3</v>
      </c>
      <c r="EQ215">
        <v>131072</v>
      </c>
      <c r="ER215">
        <v>41951.1</v>
      </c>
      <c r="ES215">
        <v>0</v>
      </c>
      <c r="ET215">
        <v>0</v>
      </c>
      <c r="EU215">
        <v>0</v>
      </c>
      <c r="EV215">
        <v>41951.1</v>
      </c>
      <c r="EW215">
        <v>221.6</v>
      </c>
      <c r="EX215">
        <v>0</v>
      </c>
      <c r="EY215">
        <v>0</v>
      </c>
      <c r="FQ215">
        <v>0</v>
      </c>
      <c r="FR215">
        <f t="shared" si="206"/>
        <v>0</v>
      </c>
      <c r="FS215">
        <v>0</v>
      </c>
      <c r="FX215">
        <v>70</v>
      </c>
      <c r="FY215">
        <v>10</v>
      </c>
      <c r="GA215" t="s">
        <v>3</v>
      </c>
      <c r="GD215">
        <v>0</v>
      </c>
      <c r="GF215">
        <v>-1535592702</v>
      </c>
      <c r="GG215">
        <v>2</v>
      </c>
      <c r="GH215">
        <v>1</v>
      </c>
      <c r="GI215">
        <v>-2</v>
      </c>
      <c r="GJ215">
        <v>0</v>
      </c>
      <c r="GK215">
        <f>ROUND(R215*(R12)/100,2)</f>
        <v>0</v>
      </c>
      <c r="GL215">
        <f t="shared" si="207"/>
        <v>0</v>
      </c>
      <c r="GM215">
        <f t="shared" si="208"/>
        <v>0</v>
      </c>
      <c r="GN215">
        <f t="shared" si="209"/>
        <v>0</v>
      </c>
      <c r="GO215">
        <f t="shared" si="210"/>
        <v>0</v>
      </c>
      <c r="GP215">
        <f t="shared" si="211"/>
        <v>0</v>
      </c>
      <c r="GR215">
        <v>0</v>
      </c>
      <c r="GS215">
        <v>3</v>
      </c>
      <c r="GT215">
        <v>0</v>
      </c>
      <c r="GU215" t="s">
        <v>3</v>
      </c>
      <c r="GV215">
        <f t="shared" si="212"/>
        <v>0</v>
      </c>
      <c r="GW215">
        <v>1</v>
      </c>
      <c r="GX215">
        <f t="shared" si="213"/>
        <v>0</v>
      </c>
      <c r="HA215">
        <v>0</v>
      </c>
      <c r="HB215">
        <v>0</v>
      </c>
      <c r="HC215">
        <f t="shared" si="214"/>
        <v>0</v>
      </c>
      <c r="HE215" t="s">
        <v>3</v>
      </c>
      <c r="HF215" t="s">
        <v>3</v>
      </c>
      <c r="IK215">
        <v>0</v>
      </c>
    </row>
    <row r="216" spans="1:245" x14ac:dyDescent="0.2">
      <c r="A216">
        <v>17</v>
      </c>
      <c r="B216">
        <v>1</v>
      </c>
      <c r="C216">
        <f>ROW(SmtRes!A230)</f>
        <v>230</v>
      </c>
      <c r="D216">
        <f>ROW(EtalonRes!A220)</f>
        <v>220</v>
      </c>
      <c r="E216" t="s">
        <v>243</v>
      </c>
      <c r="F216" t="s">
        <v>31</v>
      </c>
      <c r="G216" t="s">
        <v>65</v>
      </c>
      <c r="H216" t="s">
        <v>33</v>
      </c>
      <c r="I216">
        <v>0</v>
      </c>
      <c r="J216">
        <v>0</v>
      </c>
      <c r="O216">
        <f t="shared" si="175"/>
        <v>0</v>
      </c>
      <c r="P216">
        <f t="shared" si="176"/>
        <v>0</v>
      </c>
      <c r="Q216">
        <f t="shared" si="177"/>
        <v>0</v>
      </c>
      <c r="R216">
        <f t="shared" si="178"/>
        <v>0</v>
      </c>
      <c r="S216">
        <f t="shared" si="179"/>
        <v>0</v>
      </c>
      <c r="T216">
        <f t="shared" si="180"/>
        <v>0</v>
      </c>
      <c r="U216">
        <f t="shared" si="181"/>
        <v>0</v>
      </c>
      <c r="V216">
        <f t="shared" si="182"/>
        <v>0</v>
      </c>
      <c r="W216">
        <f t="shared" si="183"/>
        <v>0</v>
      </c>
      <c r="X216">
        <f t="shared" si="184"/>
        <v>0</v>
      </c>
      <c r="Y216">
        <f t="shared" si="185"/>
        <v>0</v>
      </c>
      <c r="AA216">
        <v>52430918</v>
      </c>
      <c r="AB216">
        <f t="shared" si="186"/>
        <v>75863.820000000007</v>
      </c>
      <c r="AC216">
        <f t="shared" si="187"/>
        <v>65162.05</v>
      </c>
      <c r="AD216">
        <f t="shared" si="188"/>
        <v>7602.23</v>
      </c>
      <c r="AE216">
        <f t="shared" si="189"/>
        <v>3222.98</v>
      </c>
      <c r="AF216">
        <f t="shared" si="190"/>
        <v>3099.54</v>
      </c>
      <c r="AG216">
        <f t="shared" si="191"/>
        <v>0</v>
      </c>
      <c r="AH216">
        <f t="shared" si="192"/>
        <v>16.559999999999999</v>
      </c>
      <c r="AI216">
        <f t="shared" si="193"/>
        <v>0</v>
      </c>
      <c r="AJ216">
        <f t="shared" si="194"/>
        <v>0</v>
      </c>
      <c r="AK216">
        <v>75863.820000000007</v>
      </c>
      <c r="AL216">
        <v>65162.05</v>
      </c>
      <c r="AM216">
        <v>7602.23</v>
      </c>
      <c r="AN216">
        <v>3222.98</v>
      </c>
      <c r="AO216">
        <v>3099.54</v>
      </c>
      <c r="AP216">
        <v>0</v>
      </c>
      <c r="AQ216">
        <v>16.559999999999999</v>
      </c>
      <c r="AR216">
        <v>0</v>
      </c>
      <c r="AS216">
        <v>0</v>
      </c>
      <c r="AT216">
        <v>70</v>
      </c>
      <c r="AU216">
        <v>10</v>
      </c>
      <c r="AV216">
        <v>1</v>
      </c>
      <c r="AW216">
        <v>1</v>
      </c>
      <c r="AZ216">
        <v>1</v>
      </c>
      <c r="BA216">
        <v>1</v>
      </c>
      <c r="BB216">
        <v>1</v>
      </c>
      <c r="BC216">
        <v>1</v>
      </c>
      <c r="BD216" t="s">
        <v>3</v>
      </c>
      <c r="BE216" t="s">
        <v>3</v>
      </c>
      <c r="BF216" t="s">
        <v>3</v>
      </c>
      <c r="BG216" t="s">
        <v>3</v>
      </c>
      <c r="BH216">
        <v>0</v>
      </c>
      <c r="BI216">
        <v>4</v>
      </c>
      <c r="BJ216" t="s">
        <v>34</v>
      </c>
      <c r="BM216">
        <v>0</v>
      </c>
      <c r="BN216">
        <v>0</v>
      </c>
      <c r="BO216" t="s">
        <v>3</v>
      </c>
      <c r="BP216">
        <v>0</v>
      </c>
      <c r="BQ216">
        <v>1</v>
      </c>
      <c r="BR216">
        <v>0</v>
      </c>
      <c r="BS216">
        <v>1</v>
      </c>
      <c r="BT216">
        <v>1</v>
      </c>
      <c r="BU216">
        <v>1</v>
      </c>
      <c r="BV216">
        <v>1</v>
      </c>
      <c r="BW216">
        <v>1</v>
      </c>
      <c r="BX216">
        <v>1</v>
      </c>
      <c r="BY216" t="s">
        <v>3</v>
      </c>
      <c r="BZ216">
        <v>70</v>
      </c>
      <c r="CA216">
        <v>10</v>
      </c>
      <c r="CE216">
        <v>0</v>
      </c>
      <c r="CF216">
        <v>0</v>
      </c>
      <c r="CG216">
        <v>0</v>
      </c>
      <c r="CM216">
        <v>0</v>
      </c>
      <c r="CN216" t="s">
        <v>3</v>
      </c>
      <c r="CO216">
        <v>0</v>
      </c>
      <c r="CP216">
        <f t="shared" si="195"/>
        <v>0</v>
      </c>
      <c r="CQ216">
        <f t="shared" si="196"/>
        <v>65162.05</v>
      </c>
      <c r="CR216">
        <f t="shared" si="197"/>
        <v>7602.23</v>
      </c>
      <c r="CS216">
        <f t="shared" si="198"/>
        <v>3222.98</v>
      </c>
      <c r="CT216">
        <f t="shared" si="199"/>
        <v>3099.54</v>
      </c>
      <c r="CU216">
        <f t="shared" si="200"/>
        <v>0</v>
      </c>
      <c r="CV216">
        <f t="shared" si="201"/>
        <v>16.559999999999999</v>
      </c>
      <c r="CW216">
        <f t="shared" si="202"/>
        <v>0</v>
      </c>
      <c r="CX216">
        <f t="shared" si="203"/>
        <v>0</v>
      </c>
      <c r="CY216">
        <f t="shared" si="204"/>
        <v>0</v>
      </c>
      <c r="CZ216">
        <f t="shared" si="205"/>
        <v>0</v>
      </c>
      <c r="DC216" t="s">
        <v>3</v>
      </c>
      <c r="DD216" t="s">
        <v>3</v>
      </c>
      <c r="DE216" t="s">
        <v>3</v>
      </c>
      <c r="DF216" t="s">
        <v>3</v>
      </c>
      <c r="DG216" t="s">
        <v>3</v>
      </c>
      <c r="DH216" t="s">
        <v>3</v>
      </c>
      <c r="DI216" t="s">
        <v>3</v>
      </c>
      <c r="DJ216" t="s">
        <v>3</v>
      </c>
      <c r="DK216" t="s">
        <v>3</v>
      </c>
      <c r="DL216" t="s">
        <v>3</v>
      </c>
      <c r="DM216" t="s">
        <v>3</v>
      </c>
      <c r="DN216">
        <v>0</v>
      </c>
      <c r="DO216">
        <v>0</v>
      </c>
      <c r="DP216">
        <v>1</v>
      </c>
      <c r="DQ216">
        <v>1</v>
      </c>
      <c r="DU216">
        <v>1007</v>
      </c>
      <c r="DV216" t="s">
        <v>33</v>
      </c>
      <c r="DW216" t="s">
        <v>33</v>
      </c>
      <c r="DX216">
        <v>100</v>
      </c>
      <c r="EE216">
        <v>52362078</v>
      </c>
      <c r="EF216">
        <v>1</v>
      </c>
      <c r="EG216" t="s">
        <v>22</v>
      </c>
      <c r="EH216">
        <v>0</v>
      </c>
      <c r="EI216" t="s">
        <v>3</v>
      </c>
      <c r="EJ216">
        <v>4</v>
      </c>
      <c r="EK216">
        <v>0</v>
      </c>
      <c r="EL216" t="s">
        <v>23</v>
      </c>
      <c r="EM216" t="s">
        <v>24</v>
      </c>
      <c r="EO216" t="s">
        <v>3</v>
      </c>
      <c r="EQ216">
        <v>131072</v>
      </c>
      <c r="ER216">
        <v>75863.820000000007</v>
      </c>
      <c r="ES216">
        <v>65162.05</v>
      </c>
      <c r="ET216">
        <v>7602.23</v>
      </c>
      <c r="EU216">
        <v>3222.98</v>
      </c>
      <c r="EV216">
        <v>3099.54</v>
      </c>
      <c r="EW216">
        <v>16.559999999999999</v>
      </c>
      <c r="EX216">
        <v>0</v>
      </c>
      <c r="EY216">
        <v>0</v>
      </c>
      <c r="FQ216">
        <v>0</v>
      </c>
      <c r="FR216">
        <f t="shared" si="206"/>
        <v>0</v>
      </c>
      <c r="FS216">
        <v>0</v>
      </c>
      <c r="FX216">
        <v>70</v>
      </c>
      <c r="FY216">
        <v>10</v>
      </c>
      <c r="GA216" t="s">
        <v>3</v>
      </c>
      <c r="GD216">
        <v>0</v>
      </c>
      <c r="GF216">
        <v>-1374033590</v>
      </c>
      <c r="GG216">
        <v>2</v>
      </c>
      <c r="GH216">
        <v>1</v>
      </c>
      <c r="GI216">
        <v>-2</v>
      </c>
      <c r="GJ216">
        <v>0</v>
      </c>
      <c r="GK216">
        <f>ROUND(R216*(R12)/100,2)</f>
        <v>0</v>
      </c>
      <c r="GL216">
        <f t="shared" si="207"/>
        <v>0</v>
      </c>
      <c r="GM216">
        <f t="shared" si="208"/>
        <v>0</v>
      </c>
      <c r="GN216">
        <f t="shared" si="209"/>
        <v>0</v>
      </c>
      <c r="GO216">
        <f t="shared" si="210"/>
        <v>0</v>
      </c>
      <c r="GP216">
        <f t="shared" si="211"/>
        <v>0</v>
      </c>
      <c r="GR216">
        <v>0</v>
      </c>
      <c r="GS216">
        <v>3</v>
      </c>
      <c r="GT216">
        <v>0</v>
      </c>
      <c r="GU216" t="s">
        <v>3</v>
      </c>
      <c r="GV216">
        <f t="shared" si="212"/>
        <v>0</v>
      </c>
      <c r="GW216">
        <v>1</v>
      </c>
      <c r="GX216">
        <f t="shared" si="213"/>
        <v>0</v>
      </c>
      <c r="HA216">
        <v>0</v>
      </c>
      <c r="HB216">
        <v>0</v>
      </c>
      <c r="HC216">
        <f t="shared" si="214"/>
        <v>0</v>
      </c>
      <c r="HE216" t="s">
        <v>3</v>
      </c>
      <c r="HF216" t="s">
        <v>3</v>
      </c>
      <c r="IK216">
        <v>0</v>
      </c>
    </row>
    <row r="217" spans="1:245" x14ac:dyDescent="0.2">
      <c r="A217">
        <v>17</v>
      </c>
      <c r="B217">
        <v>1</v>
      </c>
      <c r="C217">
        <f>ROW(SmtRes!A235)</f>
        <v>235</v>
      </c>
      <c r="D217">
        <f>ROW(EtalonRes!A225)</f>
        <v>225</v>
      </c>
      <c r="E217" t="s">
        <v>244</v>
      </c>
      <c r="F217" t="s">
        <v>67</v>
      </c>
      <c r="G217" t="s">
        <v>68</v>
      </c>
      <c r="H217" t="s">
        <v>69</v>
      </c>
      <c r="I217">
        <f>ROUND(38/100,9)</f>
        <v>0.38</v>
      </c>
      <c r="J217">
        <v>0</v>
      </c>
      <c r="O217">
        <f t="shared" si="175"/>
        <v>18813.169999999998</v>
      </c>
      <c r="P217">
        <f t="shared" si="176"/>
        <v>13128.13</v>
      </c>
      <c r="Q217">
        <f t="shared" si="177"/>
        <v>67.569999999999993</v>
      </c>
      <c r="R217">
        <f t="shared" si="178"/>
        <v>36.68</v>
      </c>
      <c r="S217">
        <f t="shared" si="179"/>
        <v>5617.47</v>
      </c>
      <c r="T217">
        <f t="shared" si="180"/>
        <v>0</v>
      </c>
      <c r="U217">
        <f t="shared" si="181"/>
        <v>27.721</v>
      </c>
      <c r="V217">
        <f t="shared" si="182"/>
        <v>0</v>
      </c>
      <c r="W217">
        <f t="shared" si="183"/>
        <v>0</v>
      </c>
      <c r="X217">
        <f t="shared" si="184"/>
        <v>3932.23</v>
      </c>
      <c r="Y217">
        <f t="shared" si="185"/>
        <v>561.75</v>
      </c>
      <c r="AA217">
        <v>52430918</v>
      </c>
      <c r="AB217">
        <f t="shared" si="186"/>
        <v>49508.32</v>
      </c>
      <c r="AC217">
        <f t="shared" si="187"/>
        <v>34547.699999999997</v>
      </c>
      <c r="AD217">
        <f t="shared" si="188"/>
        <v>177.81</v>
      </c>
      <c r="AE217">
        <f t="shared" si="189"/>
        <v>96.53</v>
      </c>
      <c r="AF217">
        <f t="shared" si="190"/>
        <v>14782.81</v>
      </c>
      <c r="AG217">
        <f t="shared" si="191"/>
        <v>0</v>
      </c>
      <c r="AH217">
        <f t="shared" si="192"/>
        <v>72.95</v>
      </c>
      <c r="AI217">
        <f t="shared" si="193"/>
        <v>0</v>
      </c>
      <c r="AJ217">
        <f t="shared" si="194"/>
        <v>0</v>
      </c>
      <c r="AK217">
        <v>49508.32</v>
      </c>
      <c r="AL217">
        <v>34547.699999999997</v>
      </c>
      <c r="AM217">
        <v>177.81</v>
      </c>
      <c r="AN217">
        <v>96.53</v>
      </c>
      <c r="AO217">
        <v>14782.81</v>
      </c>
      <c r="AP217">
        <v>0</v>
      </c>
      <c r="AQ217">
        <v>72.95</v>
      </c>
      <c r="AR217">
        <v>0</v>
      </c>
      <c r="AS217">
        <v>0</v>
      </c>
      <c r="AT217">
        <v>70</v>
      </c>
      <c r="AU217">
        <v>10</v>
      </c>
      <c r="AV217">
        <v>1</v>
      </c>
      <c r="AW217">
        <v>1</v>
      </c>
      <c r="AZ217">
        <v>1</v>
      </c>
      <c r="BA217">
        <v>1</v>
      </c>
      <c r="BB217">
        <v>1</v>
      </c>
      <c r="BC217">
        <v>1</v>
      </c>
      <c r="BD217" t="s">
        <v>3</v>
      </c>
      <c r="BE217" t="s">
        <v>3</v>
      </c>
      <c r="BF217" t="s">
        <v>3</v>
      </c>
      <c r="BG217" t="s">
        <v>3</v>
      </c>
      <c r="BH217">
        <v>0</v>
      </c>
      <c r="BI217">
        <v>4</v>
      </c>
      <c r="BJ217" t="s">
        <v>70</v>
      </c>
      <c r="BM217">
        <v>0</v>
      </c>
      <c r="BN217">
        <v>0</v>
      </c>
      <c r="BO217" t="s">
        <v>3</v>
      </c>
      <c r="BP217">
        <v>0</v>
      </c>
      <c r="BQ217">
        <v>1</v>
      </c>
      <c r="BR217">
        <v>0</v>
      </c>
      <c r="BS217">
        <v>1</v>
      </c>
      <c r="BT217">
        <v>1</v>
      </c>
      <c r="BU217">
        <v>1</v>
      </c>
      <c r="BV217">
        <v>1</v>
      </c>
      <c r="BW217">
        <v>1</v>
      </c>
      <c r="BX217">
        <v>1</v>
      </c>
      <c r="BY217" t="s">
        <v>3</v>
      </c>
      <c r="BZ217">
        <v>70</v>
      </c>
      <c r="CA217">
        <v>10</v>
      </c>
      <c r="CE217">
        <v>0</v>
      </c>
      <c r="CF217">
        <v>0</v>
      </c>
      <c r="CG217">
        <v>0</v>
      </c>
      <c r="CM217">
        <v>0</v>
      </c>
      <c r="CN217" t="s">
        <v>3</v>
      </c>
      <c r="CO217">
        <v>0</v>
      </c>
      <c r="CP217">
        <f t="shared" si="195"/>
        <v>18813.169999999998</v>
      </c>
      <c r="CQ217">
        <f t="shared" si="196"/>
        <v>34547.699999999997</v>
      </c>
      <c r="CR217">
        <f t="shared" si="197"/>
        <v>177.81</v>
      </c>
      <c r="CS217">
        <f t="shared" si="198"/>
        <v>96.53</v>
      </c>
      <c r="CT217">
        <f t="shared" si="199"/>
        <v>14782.81</v>
      </c>
      <c r="CU217">
        <f t="shared" si="200"/>
        <v>0</v>
      </c>
      <c r="CV217">
        <f t="shared" si="201"/>
        <v>72.95</v>
      </c>
      <c r="CW217">
        <f t="shared" si="202"/>
        <v>0</v>
      </c>
      <c r="CX217">
        <f t="shared" si="203"/>
        <v>0</v>
      </c>
      <c r="CY217">
        <f t="shared" si="204"/>
        <v>3932.2290000000003</v>
      </c>
      <c r="CZ217">
        <f t="shared" si="205"/>
        <v>561.74700000000007</v>
      </c>
      <c r="DC217" t="s">
        <v>3</v>
      </c>
      <c r="DD217" t="s">
        <v>3</v>
      </c>
      <c r="DE217" t="s">
        <v>3</v>
      </c>
      <c r="DF217" t="s">
        <v>3</v>
      </c>
      <c r="DG217" t="s">
        <v>3</v>
      </c>
      <c r="DH217" t="s">
        <v>3</v>
      </c>
      <c r="DI217" t="s">
        <v>3</v>
      </c>
      <c r="DJ217" t="s">
        <v>3</v>
      </c>
      <c r="DK217" t="s">
        <v>3</v>
      </c>
      <c r="DL217" t="s">
        <v>3</v>
      </c>
      <c r="DM217" t="s">
        <v>3</v>
      </c>
      <c r="DN217">
        <v>0</v>
      </c>
      <c r="DO217">
        <v>0</v>
      </c>
      <c r="DP217">
        <v>1</v>
      </c>
      <c r="DQ217">
        <v>1</v>
      </c>
      <c r="DU217">
        <v>1003</v>
      </c>
      <c r="DV217" t="s">
        <v>69</v>
      </c>
      <c r="DW217" t="s">
        <v>69</v>
      </c>
      <c r="DX217">
        <v>100</v>
      </c>
      <c r="EE217">
        <v>52362078</v>
      </c>
      <c r="EF217">
        <v>1</v>
      </c>
      <c r="EG217" t="s">
        <v>22</v>
      </c>
      <c r="EH217">
        <v>0</v>
      </c>
      <c r="EI217" t="s">
        <v>3</v>
      </c>
      <c r="EJ217">
        <v>4</v>
      </c>
      <c r="EK217">
        <v>0</v>
      </c>
      <c r="EL217" t="s">
        <v>23</v>
      </c>
      <c r="EM217" t="s">
        <v>24</v>
      </c>
      <c r="EO217" t="s">
        <v>3</v>
      </c>
      <c r="EQ217">
        <v>131072</v>
      </c>
      <c r="ER217">
        <v>49508.32</v>
      </c>
      <c r="ES217">
        <v>34547.699999999997</v>
      </c>
      <c r="ET217">
        <v>177.81</v>
      </c>
      <c r="EU217">
        <v>96.53</v>
      </c>
      <c r="EV217">
        <v>14782.81</v>
      </c>
      <c r="EW217">
        <v>72.95</v>
      </c>
      <c r="EX217">
        <v>0</v>
      </c>
      <c r="EY217">
        <v>0</v>
      </c>
      <c r="FQ217">
        <v>0</v>
      </c>
      <c r="FR217">
        <f t="shared" si="206"/>
        <v>0</v>
      </c>
      <c r="FS217">
        <v>0</v>
      </c>
      <c r="FX217">
        <v>70</v>
      </c>
      <c r="FY217">
        <v>10</v>
      </c>
      <c r="GA217" t="s">
        <v>3</v>
      </c>
      <c r="GD217">
        <v>0</v>
      </c>
      <c r="GF217">
        <v>-280608707</v>
      </c>
      <c r="GG217">
        <v>2</v>
      </c>
      <c r="GH217">
        <v>1</v>
      </c>
      <c r="GI217">
        <v>-2</v>
      </c>
      <c r="GJ217">
        <v>0</v>
      </c>
      <c r="GK217">
        <f>ROUND(R217*(R12)/100,2)</f>
        <v>39.61</v>
      </c>
      <c r="GL217">
        <f t="shared" si="207"/>
        <v>0</v>
      </c>
      <c r="GM217">
        <f t="shared" si="208"/>
        <v>23346.76</v>
      </c>
      <c r="GN217">
        <f t="shared" si="209"/>
        <v>0</v>
      </c>
      <c r="GO217">
        <f t="shared" si="210"/>
        <v>0</v>
      </c>
      <c r="GP217">
        <f t="shared" si="211"/>
        <v>23346.76</v>
      </c>
      <c r="GR217">
        <v>0</v>
      </c>
      <c r="GS217">
        <v>3</v>
      </c>
      <c r="GT217">
        <v>0</v>
      </c>
      <c r="GU217" t="s">
        <v>3</v>
      </c>
      <c r="GV217">
        <f t="shared" si="212"/>
        <v>0</v>
      </c>
      <c r="GW217">
        <v>1</v>
      </c>
      <c r="GX217">
        <f t="shared" si="213"/>
        <v>0</v>
      </c>
      <c r="HA217">
        <v>0</v>
      </c>
      <c r="HB217">
        <v>0</v>
      </c>
      <c r="HC217">
        <f t="shared" si="214"/>
        <v>0</v>
      </c>
      <c r="HE217" t="s">
        <v>3</v>
      </c>
      <c r="HF217" t="s">
        <v>3</v>
      </c>
      <c r="IK217">
        <v>0</v>
      </c>
    </row>
    <row r="218" spans="1:245" x14ac:dyDescent="0.2">
      <c r="A218">
        <v>17</v>
      </c>
      <c r="B218">
        <v>1</v>
      </c>
      <c r="C218">
        <f>ROW(SmtRes!A246)</f>
        <v>246</v>
      </c>
      <c r="D218">
        <f>ROW(EtalonRes!A235)</f>
        <v>235</v>
      </c>
      <c r="E218" t="s">
        <v>245</v>
      </c>
      <c r="F218" t="s">
        <v>72</v>
      </c>
      <c r="G218" t="s">
        <v>246</v>
      </c>
      <c r="H218" t="s">
        <v>74</v>
      </c>
      <c r="I218">
        <f>ROUND(3/100,9)</f>
        <v>0.03</v>
      </c>
      <c r="J218">
        <v>0</v>
      </c>
      <c r="O218">
        <f t="shared" si="175"/>
        <v>7421.4</v>
      </c>
      <c r="P218">
        <f t="shared" si="176"/>
        <v>535.59</v>
      </c>
      <c r="Q218">
        <f t="shared" si="177"/>
        <v>16.329999999999998</v>
      </c>
      <c r="R218">
        <f t="shared" si="178"/>
        <v>2.04</v>
      </c>
      <c r="S218">
        <f t="shared" si="179"/>
        <v>6869.48</v>
      </c>
      <c r="T218">
        <f t="shared" si="180"/>
        <v>0</v>
      </c>
      <c r="U218">
        <f t="shared" si="181"/>
        <v>27.0825</v>
      </c>
      <c r="V218">
        <f t="shared" si="182"/>
        <v>0</v>
      </c>
      <c r="W218">
        <f t="shared" si="183"/>
        <v>0</v>
      </c>
      <c r="X218">
        <f t="shared" si="184"/>
        <v>4808.6400000000003</v>
      </c>
      <c r="Y218">
        <f t="shared" si="185"/>
        <v>686.95</v>
      </c>
      <c r="AA218">
        <v>52430918</v>
      </c>
      <c r="AB218">
        <f t="shared" si="186"/>
        <v>247379.69</v>
      </c>
      <c r="AC218">
        <f t="shared" si="187"/>
        <v>17852.89</v>
      </c>
      <c r="AD218">
        <f t="shared" si="188"/>
        <v>544.27</v>
      </c>
      <c r="AE218">
        <f t="shared" si="189"/>
        <v>67.94</v>
      </c>
      <c r="AF218">
        <f t="shared" si="190"/>
        <v>228982.53</v>
      </c>
      <c r="AG218">
        <f t="shared" si="191"/>
        <v>0</v>
      </c>
      <c r="AH218">
        <f t="shared" si="192"/>
        <v>902.75</v>
      </c>
      <c r="AI218">
        <f t="shared" si="193"/>
        <v>0</v>
      </c>
      <c r="AJ218">
        <f t="shared" si="194"/>
        <v>0</v>
      </c>
      <c r="AK218">
        <v>247379.69</v>
      </c>
      <c r="AL218">
        <v>17852.89</v>
      </c>
      <c r="AM218">
        <v>544.27</v>
      </c>
      <c r="AN218">
        <v>67.94</v>
      </c>
      <c r="AO218">
        <v>228982.53</v>
      </c>
      <c r="AP218">
        <v>0</v>
      </c>
      <c r="AQ218">
        <v>902.75</v>
      </c>
      <c r="AR218">
        <v>0</v>
      </c>
      <c r="AS218">
        <v>0</v>
      </c>
      <c r="AT218">
        <v>70</v>
      </c>
      <c r="AU218">
        <v>10</v>
      </c>
      <c r="AV218">
        <v>1</v>
      </c>
      <c r="AW218">
        <v>1</v>
      </c>
      <c r="AZ218">
        <v>1</v>
      </c>
      <c r="BA218">
        <v>1</v>
      </c>
      <c r="BB218">
        <v>1</v>
      </c>
      <c r="BC218">
        <v>1</v>
      </c>
      <c r="BD218" t="s">
        <v>3</v>
      </c>
      <c r="BE218" t="s">
        <v>3</v>
      </c>
      <c r="BF218" t="s">
        <v>3</v>
      </c>
      <c r="BG218" t="s">
        <v>3</v>
      </c>
      <c r="BH218">
        <v>0</v>
      </c>
      <c r="BI218">
        <v>4</v>
      </c>
      <c r="BJ218" t="s">
        <v>75</v>
      </c>
      <c r="BM218">
        <v>0</v>
      </c>
      <c r="BN218">
        <v>0</v>
      </c>
      <c r="BO218" t="s">
        <v>3</v>
      </c>
      <c r="BP218">
        <v>0</v>
      </c>
      <c r="BQ218">
        <v>1</v>
      </c>
      <c r="BR218">
        <v>0</v>
      </c>
      <c r="BS218">
        <v>1</v>
      </c>
      <c r="BT218">
        <v>1</v>
      </c>
      <c r="BU218">
        <v>1</v>
      </c>
      <c r="BV218">
        <v>1</v>
      </c>
      <c r="BW218">
        <v>1</v>
      </c>
      <c r="BX218">
        <v>1</v>
      </c>
      <c r="BY218" t="s">
        <v>3</v>
      </c>
      <c r="BZ218">
        <v>70</v>
      </c>
      <c r="CA218">
        <v>10</v>
      </c>
      <c r="CE218">
        <v>0</v>
      </c>
      <c r="CF218">
        <v>0</v>
      </c>
      <c r="CG218">
        <v>0</v>
      </c>
      <c r="CM218">
        <v>0</v>
      </c>
      <c r="CN218" t="s">
        <v>3</v>
      </c>
      <c r="CO218">
        <v>0</v>
      </c>
      <c r="CP218">
        <f t="shared" si="195"/>
        <v>7421.4</v>
      </c>
      <c r="CQ218">
        <f t="shared" si="196"/>
        <v>17852.89</v>
      </c>
      <c r="CR218">
        <f t="shared" si="197"/>
        <v>544.27</v>
      </c>
      <c r="CS218">
        <f t="shared" si="198"/>
        <v>67.94</v>
      </c>
      <c r="CT218">
        <f t="shared" si="199"/>
        <v>228982.53</v>
      </c>
      <c r="CU218">
        <f t="shared" si="200"/>
        <v>0</v>
      </c>
      <c r="CV218">
        <f t="shared" si="201"/>
        <v>902.75</v>
      </c>
      <c r="CW218">
        <f t="shared" si="202"/>
        <v>0</v>
      </c>
      <c r="CX218">
        <f t="shared" si="203"/>
        <v>0</v>
      </c>
      <c r="CY218">
        <f t="shared" si="204"/>
        <v>4808.6359999999995</v>
      </c>
      <c r="CZ218">
        <f t="shared" si="205"/>
        <v>686.94799999999987</v>
      </c>
      <c r="DC218" t="s">
        <v>3</v>
      </c>
      <c r="DD218" t="s">
        <v>3</v>
      </c>
      <c r="DE218" t="s">
        <v>3</v>
      </c>
      <c r="DF218" t="s">
        <v>3</v>
      </c>
      <c r="DG218" t="s">
        <v>3</v>
      </c>
      <c r="DH218" t="s">
        <v>3</v>
      </c>
      <c r="DI218" t="s">
        <v>3</v>
      </c>
      <c r="DJ218" t="s">
        <v>3</v>
      </c>
      <c r="DK218" t="s">
        <v>3</v>
      </c>
      <c r="DL218" t="s">
        <v>3</v>
      </c>
      <c r="DM218" t="s">
        <v>3</v>
      </c>
      <c r="DN218">
        <v>0</v>
      </c>
      <c r="DO218">
        <v>0</v>
      </c>
      <c r="DP218">
        <v>1</v>
      </c>
      <c r="DQ218">
        <v>1</v>
      </c>
      <c r="DU218">
        <v>1010</v>
      </c>
      <c r="DV218" t="s">
        <v>74</v>
      </c>
      <c r="DW218" t="s">
        <v>74</v>
      </c>
      <c r="DX218">
        <v>100</v>
      </c>
      <c r="EE218">
        <v>52362078</v>
      </c>
      <c r="EF218">
        <v>1</v>
      </c>
      <c r="EG218" t="s">
        <v>22</v>
      </c>
      <c r="EH218">
        <v>0</v>
      </c>
      <c r="EI218" t="s">
        <v>3</v>
      </c>
      <c r="EJ218">
        <v>4</v>
      </c>
      <c r="EK218">
        <v>0</v>
      </c>
      <c r="EL218" t="s">
        <v>23</v>
      </c>
      <c r="EM218" t="s">
        <v>24</v>
      </c>
      <c r="EO218" t="s">
        <v>3</v>
      </c>
      <c r="EQ218">
        <v>131072</v>
      </c>
      <c r="ER218">
        <v>247379.69</v>
      </c>
      <c r="ES218">
        <v>17852.89</v>
      </c>
      <c r="ET218">
        <v>544.27</v>
      </c>
      <c r="EU218">
        <v>67.94</v>
      </c>
      <c r="EV218">
        <v>228982.53</v>
      </c>
      <c r="EW218">
        <v>902.75</v>
      </c>
      <c r="EX218">
        <v>0</v>
      </c>
      <c r="EY218">
        <v>0</v>
      </c>
      <c r="FQ218">
        <v>0</v>
      </c>
      <c r="FR218">
        <f t="shared" si="206"/>
        <v>0</v>
      </c>
      <c r="FS218">
        <v>0</v>
      </c>
      <c r="FX218">
        <v>70</v>
      </c>
      <c r="FY218">
        <v>10</v>
      </c>
      <c r="GA218" t="s">
        <v>3</v>
      </c>
      <c r="GD218">
        <v>0</v>
      </c>
      <c r="GF218">
        <v>1660792619</v>
      </c>
      <c r="GG218">
        <v>2</v>
      </c>
      <c r="GH218">
        <v>1</v>
      </c>
      <c r="GI218">
        <v>-2</v>
      </c>
      <c r="GJ218">
        <v>0</v>
      </c>
      <c r="GK218">
        <f>ROUND(R218*(R12)/100,2)</f>
        <v>2.2000000000000002</v>
      </c>
      <c r="GL218">
        <f t="shared" si="207"/>
        <v>0</v>
      </c>
      <c r="GM218">
        <f t="shared" si="208"/>
        <v>12919.19</v>
      </c>
      <c r="GN218">
        <f t="shared" si="209"/>
        <v>0</v>
      </c>
      <c r="GO218">
        <f t="shared" si="210"/>
        <v>0</v>
      </c>
      <c r="GP218">
        <f t="shared" si="211"/>
        <v>12919.19</v>
      </c>
      <c r="GR218">
        <v>0</v>
      </c>
      <c r="GS218">
        <v>3</v>
      </c>
      <c r="GT218">
        <v>0</v>
      </c>
      <c r="GU218" t="s">
        <v>3</v>
      </c>
      <c r="GV218">
        <f t="shared" si="212"/>
        <v>0</v>
      </c>
      <c r="GW218">
        <v>1</v>
      </c>
      <c r="GX218">
        <f t="shared" si="213"/>
        <v>0</v>
      </c>
      <c r="HA218">
        <v>0</v>
      </c>
      <c r="HB218">
        <v>0</v>
      </c>
      <c r="HC218">
        <f t="shared" si="214"/>
        <v>0</v>
      </c>
      <c r="HE218" t="s">
        <v>3</v>
      </c>
      <c r="HF218" t="s">
        <v>3</v>
      </c>
      <c r="IK218">
        <v>0</v>
      </c>
    </row>
    <row r="219" spans="1:245" x14ac:dyDescent="0.2">
      <c r="A219">
        <v>18</v>
      </c>
      <c r="B219">
        <v>1</v>
      </c>
      <c r="C219">
        <v>241</v>
      </c>
      <c r="E219" t="s">
        <v>247</v>
      </c>
      <c r="F219" t="s">
        <v>77</v>
      </c>
      <c r="G219" t="s">
        <v>78</v>
      </c>
      <c r="H219" t="s">
        <v>79</v>
      </c>
      <c r="I219">
        <f>I218*J219</f>
        <v>-1.1100000000000001E-3</v>
      </c>
      <c r="J219">
        <v>-3.7000000000000005E-2</v>
      </c>
      <c r="O219">
        <f t="shared" si="175"/>
        <v>-11.57</v>
      </c>
      <c r="P219">
        <f t="shared" si="176"/>
        <v>-11.57</v>
      </c>
      <c r="Q219">
        <f t="shared" si="177"/>
        <v>0</v>
      </c>
      <c r="R219">
        <f t="shared" si="178"/>
        <v>0</v>
      </c>
      <c r="S219">
        <f t="shared" si="179"/>
        <v>0</v>
      </c>
      <c r="T219">
        <f t="shared" si="180"/>
        <v>0</v>
      </c>
      <c r="U219">
        <f t="shared" si="181"/>
        <v>0</v>
      </c>
      <c r="V219">
        <f t="shared" si="182"/>
        <v>0</v>
      </c>
      <c r="W219">
        <f t="shared" si="183"/>
        <v>0</v>
      </c>
      <c r="X219">
        <f t="shared" si="184"/>
        <v>0</v>
      </c>
      <c r="Y219">
        <f t="shared" si="185"/>
        <v>0</v>
      </c>
      <c r="AA219">
        <v>52430918</v>
      </c>
      <c r="AB219">
        <f t="shared" si="186"/>
        <v>10419.43</v>
      </c>
      <c r="AC219">
        <f t="shared" si="187"/>
        <v>10419.43</v>
      </c>
      <c r="AD219">
        <f t="shared" si="188"/>
        <v>0</v>
      </c>
      <c r="AE219">
        <f t="shared" si="189"/>
        <v>0</v>
      </c>
      <c r="AF219">
        <f t="shared" si="190"/>
        <v>0</v>
      </c>
      <c r="AG219">
        <f t="shared" si="191"/>
        <v>0</v>
      </c>
      <c r="AH219">
        <f t="shared" si="192"/>
        <v>0</v>
      </c>
      <c r="AI219">
        <f t="shared" si="193"/>
        <v>0</v>
      </c>
      <c r="AJ219">
        <f t="shared" si="194"/>
        <v>0</v>
      </c>
      <c r="AK219">
        <v>10419.43</v>
      </c>
      <c r="AL219">
        <v>10419.43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70</v>
      </c>
      <c r="AU219">
        <v>10</v>
      </c>
      <c r="AV219">
        <v>1</v>
      </c>
      <c r="AW219">
        <v>1</v>
      </c>
      <c r="AZ219">
        <v>1</v>
      </c>
      <c r="BA219">
        <v>1</v>
      </c>
      <c r="BB219">
        <v>1</v>
      </c>
      <c r="BC219">
        <v>1</v>
      </c>
      <c r="BD219" t="s">
        <v>3</v>
      </c>
      <c r="BE219" t="s">
        <v>3</v>
      </c>
      <c r="BF219" t="s">
        <v>3</v>
      </c>
      <c r="BG219" t="s">
        <v>3</v>
      </c>
      <c r="BH219">
        <v>3</v>
      </c>
      <c r="BI219">
        <v>4</v>
      </c>
      <c r="BJ219" t="s">
        <v>80</v>
      </c>
      <c r="BM219">
        <v>0</v>
      </c>
      <c r="BN219">
        <v>0</v>
      </c>
      <c r="BO219" t="s">
        <v>3</v>
      </c>
      <c r="BP219">
        <v>0</v>
      </c>
      <c r="BQ219">
        <v>1</v>
      </c>
      <c r="BR219">
        <v>1</v>
      </c>
      <c r="BS219">
        <v>1</v>
      </c>
      <c r="BT219">
        <v>1</v>
      </c>
      <c r="BU219">
        <v>1</v>
      </c>
      <c r="BV219">
        <v>1</v>
      </c>
      <c r="BW219">
        <v>1</v>
      </c>
      <c r="BX219">
        <v>1</v>
      </c>
      <c r="BY219" t="s">
        <v>3</v>
      </c>
      <c r="BZ219">
        <v>70</v>
      </c>
      <c r="CA219">
        <v>10</v>
      </c>
      <c r="CE219">
        <v>0</v>
      </c>
      <c r="CF219">
        <v>0</v>
      </c>
      <c r="CG219">
        <v>0</v>
      </c>
      <c r="CM219">
        <v>0</v>
      </c>
      <c r="CN219" t="s">
        <v>3</v>
      </c>
      <c r="CO219">
        <v>0</v>
      </c>
      <c r="CP219">
        <f t="shared" si="195"/>
        <v>-11.57</v>
      </c>
      <c r="CQ219">
        <f t="shared" si="196"/>
        <v>10419.43</v>
      </c>
      <c r="CR219">
        <f t="shared" si="197"/>
        <v>0</v>
      </c>
      <c r="CS219">
        <f t="shared" si="198"/>
        <v>0</v>
      </c>
      <c r="CT219">
        <f t="shared" si="199"/>
        <v>0</v>
      </c>
      <c r="CU219">
        <f t="shared" si="200"/>
        <v>0</v>
      </c>
      <c r="CV219">
        <f t="shared" si="201"/>
        <v>0</v>
      </c>
      <c r="CW219">
        <f t="shared" si="202"/>
        <v>0</v>
      </c>
      <c r="CX219">
        <f t="shared" si="203"/>
        <v>0</v>
      </c>
      <c r="CY219">
        <f t="shared" si="204"/>
        <v>0</v>
      </c>
      <c r="CZ219">
        <f t="shared" si="205"/>
        <v>0</v>
      </c>
      <c r="DC219" t="s">
        <v>3</v>
      </c>
      <c r="DD219" t="s">
        <v>3</v>
      </c>
      <c r="DE219" t="s">
        <v>3</v>
      </c>
      <c r="DF219" t="s">
        <v>3</v>
      </c>
      <c r="DG219" t="s">
        <v>3</v>
      </c>
      <c r="DH219" t="s">
        <v>3</v>
      </c>
      <c r="DI219" t="s">
        <v>3</v>
      </c>
      <c r="DJ219" t="s">
        <v>3</v>
      </c>
      <c r="DK219" t="s">
        <v>3</v>
      </c>
      <c r="DL219" t="s">
        <v>3</v>
      </c>
      <c r="DM219" t="s">
        <v>3</v>
      </c>
      <c r="DN219">
        <v>0</v>
      </c>
      <c r="DO219">
        <v>0</v>
      </c>
      <c r="DP219">
        <v>1</v>
      </c>
      <c r="DQ219">
        <v>1</v>
      </c>
      <c r="DU219">
        <v>1010</v>
      </c>
      <c r="DV219" t="s">
        <v>79</v>
      </c>
      <c r="DW219" t="s">
        <v>79</v>
      </c>
      <c r="DX219">
        <v>1000</v>
      </c>
      <c r="EE219">
        <v>52362078</v>
      </c>
      <c r="EF219">
        <v>1</v>
      </c>
      <c r="EG219" t="s">
        <v>22</v>
      </c>
      <c r="EH219">
        <v>0</v>
      </c>
      <c r="EI219" t="s">
        <v>3</v>
      </c>
      <c r="EJ219">
        <v>4</v>
      </c>
      <c r="EK219">
        <v>0</v>
      </c>
      <c r="EL219" t="s">
        <v>23</v>
      </c>
      <c r="EM219" t="s">
        <v>24</v>
      </c>
      <c r="EO219" t="s">
        <v>3</v>
      </c>
      <c r="EQ219">
        <v>32768</v>
      </c>
      <c r="ER219">
        <v>10419.43</v>
      </c>
      <c r="ES219">
        <v>10419.43</v>
      </c>
      <c r="ET219">
        <v>0</v>
      </c>
      <c r="EU219">
        <v>0</v>
      </c>
      <c r="EV219">
        <v>0</v>
      </c>
      <c r="EW219">
        <v>0</v>
      </c>
      <c r="EX219">
        <v>0</v>
      </c>
      <c r="FQ219">
        <v>0</v>
      </c>
      <c r="FR219">
        <f t="shared" si="206"/>
        <v>0</v>
      </c>
      <c r="FS219">
        <v>0</v>
      </c>
      <c r="FX219">
        <v>70</v>
      </c>
      <c r="FY219">
        <v>10</v>
      </c>
      <c r="GA219" t="s">
        <v>3</v>
      </c>
      <c r="GD219">
        <v>0</v>
      </c>
      <c r="GF219">
        <v>-477329452</v>
      </c>
      <c r="GG219">
        <v>2</v>
      </c>
      <c r="GH219">
        <v>1</v>
      </c>
      <c r="GI219">
        <v>-2</v>
      </c>
      <c r="GJ219">
        <v>0</v>
      </c>
      <c r="GK219">
        <f>ROUND(R219*(R12)/100,2)</f>
        <v>0</v>
      </c>
      <c r="GL219">
        <f t="shared" si="207"/>
        <v>0</v>
      </c>
      <c r="GM219">
        <f t="shared" si="208"/>
        <v>-11.57</v>
      </c>
      <c r="GN219">
        <f t="shared" si="209"/>
        <v>0</v>
      </c>
      <c r="GO219">
        <f t="shared" si="210"/>
        <v>0</v>
      </c>
      <c r="GP219">
        <f t="shared" si="211"/>
        <v>-11.57</v>
      </c>
      <c r="GR219">
        <v>0</v>
      </c>
      <c r="GS219">
        <v>3</v>
      </c>
      <c r="GT219">
        <v>0</v>
      </c>
      <c r="GU219" t="s">
        <v>3</v>
      </c>
      <c r="GV219">
        <f t="shared" si="212"/>
        <v>0</v>
      </c>
      <c r="GW219">
        <v>1</v>
      </c>
      <c r="GX219">
        <f t="shared" si="213"/>
        <v>0</v>
      </c>
      <c r="HA219">
        <v>0</v>
      </c>
      <c r="HB219">
        <v>0</v>
      </c>
      <c r="HC219">
        <f t="shared" si="214"/>
        <v>0</v>
      </c>
      <c r="HE219" t="s">
        <v>3</v>
      </c>
      <c r="HF219" t="s">
        <v>3</v>
      </c>
      <c r="IK219">
        <v>0</v>
      </c>
    </row>
    <row r="220" spans="1:245" x14ac:dyDescent="0.2">
      <c r="A220">
        <v>18</v>
      </c>
      <c r="B220">
        <v>1</v>
      </c>
      <c r="C220">
        <v>239</v>
      </c>
      <c r="E220" t="s">
        <v>248</v>
      </c>
      <c r="F220" t="s">
        <v>82</v>
      </c>
      <c r="G220" t="s">
        <v>83</v>
      </c>
      <c r="H220" t="s">
        <v>84</v>
      </c>
      <c r="I220">
        <f>I218*J220</f>
        <v>-0.16320000000000001</v>
      </c>
      <c r="J220">
        <v>-5.44</v>
      </c>
      <c r="O220">
        <f t="shared" si="175"/>
        <v>-1.77</v>
      </c>
      <c r="P220">
        <f t="shared" si="176"/>
        <v>0</v>
      </c>
      <c r="Q220">
        <f t="shared" si="177"/>
        <v>-1.77</v>
      </c>
      <c r="R220">
        <f t="shared" si="178"/>
        <v>-0.48</v>
      </c>
      <c r="S220">
        <f t="shared" si="179"/>
        <v>0</v>
      </c>
      <c r="T220">
        <f t="shared" si="180"/>
        <v>0</v>
      </c>
      <c r="U220">
        <f t="shared" si="181"/>
        <v>0</v>
      </c>
      <c r="V220">
        <f t="shared" si="182"/>
        <v>0</v>
      </c>
      <c r="W220">
        <f t="shared" si="183"/>
        <v>0</v>
      </c>
      <c r="X220">
        <f t="shared" si="184"/>
        <v>0</v>
      </c>
      <c r="Y220">
        <f t="shared" si="185"/>
        <v>0</v>
      </c>
      <c r="AA220">
        <v>52430918</v>
      </c>
      <c r="AB220">
        <f t="shared" si="186"/>
        <v>10.82</v>
      </c>
      <c r="AC220">
        <f t="shared" si="187"/>
        <v>0</v>
      </c>
      <c r="AD220">
        <f t="shared" si="188"/>
        <v>10.82</v>
      </c>
      <c r="AE220">
        <f t="shared" si="189"/>
        <v>2.97</v>
      </c>
      <c r="AF220">
        <f t="shared" si="190"/>
        <v>0</v>
      </c>
      <c r="AG220">
        <f t="shared" si="191"/>
        <v>0</v>
      </c>
      <c r="AH220">
        <f t="shared" si="192"/>
        <v>0</v>
      </c>
      <c r="AI220">
        <f t="shared" si="193"/>
        <v>0</v>
      </c>
      <c r="AJ220">
        <f t="shared" si="194"/>
        <v>0</v>
      </c>
      <c r="AK220">
        <v>10.82</v>
      </c>
      <c r="AL220">
        <v>0</v>
      </c>
      <c r="AM220">
        <v>10.82</v>
      </c>
      <c r="AN220">
        <v>2.97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70</v>
      </c>
      <c r="AU220">
        <v>10</v>
      </c>
      <c r="AV220">
        <v>1</v>
      </c>
      <c r="AW220">
        <v>1</v>
      </c>
      <c r="AZ220">
        <v>1</v>
      </c>
      <c r="BA220">
        <v>1</v>
      </c>
      <c r="BB220">
        <v>1</v>
      </c>
      <c r="BC220">
        <v>1</v>
      </c>
      <c r="BD220" t="s">
        <v>3</v>
      </c>
      <c r="BE220" t="s">
        <v>3</v>
      </c>
      <c r="BF220" t="s">
        <v>3</v>
      </c>
      <c r="BG220" t="s">
        <v>3</v>
      </c>
      <c r="BH220">
        <v>2</v>
      </c>
      <c r="BI220">
        <v>4</v>
      </c>
      <c r="BJ220" t="s">
        <v>85</v>
      </c>
      <c r="BM220">
        <v>0</v>
      </c>
      <c r="BN220">
        <v>0</v>
      </c>
      <c r="BO220" t="s">
        <v>3</v>
      </c>
      <c r="BP220">
        <v>0</v>
      </c>
      <c r="BQ220">
        <v>1</v>
      </c>
      <c r="BR220">
        <v>1</v>
      </c>
      <c r="BS220">
        <v>1</v>
      </c>
      <c r="BT220">
        <v>1</v>
      </c>
      <c r="BU220">
        <v>1</v>
      </c>
      <c r="BV220">
        <v>1</v>
      </c>
      <c r="BW220">
        <v>1</v>
      </c>
      <c r="BX220">
        <v>1</v>
      </c>
      <c r="BY220" t="s">
        <v>3</v>
      </c>
      <c r="BZ220">
        <v>70</v>
      </c>
      <c r="CA220">
        <v>10</v>
      </c>
      <c r="CE220">
        <v>0</v>
      </c>
      <c r="CF220">
        <v>0</v>
      </c>
      <c r="CG220">
        <v>0</v>
      </c>
      <c r="CM220">
        <v>0</v>
      </c>
      <c r="CN220" t="s">
        <v>3</v>
      </c>
      <c r="CO220">
        <v>0</v>
      </c>
      <c r="CP220">
        <f t="shared" si="195"/>
        <v>-1.77</v>
      </c>
      <c r="CQ220">
        <f t="shared" si="196"/>
        <v>0</v>
      </c>
      <c r="CR220">
        <f t="shared" si="197"/>
        <v>10.82</v>
      </c>
      <c r="CS220">
        <f t="shared" si="198"/>
        <v>2.97</v>
      </c>
      <c r="CT220">
        <f t="shared" si="199"/>
        <v>0</v>
      </c>
      <c r="CU220">
        <f t="shared" si="200"/>
        <v>0</v>
      </c>
      <c r="CV220">
        <f t="shared" si="201"/>
        <v>0</v>
      </c>
      <c r="CW220">
        <f t="shared" si="202"/>
        <v>0</v>
      </c>
      <c r="CX220">
        <f t="shared" si="203"/>
        <v>0</v>
      </c>
      <c r="CY220">
        <f t="shared" si="204"/>
        <v>0</v>
      </c>
      <c r="CZ220">
        <f t="shared" si="205"/>
        <v>0</v>
      </c>
      <c r="DC220" t="s">
        <v>3</v>
      </c>
      <c r="DD220" t="s">
        <v>3</v>
      </c>
      <c r="DE220" t="s">
        <v>3</v>
      </c>
      <c r="DF220" t="s">
        <v>3</v>
      </c>
      <c r="DG220" t="s">
        <v>3</v>
      </c>
      <c r="DH220" t="s">
        <v>3</v>
      </c>
      <c r="DI220" t="s">
        <v>3</v>
      </c>
      <c r="DJ220" t="s">
        <v>3</v>
      </c>
      <c r="DK220" t="s">
        <v>3</v>
      </c>
      <c r="DL220" t="s">
        <v>3</v>
      </c>
      <c r="DM220" t="s">
        <v>3</v>
      </c>
      <c r="DN220">
        <v>0</v>
      </c>
      <c r="DO220">
        <v>0</v>
      </c>
      <c r="DP220">
        <v>1</v>
      </c>
      <c r="DQ220">
        <v>1</v>
      </c>
      <c r="DU220">
        <v>1011</v>
      </c>
      <c r="DV220" t="s">
        <v>84</v>
      </c>
      <c r="DW220" t="s">
        <v>84</v>
      </c>
      <c r="DX220">
        <v>1</v>
      </c>
      <c r="EE220">
        <v>52362078</v>
      </c>
      <c r="EF220">
        <v>1</v>
      </c>
      <c r="EG220" t="s">
        <v>22</v>
      </c>
      <c r="EH220">
        <v>0</v>
      </c>
      <c r="EI220" t="s">
        <v>3</v>
      </c>
      <c r="EJ220">
        <v>4</v>
      </c>
      <c r="EK220">
        <v>0</v>
      </c>
      <c r="EL220" t="s">
        <v>23</v>
      </c>
      <c r="EM220" t="s">
        <v>24</v>
      </c>
      <c r="EO220" t="s">
        <v>3</v>
      </c>
      <c r="EQ220">
        <v>32768</v>
      </c>
      <c r="ER220">
        <v>10.82</v>
      </c>
      <c r="ES220">
        <v>0</v>
      </c>
      <c r="ET220">
        <v>10.82</v>
      </c>
      <c r="EU220">
        <v>2.97</v>
      </c>
      <c r="EV220">
        <v>0</v>
      </c>
      <c r="EW220">
        <v>0</v>
      </c>
      <c r="EX220">
        <v>0</v>
      </c>
      <c r="FQ220">
        <v>0</v>
      </c>
      <c r="FR220">
        <f t="shared" si="206"/>
        <v>0</v>
      </c>
      <c r="FS220">
        <v>0</v>
      </c>
      <c r="FX220">
        <v>70</v>
      </c>
      <c r="FY220">
        <v>10</v>
      </c>
      <c r="GA220" t="s">
        <v>3</v>
      </c>
      <c r="GD220">
        <v>0</v>
      </c>
      <c r="GF220">
        <v>1349119844</v>
      </c>
      <c r="GG220">
        <v>2</v>
      </c>
      <c r="GH220">
        <v>1</v>
      </c>
      <c r="GI220">
        <v>-2</v>
      </c>
      <c r="GJ220">
        <v>0</v>
      </c>
      <c r="GK220">
        <f>ROUND(R220*(R12)/100,2)</f>
        <v>-0.52</v>
      </c>
      <c r="GL220">
        <f t="shared" si="207"/>
        <v>0</v>
      </c>
      <c r="GM220">
        <f t="shared" si="208"/>
        <v>-2.29</v>
      </c>
      <c r="GN220">
        <f t="shared" si="209"/>
        <v>0</v>
      </c>
      <c r="GO220">
        <f t="shared" si="210"/>
        <v>0</v>
      </c>
      <c r="GP220">
        <f t="shared" si="211"/>
        <v>-2.29</v>
      </c>
      <c r="GR220">
        <v>0</v>
      </c>
      <c r="GS220">
        <v>7</v>
      </c>
      <c r="GT220">
        <v>0</v>
      </c>
      <c r="GU220" t="s">
        <v>3</v>
      </c>
      <c r="GV220">
        <f t="shared" si="212"/>
        <v>0</v>
      </c>
      <c r="GW220">
        <v>1</v>
      </c>
      <c r="GX220">
        <f t="shared" si="213"/>
        <v>0</v>
      </c>
      <c r="HA220">
        <v>0</v>
      </c>
      <c r="HB220">
        <v>0</v>
      </c>
      <c r="HC220">
        <f t="shared" si="214"/>
        <v>0</v>
      </c>
      <c r="HE220" t="s">
        <v>3</v>
      </c>
      <c r="HF220" t="s">
        <v>3</v>
      </c>
      <c r="IK220">
        <v>0</v>
      </c>
    </row>
    <row r="221" spans="1:245" x14ac:dyDescent="0.2">
      <c r="A221">
        <v>18</v>
      </c>
      <c r="B221">
        <v>1</v>
      </c>
      <c r="C221">
        <v>238</v>
      </c>
      <c r="E221" t="s">
        <v>249</v>
      </c>
      <c r="F221" t="s">
        <v>87</v>
      </c>
      <c r="G221" t="s">
        <v>88</v>
      </c>
      <c r="H221" t="s">
        <v>84</v>
      </c>
      <c r="I221">
        <f>I218*J221</f>
        <v>-0.435</v>
      </c>
      <c r="J221">
        <v>-14.5</v>
      </c>
      <c r="O221">
        <f t="shared" si="175"/>
        <v>-11.84</v>
      </c>
      <c r="P221">
        <f t="shared" si="176"/>
        <v>0</v>
      </c>
      <c r="Q221">
        <f t="shared" si="177"/>
        <v>-11.84</v>
      </c>
      <c r="R221">
        <f t="shared" si="178"/>
        <v>-0.06</v>
      </c>
      <c r="S221">
        <f t="shared" si="179"/>
        <v>0</v>
      </c>
      <c r="T221">
        <f t="shared" si="180"/>
        <v>0</v>
      </c>
      <c r="U221">
        <f t="shared" si="181"/>
        <v>0</v>
      </c>
      <c r="V221">
        <f t="shared" si="182"/>
        <v>0</v>
      </c>
      <c r="W221">
        <f t="shared" si="183"/>
        <v>0</v>
      </c>
      <c r="X221">
        <f t="shared" si="184"/>
        <v>0</v>
      </c>
      <c r="Y221">
        <f t="shared" si="185"/>
        <v>0</v>
      </c>
      <c r="AA221">
        <v>52430918</v>
      </c>
      <c r="AB221">
        <f t="shared" si="186"/>
        <v>27.21</v>
      </c>
      <c r="AC221">
        <f t="shared" si="187"/>
        <v>0</v>
      </c>
      <c r="AD221">
        <f t="shared" si="188"/>
        <v>27.21</v>
      </c>
      <c r="AE221">
        <f t="shared" si="189"/>
        <v>0.13</v>
      </c>
      <c r="AF221">
        <f t="shared" si="190"/>
        <v>0</v>
      </c>
      <c r="AG221">
        <f t="shared" si="191"/>
        <v>0</v>
      </c>
      <c r="AH221">
        <f t="shared" si="192"/>
        <v>0</v>
      </c>
      <c r="AI221">
        <f t="shared" si="193"/>
        <v>0</v>
      </c>
      <c r="AJ221">
        <f t="shared" si="194"/>
        <v>0</v>
      </c>
      <c r="AK221">
        <v>27.21</v>
      </c>
      <c r="AL221">
        <v>0</v>
      </c>
      <c r="AM221">
        <v>27.21</v>
      </c>
      <c r="AN221">
        <v>0.13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70</v>
      </c>
      <c r="AU221">
        <v>10</v>
      </c>
      <c r="AV221">
        <v>1</v>
      </c>
      <c r="AW221">
        <v>1</v>
      </c>
      <c r="AZ221">
        <v>1</v>
      </c>
      <c r="BA221">
        <v>1</v>
      </c>
      <c r="BB221">
        <v>1</v>
      </c>
      <c r="BC221">
        <v>1</v>
      </c>
      <c r="BD221" t="s">
        <v>3</v>
      </c>
      <c r="BE221" t="s">
        <v>3</v>
      </c>
      <c r="BF221" t="s">
        <v>3</v>
      </c>
      <c r="BG221" t="s">
        <v>3</v>
      </c>
      <c r="BH221">
        <v>2</v>
      </c>
      <c r="BI221">
        <v>4</v>
      </c>
      <c r="BJ221" t="s">
        <v>89</v>
      </c>
      <c r="BM221">
        <v>0</v>
      </c>
      <c r="BN221">
        <v>0</v>
      </c>
      <c r="BO221" t="s">
        <v>3</v>
      </c>
      <c r="BP221">
        <v>0</v>
      </c>
      <c r="BQ221">
        <v>1</v>
      </c>
      <c r="BR221">
        <v>1</v>
      </c>
      <c r="BS221">
        <v>1</v>
      </c>
      <c r="BT221">
        <v>1</v>
      </c>
      <c r="BU221">
        <v>1</v>
      </c>
      <c r="BV221">
        <v>1</v>
      </c>
      <c r="BW221">
        <v>1</v>
      </c>
      <c r="BX221">
        <v>1</v>
      </c>
      <c r="BY221" t="s">
        <v>3</v>
      </c>
      <c r="BZ221">
        <v>70</v>
      </c>
      <c r="CA221">
        <v>10</v>
      </c>
      <c r="CE221">
        <v>0</v>
      </c>
      <c r="CF221">
        <v>0</v>
      </c>
      <c r="CG221">
        <v>0</v>
      </c>
      <c r="CM221">
        <v>0</v>
      </c>
      <c r="CN221" t="s">
        <v>3</v>
      </c>
      <c r="CO221">
        <v>0</v>
      </c>
      <c r="CP221">
        <f t="shared" si="195"/>
        <v>-11.84</v>
      </c>
      <c r="CQ221">
        <f t="shared" si="196"/>
        <v>0</v>
      </c>
      <c r="CR221">
        <f t="shared" si="197"/>
        <v>27.21</v>
      </c>
      <c r="CS221">
        <f t="shared" si="198"/>
        <v>0.13</v>
      </c>
      <c r="CT221">
        <f t="shared" si="199"/>
        <v>0</v>
      </c>
      <c r="CU221">
        <f t="shared" si="200"/>
        <v>0</v>
      </c>
      <c r="CV221">
        <f t="shared" si="201"/>
        <v>0</v>
      </c>
      <c r="CW221">
        <f t="shared" si="202"/>
        <v>0</v>
      </c>
      <c r="CX221">
        <f t="shared" si="203"/>
        <v>0</v>
      </c>
      <c r="CY221">
        <f t="shared" si="204"/>
        <v>0</v>
      </c>
      <c r="CZ221">
        <f t="shared" si="205"/>
        <v>0</v>
      </c>
      <c r="DC221" t="s">
        <v>3</v>
      </c>
      <c r="DD221" t="s">
        <v>3</v>
      </c>
      <c r="DE221" t="s">
        <v>3</v>
      </c>
      <c r="DF221" t="s">
        <v>3</v>
      </c>
      <c r="DG221" t="s">
        <v>3</v>
      </c>
      <c r="DH221" t="s">
        <v>3</v>
      </c>
      <c r="DI221" t="s">
        <v>3</v>
      </c>
      <c r="DJ221" t="s">
        <v>3</v>
      </c>
      <c r="DK221" t="s">
        <v>3</v>
      </c>
      <c r="DL221" t="s">
        <v>3</v>
      </c>
      <c r="DM221" t="s">
        <v>3</v>
      </c>
      <c r="DN221">
        <v>0</v>
      </c>
      <c r="DO221">
        <v>0</v>
      </c>
      <c r="DP221">
        <v>1</v>
      </c>
      <c r="DQ221">
        <v>1</v>
      </c>
      <c r="DU221">
        <v>1011</v>
      </c>
      <c r="DV221" t="s">
        <v>84</v>
      </c>
      <c r="DW221" t="s">
        <v>84</v>
      </c>
      <c r="DX221">
        <v>1</v>
      </c>
      <c r="EE221">
        <v>52362078</v>
      </c>
      <c r="EF221">
        <v>1</v>
      </c>
      <c r="EG221" t="s">
        <v>22</v>
      </c>
      <c r="EH221">
        <v>0</v>
      </c>
      <c r="EI221" t="s">
        <v>3</v>
      </c>
      <c r="EJ221">
        <v>4</v>
      </c>
      <c r="EK221">
        <v>0</v>
      </c>
      <c r="EL221" t="s">
        <v>23</v>
      </c>
      <c r="EM221" t="s">
        <v>24</v>
      </c>
      <c r="EO221" t="s">
        <v>3</v>
      </c>
      <c r="EQ221">
        <v>32768</v>
      </c>
      <c r="ER221">
        <v>27.21</v>
      </c>
      <c r="ES221">
        <v>0</v>
      </c>
      <c r="ET221">
        <v>27.21</v>
      </c>
      <c r="EU221">
        <v>0.13</v>
      </c>
      <c r="EV221">
        <v>0</v>
      </c>
      <c r="EW221">
        <v>0</v>
      </c>
      <c r="EX221">
        <v>0</v>
      </c>
      <c r="FQ221">
        <v>0</v>
      </c>
      <c r="FR221">
        <f t="shared" si="206"/>
        <v>0</v>
      </c>
      <c r="FS221">
        <v>0</v>
      </c>
      <c r="FX221">
        <v>70</v>
      </c>
      <c r="FY221">
        <v>10</v>
      </c>
      <c r="GA221" t="s">
        <v>3</v>
      </c>
      <c r="GD221">
        <v>0</v>
      </c>
      <c r="GF221">
        <v>-1757825014</v>
      </c>
      <c r="GG221">
        <v>2</v>
      </c>
      <c r="GH221">
        <v>1</v>
      </c>
      <c r="GI221">
        <v>-2</v>
      </c>
      <c r="GJ221">
        <v>0</v>
      </c>
      <c r="GK221">
        <f>ROUND(R221*(R12)/100,2)</f>
        <v>-0.06</v>
      </c>
      <c r="GL221">
        <f t="shared" si="207"/>
        <v>0</v>
      </c>
      <c r="GM221">
        <f t="shared" si="208"/>
        <v>-11.9</v>
      </c>
      <c r="GN221">
        <f t="shared" si="209"/>
        <v>0</v>
      </c>
      <c r="GO221">
        <f t="shared" si="210"/>
        <v>0</v>
      </c>
      <c r="GP221">
        <f t="shared" si="211"/>
        <v>-11.9</v>
      </c>
      <c r="GR221">
        <v>0</v>
      </c>
      <c r="GS221">
        <v>7</v>
      </c>
      <c r="GT221">
        <v>0</v>
      </c>
      <c r="GU221" t="s">
        <v>3</v>
      </c>
      <c r="GV221">
        <f t="shared" si="212"/>
        <v>0</v>
      </c>
      <c r="GW221">
        <v>1</v>
      </c>
      <c r="GX221">
        <f t="shared" si="213"/>
        <v>0</v>
      </c>
      <c r="HA221">
        <v>0</v>
      </c>
      <c r="HB221">
        <v>0</v>
      </c>
      <c r="HC221">
        <f t="shared" si="214"/>
        <v>0</v>
      </c>
      <c r="HE221" t="s">
        <v>3</v>
      </c>
      <c r="HF221" t="s">
        <v>3</v>
      </c>
      <c r="IK221">
        <v>0</v>
      </c>
    </row>
    <row r="222" spans="1:245" x14ac:dyDescent="0.2">
      <c r="A222">
        <v>18</v>
      </c>
      <c r="B222">
        <v>1</v>
      </c>
      <c r="C222">
        <v>237</v>
      </c>
      <c r="E222" t="s">
        <v>250</v>
      </c>
      <c r="F222" t="s">
        <v>91</v>
      </c>
      <c r="G222" t="s">
        <v>92</v>
      </c>
      <c r="H222" t="s">
        <v>84</v>
      </c>
      <c r="I222">
        <f>I218*J222</f>
        <v>-2.7000000000000001E-3</v>
      </c>
      <c r="J222">
        <v>-9.0000000000000011E-2</v>
      </c>
      <c r="O222">
        <f t="shared" si="175"/>
        <v>-2.73</v>
      </c>
      <c r="P222">
        <f t="shared" si="176"/>
        <v>0</v>
      </c>
      <c r="Q222">
        <f t="shared" si="177"/>
        <v>-2.73</v>
      </c>
      <c r="R222">
        <f t="shared" si="178"/>
        <v>-1.5</v>
      </c>
      <c r="S222">
        <f t="shared" si="179"/>
        <v>0</v>
      </c>
      <c r="T222">
        <f t="shared" si="180"/>
        <v>0</v>
      </c>
      <c r="U222">
        <f t="shared" si="181"/>
        <v>0</v>
      </c>
      <c r="V222">
        <f t="shared" si="182"/>
        <v>0</v>
      </c>
      <c r="W222">
        <f t="shared" si="183"/>
        <v>0</v>
      </c>
      <c r="X222">
        <f t="shared" si="184"/>
        <v>0</v>
      </c>
      <c r="Y222">
        <f t="shared" si="185"/>
        <v>0</v>
      </c>
      <c r="AA222">
        <v>52430918</v>
      </c>
      <c r="AB222">
        <f t="shared" si="186"/>
        <v>1009.65</v>
      </c>
      <c r="AC222">
        <f t="shared" si="187"/>
        <v>0</v>
      </c>
      <c r="AD222">
        <f t="shared" si="188"/>
        <v>1009.65</v>
      </c>
      <c r="AE222">
        <f t="shared" si="189"/>
        <v>554.42999999999995</v>
      </c>
      <c r="AF222">
        <f t="shared" si="190"/>
        <v>0</v>
      </c>
      <c r="AG222">
        <f t="shared" si="191"/>
        <v>0</v>
      </c>
      <c r="AH222">
        <f t="shared" si="192"/>
        <v>0</v>
      </c>
      <c r="AI222">
        <f t="shared" si="193"/>
        <v>0</v>
      </c>
      <c r="AJ222">
        <f t="shared" si="194"/>
        <v>0</v>
      </c>
      <c r="AK222">
        <v>1009.65</v>
      </c>
      <c r="AL222">
        <v>0</v>
      </c>
      <c r="AM222">
        <v>1009.65</v>
      </c>
      <c r="AN222">
        <v>554.42999999999995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70</v>
      </c>
      <c r="AU222">
        <v>10</v>
      </c>
      <c r="AV222">
        <v>1</v>
      </c>
      <c r="AW222">
        <v>1</v>
      </c>
      <c r="AZ222">
        <v>1</v>
      </c>
      <c r="BA222">
        <v>1</v>
      </c>
      <c r="BB222">
        <v>1</v>
      </c>
      <c r="BC222">
        <v>1</v>
      </c>
      <c r="BD222" t="s">
        <v>3</v>
      </c>
      <c r="BE222" t="s">
        <v>3</v>
      </c>
      <c r="BF222" t="s">
        <v>3</v>
      </c>
      <c r="BG222" t="s">
        <v>3</v>
      </c>
      <c r="BH222">
        <v>2</v>
      </c>
      <c r="BI222">
        <v>4</v>
      </c>
      <c r="BJ222" t="s">
        <v>93</v>
      </c>
      <c r="BM222">
        <v>0</v>
      </c>
      <c r="BN222">
        <v>0</v>
      </c>
      <c r="BO222" t="s">
        <v>3</v>
      </c>
      <c r="BP222">
        <v>0</v>
      </c>
      <c r="BQ222">
        <v>1</v>
      </c>
      <c r="BR222">
        <v>1</v>
      </c>
      <c r="BS222">
        <v>1</v>
      </c>
      <c r="BT222">
        <v>1</v>
      </c>
      <c r="BU222">
        <v>1</v>
      </c>
      <c r="BV222">
        <v>1</v>
      </c>
      <c r="BW222">
        <v>1</v>
      </c>
      <c r="BX222">
        <v>1</v>
      </c>
      <c r="BY222" t="s">
        <v>3</v>
      </c>
      <c r="BZ222">
        <v>70</v>
      </c>
      <c r="CA222">
        <v>10</v>
      </c>
      <c r="CE222">
        <v>0</v>
      </c>
      <c r="CF222">
        <v>0</v>
      </c>
      <c r="CG222">
        <v>0</v>
      </c>
      <c r="CM222">
        <v>0</v>
      </c>
      <c r="CN222" t="s">
        <v>3</v>
      </c>
      <c r="CO222">
        <v>0</v>
      </c>
      <c r="CP222">
        <f t="shared" si="195"/>
        <v>-2.73</v>
      </c>
      <c r="CQ222">
        <f t="shared" si="196"/>
        <v>0</v>
      </c>
      <c r="CR222">
        <f t="shared" si="197"/>
        <v>1009.65</v>
      </c>
      <c r="CS222">
        <f t="shared" si="198"/>
        <v>554.42999999999995</v>
      </c>
      <c r="CT222">
        <f t="shared" si="199"/>
        <v>0</v>
      </c>
      <c r="CU222">
        <f t="shared" si="200"/>
        <v>0</v>
      </c>
      <c r="CV222">
        <f t="shared" si="201"/>
        <v>0</v>
      </c>
      <c r="CW222">
        <f t="shared" si="202"/>
        <v>0</v>
      </c>
      <c r="CX222">
        <f t="shared" si="203"/>
        <v>0</v>
      </c>
      <c r="CY222">
        <f t="shared" si="204"/>
        <v>0</v>
      </c>
      <c r="CZ222">
        <f t="shared" si="205"/>
        <v>0</v>
      </c>
      <c r="DC222" t="s">
        <v>3</v>
      </c>
      <c r="DD222" t="s">
        <v>3</v>
      </c>
      <c r="DE222" t="s">
        <v>3</v>
      </c>
      <c r="DF222" t="s">
        <v>3</v>
      </c>
      <c r="DG222" t="s">
        <v>3</v>
      </c>
      <c r="DH222" t="s">
        <v>3</v>
      </c>
      <c r="DI222" t="s">
        <v>3</v>
      </c>
      <c r="DJ222" t="s">
        <v>3</v>
      </c>
      <c r="DK222" t="s">
        <v>3</v>
      </c>
      <c r="DL222" t="s">
        <v>3</v>
      </c>
      <c r="DM222" t="s">
        <v>3</v>
      </c>
      <c r="DN222">
        <v>0</v>
      </c>
      <c r="DO222">
        <v>0</v>
      </c>
      <c r="DP222">
        <v>1</v>
      </c>
      <c r="DQ222">
        <v>1</v>
      </c>
      <c r="DU222">
        <v>1011</v>
      </c>
      <c r="DV222" t="s">
        <v>84</v>
      </c>
      <c r="DW222" t="s">
        <v>84</v>
      </c>
      <c r="DX222">
        <v>1</v>
      </c>
      <c r="EE222">
        <v>52362078</v>
      </c>
      <c r="EF222">
        <v>1</v>
      </c>
      <c r="EG222" t="s">
        <v>22</v>
      </c>
      <c r="EH222">
        <v>0</v>
      </c>
      <c r="EI222" t="s">
        <v>3</v>
      </c>
      <c r="EJ222">
        <v>4</v>
      </c>
      <c r="EK222">
        <v>0</v>
      </c>
      <c r="EL222" t="s">
        <v>23</v>
      </c>
      <c r="EM222" t="s">
        <v>24</v>
      </c>
      <c r="EO222" t="s">
        <v>3</v>
      </c>
      <c r="EQ222">
        <v>32768</v>
      </c>
      <c r="ER222">
        <v>1009.65</v>
      </c>
      <c r="ES222">
        <v>0</v>
      </c>
      <c r="ET222">
        <v>1009.65</v>
      </c>
      <c r="EU222">
        <v>554.42999999999995</v>
      </c>
      <c r="EV222">
        <v>0</v>
      </c>
      <c r="EW222">
        <v>0</v>
      </c>
      <c r="EX222">
        <v>0</v>
      </c>
      <c r="FQ222">
        <v>0</v>
      </c>
      <c r="FR222">
        <f t="shared" si="206"/>
        <v>0</v>
      </c>
      <c r="FS222">
        <v>0</v>
      </c>
      <c r="FX222">
        <v>70</v>
      </c>
      <c r="FY222">
        <v>10</v>
      </c>
      <c r="GA222" t="s">
        <v>3</v>
      </c>
      <c r="GD222">
        <v>0</v>
      </c>
      <c r="GF222">
        <v>-1957514721</v>
      </c>
      <c r="GG222">
        <v>2</v>
      </c>
      <c r="GH222">
        <v>1</v>
      </c>
      <c r="GI222">
        <v>-2</v>
      </c>
      <c r="GJ222">
        <v>0</v>
      </c>
      <c r="GK222">
        <f>ROUND(R222*(R12)/100,2)</f>
        <v>-1.62</v>
      </c>
      <c r="GL222">
        <f t="shared" si="207"/>
        <v>0</v>
      </c>
      <c r="GM222">
        <f t="shared" si="208"/>
        <v>-4.3499999999999996</v>
      </c>
      <c r="GN222">
        <f t="shared" si="209"/>
        <v>0</v>
      </c>
      <c r="GO222">
        <f t="shared" si="210"/>
        <v>0</v>
      </c>
      <c r="GP222">
        <f t="shared" si="211"/>
        <v>-4.3499999999999996</v>
      </c>
      <c r="GR222">
        <v>0</v>
      </c>
      <c r="GS222">
        <v>7</v>
      </c>
      <c r="GT222">
        <v>0</v>
      </c>
      <c r="GU222" t="s">
        <v>3</v>
      </c>
      <c r="GV222">
        <f t="shared" si="212"/>
        <v>0</v>
      </c>
      <c r="GW222">
        <v>1</v>
      </c>
      <c r="GX222">
        <f t="shared" si="213"/>
        <v>0</v>
      </c>
      <c r="HA222">
        <v>0</v>
      </c>
      <c r="HB222">
        <v>0</v>
      </c>
      <c r="HC222">
        <f t="shared" si="214"/>
        <v>0</v>
      </c>
      <c r="HE222" t="s">
        <v>3</v>
      </c>
      <c r="HF222" t="s">
        <v>3</v>
      </c>
      <c r="IK222">
        <v>0</v>
      </c>
    </row>
    <row r="223" spans="1:245" x14ac:dyDescent="0.2">
      <c r="A223">
        <v>18</v>
      </c>
      <c r="B223">
        <v>1</v>
      </c>
      <c r="C223">
        <v>242</v>
      </c>
      <c r="E223" t="s">
        <v>251</v>
      </c>
      <c r="F223" t="s">
        <v>95</v>
      </c>
      <c r="G223" t="s">
        <v>96</v>
      </c>
      <c r="H223" t="s">
        <v>28</v>
      </c>
      <c r="I223">
        <f>I218*J223</f>
        <v>-0.15</v>
      </c>
      <c r="J223">
        <v>-5</v>
      </c>
      <c r="O223">
        <f t="shared" si="175"/>
        <v>-456.06</v>
      </c>
      <c r="P223">
        <f t="shared" si="176"/>
        <v>-456.06</v>
      </c>
      <c r="Q223">
        <f t="shared" si="177"/>
        <v>0</v>
      </c>
      <c r="R223">
        <f t="shared" si="178"/>
        <v>0</v>
      </c>
      <c r="S223">
        <f t="shared" si="179"/>
        <v>0</v>
      </c>
      <c r="T223">
        <f t="shared" si="180"/>
        <v>0</v>
      </c>
      <c r="U223">
        <f t="shared" si="181"/>
        <v>0</v>
      </c>
      <c r="V223">
        <f t="shared" si="182"/>
        <v>0</v>
      </c>
      <c r="W223">
        <f t="shared" si="183"/>
        <v>0</v>
      </c>
      <c r="X223">
        <f t="shared" si="184"/>
        <v>0</v>
      </c>
      <c r="Y223">
        <f t="shared" si="185"/>
        <v>0</v>
      </c>
      <c r="AA223">
        <v>52430918</v>
      </c>
      <c r="AB223">
        <f t="shared" si="186"/>
        <v>3040.38</v>
      </c>
      <c r="AC223">
        <f t="shared" si="187"/>
        <v>3040.38</v>
      </c>
      <c r="AD223">
        <f t="shared" si="188"/>
        <v>0</v>
      </c>
      <c r="AE223">
        <f t="shared" si="189"/>
        <v>0</v>
      </c>
      <c r="AF223">
        <f t="shared" si="190"/>
        <v>0</v>
      </c>
      <c r="AG223">
        <f t="shared" si="191"/>
        <v>0</v>
      </c>
      <c r="AH223">
        <f t="shared" si="192"/>
        <v>0</v>
      </c>
      <c r="AI223">
        <f t="shared" si="193"/>
        <v>0</v>
      </c>
      <c r="AJ223">
        <f t="shared" si="194"/>
        <v>0</v>
      </c>
      <c r="AK223">
        <v>3040.38</v>
      </c>
      <c r="AL223">
        <v>3040.38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70</v>
      </c>
      <c r="AU223">
        <v>10</v>
      </c>
      <c r="AV223">
        <v>1</v>
      </c>
      <c r="AW223">
        <v>1</v>
      </c>
      <c r="AZ223">
        <v>1</v>
      </c>
      <c r="BA223">
        <v>1</v>
      </c>
      <c r="BB223">
        <v>1</v>
      </c>
      <c r="BC223">
        <v>1</v>
      </c>
      <c r="BD223" t="s">
        <v>3</v>
      </c>
      <c r="BE223" t="s">
        <v>3</v>
      </c>
      <c r="BF223" t="s">
        <v>3</v>
      </c>
      <c r="BG223" t="s">
        <v>3</v>
      </c>
      <c r="BH223">
        <v>3</v>
      </c>
      <c r="BI223">
        <v>4</v>
      </c>
      <c r="BJ223" t="s">
        <v>97</v>
      </c>
      <c r="BM223">
        <v>0</v>
      </c>
      <c r="BN223">
        <v>0</v>
      </c>
      <c r="BO223" t="s">
        <v>3</v>
      </c>
      <c r="BP223">
        <v>0</v>
      </c>
      <c r="BQ223">
        <v>1</v>
      </c>
      <c r="BR223">
        <v>1</v>
      </c>
      <c r="BS223">
        <v>1</v>
      </c>
      <c r="BT223">
        <v>1</v>
      </c>
      <c r="BU223">
        <v>1</v>
      </c>
      <c r="BV223">
        <v>1</v>
      </c>
      <c r="BW223">
        <v>1</v>
      </c>
      <c r="BX223">
        <v>1</v>
      </c>
      <c r="BY223" t="s">
        <v>3</v>
      </c>
      <c r="BZ223">
        <v>70</v>
      </c>
      <c r="CA223">
        <v>10</v>
      </c>
      <c r="CE223">
        <v>0</v>
      </c>
      <c r="CF223">
        <v>0</v>
      </c>
      <c r="CG223">
        <v>0</v>
      </c>
      <c r="CM223">
        <v>0</v>
      </c>
      <c r="CN223" t="s">
        <v>3</v>
      </c>
      <c r="CO223">
        <v>0</v>
      </c>
      <c r="CP223">
        <f t="shared" si="195"/>
        <v>-456.06</v>
      </c>
      <c r="CQ223">
        <f t="shared" si="196"/>
        <v>3040.38</v>
      </c>
      <c r="CR223">
        <f t="shared" si="197"/>
        <v>0</v>
      </c>
      <c r="CS223">
        <f t="shared" si="198"/>
        <v>0</v>
      </c>
      <c r="CT223">
        <f t="shared" si="199"/>
        <v>0</v>
      </c>
      <c r="CU223">
        <f t="shared" si="200"/>
        <v>0</v>
      </c>
      <c r="CV223">
        <f t="shared" si="201"/>
        <v>0</v>
      </c>
      <c r="CW223">
        <f t="shared" si="202"/>
        <v>0</v>
      </c>
      <c r="CX223">
        <f t="shared" si="203"/>
        <v>0</v>
      </c>
      <c r="CY223">
        <f t="shared" si="204"/>
        <v>0</v>
      </c>
      <c r="CZ223">
        <f t="shared" si="205"/>
        <v>0</v>
      </c>
      <c r="DC223" t="s">
        <v>3</v>
      </c>
      <c r="DD223" t="s">
        <v>3</v>
      </c>
      <c r="DE223" t="s">
        <v>3</v>
      </c>
      <c r="DF223" t="s">
        <v>3</v>
      </c>
      <c r="DG223" t="s">
        <v>3</v>
      </c>
      <c r="DH223" t="s">
        <v>3</v>
      </c>
      <c r="DI223" t="s">
        <v>3</v>
      </c>
      <c r="DJ223" t="s">
        <v>3</v>
      </c>
      <c r="DK223" t="s">
        <v>3</v>
      </c>
      <c r="DL223" t="s">
        <v>3</v>
      </c>
      <c r="DM223" t="s">
        <v>3</v>
      </c>
      <c r="DN223">
        <v>0</v>
      </c>
      <c r="DO223">
        <v>0</v>
      </c>
      <c r="DP223">
        <v>1</v>
      </c>
      <c r="DQ223">
        <v>1</v>
      </c>
      <c r="DU223">
        <v>1007</v>
      </c>
      <c r="DV223" t="s">
        <v>28</v>
      </c>
      <c r="DW223" t="s">
        <v>28</v>
      </c>
      <c r="DX223">
        <v>1</v>
      </c>
      <c r="EE223">
        <v>52362078</v>
      </c>
      <c r="EF223">
        <v>1</v>
      </c>
      <c r="EG223" t="s">
        <v>22</v>
      </c>
      <c r="EH223">
        <v>0</v>
      </c>
      <c r="EI223" t="s">
        <v>3</v>
      </c>
      <c r="EJ223">
        <v>4</v>
      </c>
      <c r="EK223">
        <v>0</v>
      </c>
      <c r="EL223" t="s">
        <v>23</v>
      </c>
      <c r="EM223" t="s">
        <v>24</v>
      </c>
      <c r="EO223" t="s">
        <v>3</v>
      </c>
      <c r="EQ223">
        <v>32768</v>
      </c>
      <c r="ER223">
        <v>3040.38</v>
      </c>
      <c r="ES223">
        <v>3040.38</v>
      </c>
      <c r="ET223">
        <v>0</v>
      </c>
      <c r="EU223">
        <v>0</v>
      </c>
      <c r="EV223">
        <v>0</v>
      </c>
      <c r="EW223">
        <v>0</v>
      </c>
      <c r="EX223">
        <v>0</v>
      </c>
      <c r="FQ223">
        <v>0</v>
      </c>
      <c r="FR223">
        <f t="shared" si="206"/>
        <v>0</v>
      </c>
      <c r="FS223">
        <v>0</v>
      </c>
      <c r="FX223">
        <v>70</v>
      </c>
      <c r="FY223">
        <v>10</v>
      </c>
      <c r="GA223" t="s">
        <v>3</v>
      </c>
      <c r="GD223">
        <v>0</v>
      </c>
      <c r="GF223">
        <v>395141172</v>
      </c>
      <c r="GG223">
        <v>2</v>
      </c>
      <c r="GH223">
        <v>1</v>
      </c>
      <c r="GI223">
        <v>-2</v>
      </c>
      <c r="GJ223">
        <v>0</v>
      </c>
      <c r="GK223">
        <f>ROUND(R223*(R12)/100,2)</f>
        <v>0</v>
      </c>
      <c r="GL223">
        <f t="shared" si="207"/>
        <v>0</v>
      </c>
      <c r="GM223">
        <f t="shared" si="208"/>
        <v>-456.06</v>
      </c>
      <c r="GN223">
        <f t="shared" si="209"/>
        <v>0</v>
      </c>
      <c r="GO223">
        <f t="shared" si="210"/>
        <v>0</v>
      </c>
      <c r="GP223">
        <f t="shared" si="211"/>
        <v>-456.06</v>
      </c>
      <c r="GR223">
        <v>0</v>
      </c>
      <c r="GS223">
        <v>3</v>
      </c>
      <c r="GT223">
        <v>0</v>
      </c>
      <c r="GU223" t="s">
        <v>3</v>
      </c>
      <c r="GV223">
        <f t="shared" si="212"/>
        <v>0</v>
      </c>
      <c r="GW223">
        <v>1</v>
      </c>
      <c r="GX223">
        <f t="shared" si="213"/>
        <v>0</v>
      </c>
      <c r="HA223">
        <v>0</v>
      </c>
      <c r="HB223">
        <v>0</v>
      </c>
      <c r="HC223">
        <f t="shared" si="214"/>
        <v>0</v>
      </c>
      <c r="HE223" t="s">
        <v>3</v>
      </c>
      <c r="HF223" t="s">
        <v>3</v>
      </c>
      <c r="IK223">
        <v>0</v>
      </c>
    </row>
    <row r="224" spans="1:245" x14ac:dyDescent="0.2">
      <c r="A224">
        <v>18</v>
      </c>
      <c r="B224">
        <v>1</v>
      </c>
      <c r="C224">
        <v>240</v>
      </c>
      <c r="E224" t="s">
        <v>252</v>
      </c>
      <c r="F224" t="s">
        <v>99</v>
      </c>
      <c r="G224" t="s">
        <v>100</v>
      </c>
      <c r="H224" t="s">
        <v>101</v>
      </c>
      <c r="I224">
        <f>I218*J224</f>
        <v>-5.9999999999999995E-4</v>
      </c>
      <c r="J224">
        <v>-0.02</v>
      </c>
      <c r="O224">
        <f t="shared" si="175"/>
        <v>-66.47</v>
      </c>
      <c r="P224">
        <f t="shared" si="176"/>
        <v>-66.47</v>
      </c>
      <c r="Q224">
        <f t="shared" si="177"/>
        <v>0</v>
      </c>
      <c r="R224">
        <f t="shared" si="178"/>
        <v>0</v>
      </c>
      <c r="S224">
        <f t="shared" si="179"/>
        <v>0</v>
      </c>
      <c r="T224">
        <f t="shared" si="180"/>
        <v>0</v>
      </c>
      <c r="U224">
        <f t="shared" si="181"/>
        <v>0</v>
      </c>
      <c r="V224">
        <f t="shared" si="182"/>
        <v>0</v>
      </c>
      <c r="W224">
        <f t="shared" si="183"/>
        <v>0</v>
      </c>
      <c r="X224">
        <f t="shared" si="184"/>
        <v>0</v>
      </c>
      <c r="Y224">
        <f t="shared" si="185"/>
        <v>0</v>
      </c>
      <c r="AA224">
        <v>52430918</v>
      </c>
      <c r="AB224">
        <f t="shared" si="186"/>
        <v>110781.14</v>
      </c>
      <c r="AC224">
        <f t="shared" si="187"/>
        <v>110781.14</v>
      </c>
      <c r="AD224">
        <f t="shared" si="188"/>
        <v>0</v>
      </c>
      <c r="AE224">
        <f t="shared" si="189"/>
        <v>0</v>
      </c>
      <c r="AF224">
        <f t="shared" si="190"/>
        <v>0</v>
      </c>
      <c r="AG224">
        <f t="shared" si="191"/>
        <v>0</v>
      </c>
      <c r="AH224">
        <f t="shared" si="192"/>
        <v>0</v>
      </c>
      <c r="AI224">
        <f t="shared" si="193"/>
        <v>0</v>
      </c>
      <c r="AJ224">
        <f t="shared" si="194"/>
        <v>0</v>
      </c>
      <c r="AK224">
        <v>110781.14</v>
      </c>
      <c r="AL224">
        <v>110781.14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70</v>
      </c>
      <c r="AU224">
        <v>10</v>
      </c>
      <c r="AV224">
        <v>1</v>
      </c>
      <c r="AW224">
        <v>1</v>
      </c>
      <c r="AZ224">
        <v>1</v>
      </c>
      <c r="BA224">
        <v>1</v>
      </c>
      <c r="BB224">
        <v>1</v>
      </c>
      <c r="BC224">
        <v>1</v>
      </c>
      <c r="BD224" t="s">
        <v>3</v>
      </c>
      <c r="BE224" t="s">
        <v>3</v>
      </c>
      <c r="BF224" t="s">
        <v>3</v>
      </c>
      <c r="BG224" t="s">
        <v>3</v>
      </c>
      <c r="BH224">
        <v>3</v>
      </c>
      <c r="BI224">
        <v>4</v>
      </c>
      <c r="BJ224" t="s">
        <v>102</v>
      </c>
      <c r="BM224">
        <v>0</v>
      </c>
      <c r="BN224">
        <v>0</v>
      </c>
      <c r="BO224" t="s">
        <v>3</v>
      </c>
      <c r="BP224">
        <v>0</v>
      </c>
      <c r="BQ224">
        <v>1</v>
      </c>
      <c r="BR224">
        <v>1</v>
      </c>
      <c r="BS224">
        <v>1</v>
      </c>
      <c r="BT224">
        <v>1</v>
      </c>
      <c r="BU224">
        <v>1</v>
      </c>
      <c r="BV224">
        <v>1</v>
      </c>
      <c r="BW224">
        <v>1</v>
      </c>
      <c r="BX224">
        <v>1</v>
      </c>
      <c r="BY224" t="s">
        <v>3</v>
      </c>
      <c r="BZ224">
        <v>70</v>
      </c>
      <c r="CA224">
        <v>10</v>
      </c>
      <c r="CE224">
        <v>0</v>
      </c>
      <c r="CF224">
        <v>0</v>
      </c>
      <c r="CG224">
        <v>0</v>
      </c>
      <c r="CM224">
        <v>0</v>
      </c>
      <c r="CN224" t="s">
        <v>3</v>
      </c>
      <c r="CO224">
        <v>0</v>
      </c>
      <c r="CP224">
        <f t="shared" si="195"/>
        <v>-66.47</v>
      </c>
      <c r="CQ224">
        <f t="shared" si="196"/>
        <v>110781.14</v>
      </c>
      <c r="CR224">
        <f t="shared" si="197"/>
        <v>0</v>
      </c>
      <c r="CS224">
        <f t="shared" si="198"/>
        <v>0</v>
      </c>
      <c r="CT224">
        <f t="shared" si="199"/>
        <v>0</v>
      </c>
      <c r="CU224">
        <f t="shared" si="200"/>
        <v>0</v>
      </c>
      <c r="CV224">
        <f t="shared" si="201"/>
        <v>0</v>
      </c>
      <c r="CW224">
        <f t="shared" si="202"/>
        <v>0</v>
      </c>
      <c r="CX224">
        <f t="shared" si="203"/>
        <v>0</v>
      </c>
      <c r="CY224">
        <f t="shared" si="204"/>
        <v>0</v>
      </c>
      <c r="CZ224">
        <f t="shared" si="205"/>
        <v>0</v>
      </c>
      <c r="DC224" t="s">
        <v>3</v>
      </c>
      <c r="DD224" t="s">
        <v>3</v>
      </c>
      <c r="DE224" t="s">
        <v>3</v>
      </c>
      <c r="DF224" t="s">
        <v>3</v>
      </c>
      <c r="DG224" t="s">
        <v>3</v>
      </c>
      <c r="DH224" t="s">
        <v>3</v>
      </c>
      <c r="DI224" t="s">
        <v>3</v>
      </c>
      <c r="DJ224" t="s">
        <v>3</v>
      </c>
      <c r="DK224" t="s">
        <v>3</v>
      </c>
      <c r="DL224" t="s">
        <v>3</v>
      </c>
      <c r="DM224" t="s">
        <v>3</v>
      </c>
      <c r="DN224">
        <v>0</v>
      </c>
      <c r="DO224">
        <v>0</v>
      </c>
      <c r="DP224">
        <v>1</v>
      </c>
      <c r="DQ224">
        <v>1</v>
      </c>
      <c r="DU224">
        <v>1009</v>
      </c>
      <c r="DV224" t="s">
        <v>101</v>
      </c>
      <c r="DW224" t="s">
        <v>101</v>
      </c>
      <c r="DX224">
        <v>1000</v>
      </c>
      <c r="EE224">
        <v>52362078</v>
      </c>
      <c r="EF224">
        <v>1</v>
      </c>
      <c r="EG224" t="s">
        <v>22</v>
      </c>
      <c r="EH224">
        <v>0</v>
      </c>
      <c r="EI224" t="s">
        <v>3</v>
      </c>
      <c r="EJ224">
        <v>4</v>
      </c>
      <c r="EK224">
        <v>0</v>
      </c>
      <c r="EL224" t="s">
        <v>23</v>
      </c>
      <c r="EM224" t="s">
        <v>24</v>
      </c>
      <c r="EO224" t="s">
        <v>3</v>
      </c>
      <c r="EQ224">
        <v>32768</v>
      </c>
      <c r="ER224">
        <v>110781.14</v>
      </c>
      <c r="ES224">
        <v>110781.14</v>
      </c>
      <c r="ET224">
        <v>0</v>
      </c>
      <c r="EU224">
        <v>0</v>
      </c>
      <c r="EV224">
        <v>0</v>
      </c>
      <c r="EW224">
        <v>0</v>
      </c>
      <c r="EX224">
        <v>0</v>
      </c>
      <c r="FQ224">
        <v>0</v>
      </c>
      <c r="FR224">
        <f t="shared" si="206"/>
        <v>0</v>
      </c>
      <c r="FS224">
        <v>0</v>
      </c>
      <c r="FX224">
        <v>70</v>
      </c>
      <c r="FY224">
        <v>10</v>
      </c>
      <c r="GA224" t="s">
        <v>3</v>
      </c>
      <c r="GD224">
        <v>0</v>
      </c>
      <c r="GF224">
        <v>-672771621</v>
      </c>
      <c r="GG224">
        <v>2</v>
      </c>
      <c r="GH224">
        <v>1</v>
      </c>
      <c r="GI224">
        <v>-2</v>
      </c>
      <c r="GJ224">
        <v>0</v>
      </c>
      <c r="GK224">
        <f>ROUND(R224*(R12)/100,2)</f>
        <v>0</v>
      </c>
      <c r="GL224">
        <f t="shared" si="207"/>
        <v>0</v>
      </c>
      <c r="GM224">
        <f t="shared" si="208"/>
        <v>-66.47</v>
      </c>
      <c r="GN224">
        <f t="shared" si="209"/>
        <v>0</v>
      </c>
      <c r="GO224">
        <f t="shared" si="210"/>
        <v>0</v>
      </c>
      <c r="GP224">
        <f t="shared" si="211"/>
        <v>-66.47</v>
      </c>
      <c r="GR224">
        <v>0</v>
      </c>
      <c r="GS224">
        <v>3</v>
      </c>
      <c r="GT224">
        <v>0</v>
      </c>
      <c r="GU224" t="s">
        <v>3</v>
      </c>
      <c r="GV224">
        <f t="shared" si="212"/>
        <v>0</v>
      </c>
      <c r="GW224">
        <v>1</v>
      </c>
      <c r="GX224">
        <f t="shared" si="213"/>
        <v>0</v>
      </c>
      <c r="HA224">
        <v>0</v>
      </c>
      <c r="HB224">
        <v>0</v>
      </c>
      <c r="HC224">
        <f t="shared" si="214"/>
        <v>0</v>
      </c>
      <c r="HE224" t="s">
        <v>3</v>
      </c>
      <c r="HF224" t="s">
        <v>3</v>
      </c>
      <c r="IK224">
        <v>0</v>
      </c>
    </row>
    <row r="225" spans="1:245" x14ac:dyDescent="0.2">
      <c r="A225">
        <v>18</v>
      </c>
      <c r="B225">
        <v>1</v>
      </c>
      <c r="C225">
        <v>244</v>
      </c>
      <c r="E225" t="s">
        <v>253</v>
      </c>
      <c r="F225" t="s">
        <v>104</v>
      </c>
      <c r="G225" t="s">
        <v>105</v>
      </c>
      <c r="H225" t="s">
        <v>106</v>
      </c>
      <c r="I225">
        <f>I218*J225</f>
        <v>1</v>
      </c>
      <c r="J225">
        <v>33.333333333333336</v>
      </c>
      <c r="O225">
        <f t="shared" si="175"/>
        <v>17250</v>
      </c>
      <c r="P225">
        <f t="shared" si="176"/>
        <v>17250</v>
      </c>
      <c r="Q225">
        <f t="shared" si="177"/>
        <v>0</v>
      </c>
      <c r="R225">
        <f t="shared" si="178"/>
        <v>0</v>
      </c>
      <c r="S225">
        <f t="shared" si="179"/>
        <v>0</v>
      </c>
      <c r="T225">
        <f t="shared" si="180"/>
        <v>0</v>
      </c>
      <c r="U225">
        <f t="shared" si="181"/>
        <v>0</v>
      </c>
      <c r="V225">
        <f t="shared" si="182"/>
        <v>0</v>
      </c>
      <c r="W225">
        <f t="shared" si="183"/>
        <v>0</v>
      </c>
      <c r="X225">
        <f t="shared" si="184"/>
        <v>0</v>
      </c>
      <c r="Y225">
        <f t="shared" si="185"/>
        <v>0</v>
      </c>
      <c r="AA225">
        <v>52430918</v>
      </c>
      <c r="AB225">
        <f t="shared" si="186"/>
        <v>17250</v>
      </c>
      <c r="AC225">
        <f t="shared" si="187"/>
        <v>17250</v>
      </c>
      <c r="AD225">
        <f t="shared" si="188"/>
        <v>0</v>
      </c>
      <c r="AE225">
        <f t="shared" si="189"/>
        <v>0</v>
      </c>
      <c r="AF225">
        <f t="shared" si="190"/>
        <v>0</v>
      </c>
      <c r="AG225">
        <f t="shared" si="191"/>
        <v>0</v>
      </c>
      <c r="AH225">
        <f t="shared" si="192"/>
        <v>0</v>
      </c>
      <c r="AI225">
        <f t="shared" si="193"/>
        <v>0</v>
      </c>
      <c r="AJ225">
        <f t="shared" si="194"/>
        <v>0</v>
      </c>
      <c r="AK225">
        <v>17250</v>
      </c>
      <c r="AL225">
        <v>17250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70</v>
      </c>
      <c r="AU225">
        <v>10</v>
      </c>
      <c r="AV225">
        <v>1</v>
      </c>
      <c r="AW225">
        <v>1</v>
      </c>
      <c r="AZ225">
        <v>1</v>
      </c>
      <c r="BA225">
        <v>1</v>
      </c>
      <c r="BB225">
        <v>1</v>
      </c>
      <c r="BC225">
        <v>1</v>
      </c>
      <c r="BD225" t="s">
        <v>3</v>
      </c>
      <c r="BE225" t="s">
        <v>3</v>
      </c>
      <c r="BF225" t="s">
        <v>3</v>
      </c>
      <c r="BG225" t="s">
        <v>3</v>
      </c>
      <c r="BH225">
        <v>3</v>
      </c>
      <c r="BI225">
        <v>4</v>
      </c>
      <c r="BJ225" t="s">
        <v>3</v>
      </c>
      <c r="BM225">
        <v>0</v>
      </c>
      <c r="BN225">
        <v>0</v>
      </c>
      <c r="BO225" t="s">
        <v>3</v>
      </c>
      <c r="BP225">
        <v>0</v>
      </c>
      <c r="BQ225">
        <v>1</v>
      </c>
      <c r="BR225">
        <v>0</v>
      </c>
      <c r="BS225">
        <v>1</v>
      </c>
      <c r="BT225">
        <v>1</v>
      </c>
      <c r="BU225">
        <v>1</v>
      </c>
      <c r="BV225">
        <v>1</v>
      </c>
      <c r="BW225">
        <v>1</v>
      </c>
      <c r="BX225">
        <v>1</v>
      </c>
      <c r="BY225" t="s">
        <v>3</v>
      </c>
      <c r="BZ225">
        <v>70</v>
      </c>
      <c r="CA225">
        <v>10</v>
      </c>
      <c r="CE225">
        <v>0</v>
      </c>
      <c r="CF225">
        <v>0</v>
      </c>
      <c r="CG225">
        <v>0</v>
      </c>
      <c r="CM225">
        <v>0</v>
      </c>
      <c r="CN225" t="s">
        <v>3</v>
      </c>
      <c r="CO225">
        <v>0</v>
      </c>
      <c r="CP225">
        <f t="shared" si="195"/>
        <v>17250</v>
      </c>
      <c r="CQ225">
        <f t="shared" si="196"/>
        <v>17250</v>
      </c>
      <c r="CR225">
        <f t="shared" si="197"/>
        <v>0</v>
      </c>
      <c r="CS225">
        <f t="shared" si="198"/>
        <v>0</v>
      </c>
      <c r="CT225">
        <f t="shared" si="199"/>
        <v>0</v>
      </c>
      <c r="CU225">
        <f t="shared" si="200"/>
        <v>0</v>
      </c>
      <c r="CV225">
        <f t="shared" si="201"/>
        <v>0</v>
      </c>
      <c r="CW225">
        <f t="shared" si="202"/>
        <v>0</v>
      </c>
      <c r="CX225">
        <f t="shared" si="203"/>
        <v>0</v>
      </c>
      <c r="CY225">
        <f t="shared" si="204"/>
        <v>0</v>
      </c>
      <c r="CZ225">
        <f t="shared" si="205"/>
        <v>0</v>
      </c>
      <c r="DC225" t="s">
        <v>3</v>
      </c>
      <c r="DD225" t="s">
        <v>3</v>
      </c>
      <c r="DE225" t="s">
        <v>3</v>
      </c>
      <c r="DF225" t="s">
        <v>3</v>
      </c>
      <c r="DG225" t="s">
        <v>3</v>
      </c>
      <c r="DH225" t="s">
        <v>3</v>
      </c>
      <c r="DI225" t="s">
        <v>3</v>
      </c>
      <c r="DJ225" t="s">
        <v>3</v>
      </c>
      <c r="DK225" t="s">
        <v>3</v>
      </c>
      <c r="DL225" t="s">
        <v>3</v>
      </c>
      <c r="DM225" t="s">
        <v>3</v>
      </c>
      <c r="DN225">
        <v>0</v>
      </c>
      <c r="DO225">
        <v>0</v>
      </c>
      <c r="DP225">
        <v>1</v>
      </c>
      <c r="DQ225">
        <v>1</v>
      </c>
      <c r="DU225">
        <v>1010</v>
      </c>
      <c r="DV225" t="s">
        <v>106</v>
      </c>
      <c r="DW225" t="s">
        <v>106</v>
      </c>
      <c r="DX225">
        <v>1</v>
      </c>
      <c r="EE225">
        <v>52362078</v>
      </c>
      <c r="EF225">
        <v>1</v>
      </c>
      <c r="EG225" t="s">
        <v>22</v>
      </c>
      <c r="EH225">
        <v>0</v>
      </c>
      <c r="EI225" t="s">
        <v>3</v>
      </c>
      <c r="EJ225">
        <v>4</v>
      </c>
      <c r="EK225">
        <v>0</v>
      </c>
      <c r="EL225" t="s">
        <v>23</v>
      </c>
      <c r="EM225" t="s">
        <v>24</v>
      </c>
      <c r="EO225" t="s">
        <v>3</v>
      </c>
      <c r="EQ225">
        <v>0</v>
      </c>
      <c r="ER225">
        <v>17250</v>
      </c>
      <c r="ES225">
        <v>17250</v>
      </c>
      <c r="ET225">
        <v>0</v>
      </c>
      <c r="EU225">
        <v>0</v>
      </c>
      <c r="EV225">
        <v>0</v>
      </c>
      <c r="EW225">
        <v>0</v>
      </c>
      <c r="EX225">
        <v>0</v>
      </c>
      <c r="EZ225">
        <v>5</v>
      </c>
      <c r="FC225">
        <v>1</v>
      </c>
      <c r="FD225">
        <v>18</v>
      </c>
      <c r="FF225">
        <v>20700</v>
      </c>
      <c r="FQ225">
        <v>0</v>
      </c>
      <c r="FR225">
        <f t="shared" si="206"/>
        <v>0</v>
      </c>
      <c r="FS225">
        <v>0</v>
      </c>
      <c r="FX225">
        <v>70</v>
      </c>
      <c r="FY225">
        <v>10</v>
      </c>
      <c r="GA225" t="s">
        <v>107</v>
      </c>
      <c r="GD225">
        <v>0</v>
      </c>
      <c r="GF225">
        <v>-292158938</v>
      </c>
      <c r="GG225">
        <v>2</v>
      </c>
      <c r="GH225">
        <v>3</v>
      </c>
      <c r="GI225">
        <v>-2</v>
      </c>
      <c r="GJ225">
        <v>0</v>
      </c>
      <c r="GK225">
        <f>ROUND(R225*(R12)/100,2)</f>
        <v>0</v>
      </c>
      <c r="GL225">
        <f t="shared" si="207"/>
        <v>0</v>
      </c>
      <c r="GM225">
        <f t="shared" si="208"/>
        <v>17250</v>
      </c>
      <c r="GN225">
        <f t="shared" si="209"/>
        <v>0</v>
      </c>
      <c r="GO225">
        <f t="shared" si="210"/>
        <v>0</v>
      </c>
      <c r="GP225">
        <f t="shared" si="211"/>
        <v>17250</v>
      </c>
      <c r="GR225">
        <v>1</v>
      </c>
      <c r="GS225">
        <v>1</v>
      </c>
      <c r="GT225">
        <v>0</v>
      </c>
      <c r="GU225" t="s">
        <v>3</v>
      </c>
      <c r="GV225">
        <f t="shared" si="212"/>
        <v>0</v>
      </c>
      <c r="GW225">
        <v>1</v>
      </c>
      <c r="GX225">
        <f t="shared" si="213"/>
        <v>0</v>
      </c>
      <c r="HA225">
        <v>0</v>
      </c>
      <c r="HB225">
        <v>0</v>
      </c>
      <c r="HC225">
        <f t="shared" si="214"/>
        <v>0</v>
      </c>
      <c r="HE225" t="s">
        <v>108</v>
      </c>
      <c r="HF225" t="s">
        <v>108</v>
      </c>
      <c r="IK225">
        <v>0</v>
      </c>
    </row>
    <row r="226" spans="1:245" x14ac:dyDescent="0.2">
      <c r="A226">
        <v>18</v>
      </c>
      <c r="B226">
        <v>1</v>
      </c>
      <c r="C226">
        <v>245</v>
      </c>
      <c r="E226" t="s">
        <v>254</v>
      </c>
      <c r="F226" t="s">
        <v>104</v>
      </c>
      <c r="G226" t="s">
        <v>110</v>
      </c>
      <c r="H226" t="s">
        <v>106</v>
      </c>
      <c r="I226">
        <f>I218*J226</f>
        <v>1</v>
      </c>
      <c r="J226">
        <v>33.333333333333336</v>
      </c>
      <c r="O226">
        <f t="shared" si="175"/>
        <v>44166.67</v>
      </c>
      <c r="P226">
        <f t="shared" si="176"/>
        <v>44166.67</v>
      </c>
      <c r="Q226">
        <f t="shared" si="177"/>
        <v>0</v>
      </c>
      <c r="R226">
        <f t="shared" si="178"/>
        <v>0</v>
      </c>
      <c r="S226">
        <f t="shared" si="179"/>
        <v>0</v>
      </c>
      <c r="T226">
        <f t="shared" si="180"/>
        <v>0</v>
      </c>
      <c r="U226">
        <f t="shared" si="181"/>
        <v>0</v>
      </c>
      <c r="V226">
        <f t="shared" si="182"/>
        <v>0</v>
      </c>
      <c r="W226">
        <f t="shared" si="183"/>
        <v>0</v>
      </c>
      <c r="X226">
        <f t="shared" si="184"/>
        <v>0</v>
      </c>
      <c r="Y226">
        <f t="shared" si="185"/>
        <v>0</v>
      </c>
      <c r="AA226">
        <v>52430918</v>
      </c>
      <c r="AB226">
        <f t="shared" si="186"/>
        <v>44166.67</v>
      </c>
      <c r="AC226">
        <f t="shared" si="187"/>
        <v>44166.67</v>
      </c>
      <c r="AD226">
        <f t="shared" si="188"/>
        <v>0</v>
      </c>
      <c r="AE226">
        <f t="shared" si="189"/>
        <v>0</v>
      </c>
      <c r="AF226">
        <f t="shared" si="190"/>
        <v>0</v>
      </c>
      <c r="AG226">
        <f t="shared" si="191"/>
        <v>0</v>
      </c>
      <c r="AH226">
        <f t="shared" si="192"/>
        <v>0</v>
      </c>
      <c r="AI226">
        <f t="shared" si="193"/>
        <v>0</v>
      </c>
      <c r="AJ226">
        <f t="shared" si="194"/>
        <v>0</v>
      </c>
      <c r="AK226">
        <v>44166.67</v>
      </c>
      <c r="AL226">
        <v>44166.67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70</v>
      </c>
      <c r="AU226">
        <v>10</v>
      </c>
      <c r="AV226">
        <v>1</v>
      </c>
      <c r="AW226">
        <v>1</v>
      </c>
      <c r="AZ226">
        <v>1</v>
      </c>
      <c r="BA226">
        <v>1</v>
      </c>
      <c r="BB226">
        <v>1</v>
      </c>
      <c r="BC226">
        <v>1</v>
      </c>
      <c r="BD226" t="s">
        <v>3</v>
      </c>
      <c r="BE226" t="s">
        <v>3</v>
      </c>
      <c r="BF226" t="s">
        <v>3</v>
      </c>
      <c r="BG226" t="s">
        <v>3</v>
      </c>
      <c r="BH226">
        <v>3</v>
      </c>
      <c r="BI226">
        <v>4</v>
      </c>
      <c r="BJ226" t="s">
        <v>3</v>
      </c>
      <c r="BM226">
        <v>0</v>
      </c>
      <c r="BN226">
        <v>0</v>
      </c>
      <c r="BO226" t="s">
        <v>3</v>
      </c>
      <c r="BP226">
        <v>0</v>
      </c>
      <c r="BQ226">
        <v>1</v>
      </c>
      <c r="BR226">
        <v>0</v>
      </c>
      <c r="BS226">
        <v>1</v>
      </c>
      <c r="BT226">
        <v>1</v>
      </c>
      <c r="BU226">
        <v>1</v>
      </c>
      <c r="BV226">
        <v>1</v>
      </c>
      <c r="BW226">
        <v>1</v>
      </c>
      <c r="BX226">
        <v>1</v>
      </c>
      <c r="BY226" t="s">
        <v>3</v>
      </c>
      <c r="BZ226">
        <v>70</v>
      </c>
      <c r="CA226">
        <v>10</v>
      </c>
      <c r="CE226">
        <v>0</v>
      </c>
      <c r="CF226">
        <v>0</v>
      </c>
      <c r="CG226">
        <v>0</v>
      </c>
      <c r="CM226">
        <v>0</v>
      </c>
      <c r="CN226" t="s">
        <v>3</v>
      </c>
      <c r="CO226">
        <v>0</v>
      </c>
      <c r="CP226">
        <f t="shared" si="195"/>
        <v>44166.67</v>
      </c>
      <c r="CQ226">
        <f t="shared" si="196"/>
        <v>44166.67</v>
      </c>
      <c r="CR226">
        <f t="shared" si="197"/>
        <v>0</v>
      </c>
      <c r="CS226">
        <f t="shared" si="198"/>
        <v>0</v>
      </c>
      <c r="CT226">
        <f t="shared" si="199"/>
        <v>0</v>
      </c>
      <c r="CU226">
        <f t="shared" si="200"/>
        <v>0</v>
      </c>
      <c r="CV226">
        <f t="shared" si="201"/>
        <v>0</v>
      </c>
      <c r="CW226">
        <f t="shared" si="202"/>
        <v>0</v>
      </c>
      <c r="CX226">
        <f t="shared" si="203"/>
        <v>0</v>
      </c>
      <c r="CY226">
        <f t="shared" si="204"/>
        <v>0</v>
      </c>
      <c r="CZ226">
        <f t="shared" si="205"/>
        <v>0</v>
      </c>
      <c r="DC226" t="s">
        <v>3</v>
      </c>
      <c r="DD226" t="s">
        <v>3</v>
      </c>
      <c r="DE226" t="s">
        <v>3</v>
      </c>
      <c r="DF226" t="s">
        <v>3</v>
      </c>
      <c r="DG226" t="s">
        <v>3</v>
      </c>
      <c r="DH226" t="s">
        <v>3</v>
      </c>
      <c r="DI226" t="s">
        <v>3</v>
      </c>
      <c r="DJ226" t="s">
        <v>3</v>
      </c>
      <c r="DK226" t="s">
        <v>3</v>
      </c>
      <c r="DL226" t="s">
        <v>3</v>
      </c>
      <c r="DM226" t="s">
        <v>3</v>
      </c>
      <c r="DN226">
        <v>0</v>
      </c>
      <c r="DO226">
        <v>0</v>
      </c>
      <c r="DP226">
        <v>1</v>
      </c>
      <c r="DQ226">
        <v>1</v>
      </c>
      <c r="DU226">
        <v>1010</v>
      </c>
      <c r="DV226" t="s">
        <v>106</v>
      </c>
      <c r="DW226" t="s">
        <v>106</v>
      </c>
      <c r="DX226">
        <v>1</v>
      </c>
      <c r="EE226">
        <v>52362078</v>
      </c>
      <c r="EF226">
        <v>1</v>
      </c>
      <c r="EG226" t="s">
        <v>22</v>
      </c>
      <c r="EH226">
        <v>0</v>
      </c>
      <c r="EI226" t="s">
        <v>3</v>
      </c>
      <c r="EJ226">
        <v>4</v>
      </c>
      <c r="EK226">
        <v>0</v>
      </c>
      <c r="EL226" t="s">
        <v>23</v>
      </c>
      <c r="EM226" t="s">
        <v>24</v>
      </c>
      <c r="EO226" t="s">
        <v>3</v>
      </c>
      <c r="EQ226">
        <v>0</v>
      </c>
      <c r="ER226">
        <v>44166.67</v>
      </c>
      <c r="ES226">
        <v>44166.67</v>
      </c>
      <c r="ET226">
        <v>0</v>
      </c>
      <c r="EU226">
        <v>0</v>
      </c>
      <c r="EV226">
        <v>0</v>
      </c>
      <c r="EW226">
        <v>0</v>
      </c>
      <c r="EX226">
        <v>0</v>
      </c>
      <c r="EZ226">
        <v>5</v>
      </c>
      <c r="FC226">
        <v>1</v>
      </c>
      <c r="FD226">
        <v>18</v>
      </c>
      <c r="FF226">
        <v>53000</v>
      </c>
      <c r="FQ226">
        <v>0</v>
      </c>
      <c r="FR226">
        <f t="shared" si="206"/>
        <v>0</v>
      </c>
      <c r="FS226">
        <v>0</v>
      </c>
      <c r="FX226">
        <v>70</v>
      </c>
      <c r="FY226">
        <v>10</v>
      </c>
      <c r="GA226" t="s">
        <v>111</v>
      </c>
      <c r="GD226">
        <v>0</v>
      </c>
      <c r="GF226">
        <v>774189156</v>
      </c>
      <c r="GG226">
        <v>2</v>
      </c>
      <c r="GH226">
        <v>3</v>
      </c>
      <c r="GI226">
        <v>-2</v>
      </c>
      <c r="GJ226">
        <v>0</v>
      </c>
      <c r="GK226">
        <f>ROUND(R226*(R12)/100,2)</f>
        <v>0</v>
      </c>
      <c r="GL226">
        <f t="shared" si="207"/>
        <v>0</v>
      </c>
      <c r="GM226">
        <f t="shared" si="208"/>
        <v>44166.67</v>
      </c>
      <c r="GN226">
        <f t="shared" si="209"/>
        <v>0</v>
      </c>
      <c r="GO226">
        <f t="shared" si="210"/>
        <v>0</v>
      </c>
      <c r="GP226">
        <f t="shared" si="211"/>
        <v>44166.67</v>
      </c>
      <c r="GR226">
        <v>1</v>
      </c>
      <c r="GS226">
        <v>1</v>
      </c>
      <c r="GT226">
        <v>0</v>
      </c>
      <c r="GU226" t="s">
        <v>3</v>
      </c>
      <c r="GV226">
        <f t="shared" si="212"/>
        <v>0</v>
      </c>
      <c r="GW226">
        <v>1</v>
      </c>
      <c r="GX226">
        <f t="shared" si="213"/>
        <v>0</v>
      </c>
      <c r="HA226">
        <v>0</v>
      </c>
      <c r="HB226">
        <v>0</v>
      </c>
      <c r="HC226">
        <f t="shared" si="214"/>
        <v>0</v>
      </c>
      <c r="HE226" t="s">
        <v>108</v>
      </c>
      <c r="HF226" t="s">
        <v>108</v>
      </c>
      <c r="IK226">
        <v>0</v>
      </c>
    </row>
    <row r="227" spans="1:245" x14ac:dyDescent="0.2">
      <c r="A227">
        <v>18</v>
      </c>
      <c r="B227">
        <v>1</v>
      </c>
      <c r="C227">
        <v>246</v>
      </c>
      <c r="E227" t="s">
        <v>255</v>
      </c>
      <c r="F227" t="s">
        <v>104</v>
      </c>
      <c r="G227" t="s">
        <v>206</v>
      </c>
      <c r="H227" t="s">
        <v>106</v>
      </c>
      <c r="I227">
        <f>I218*J227</f>
        <v>1</v>
      </c>
      <c r="J227">
        <v>33.333333333333336</v>
      </c>
      <c r="O227">
        <f t="shared" si="175"/>
        <v>48916.67</v>
      </c>
      <c r="P227">
        <f t="shared" si="176"/>
        <v>48916.67</v>
      </c>
      <c r="Q227">
        <f t="shared" si="177"/>
        <v>0</v>
      </c>
      <c r="R227">
        <f t="shared" si="178"/>
        <v>0</v>
      </c>
      <c r="S227">
        <f t="shared" si="179"/>
        <v>0</v>
      </c>
      <c r="T227">
        <f t="shared" si="180"/>
        <v>0</v>
      </c>
      <c r="U227">
        <f t="shared" si="181"/>
        <v>0</v>
      </c>
      <c r="V227">
        <f t="shared" si="182"/>
        <v>0</v>
      </c>
      <c r="W227">
        <f t="shared" si="183"/>
        <v>0</v>
      </c>
      <c r="X227">
        <f t="shared" si="184"/>
        <v>0</v>
      </c>
      <c r="Y227">
        <f t="shared" si="185"/>
        <v>0</v>
      </c>
      <c r="AA227">
        <v>52430918</v>
      </c>
      <c r="AB227">
        <f t="shared" si="186"/>
        <v>48916.67</v>
      </c>
      <c r="AC227">
        <f t="shared" si="187"/>
        <v>48916.67</v>
      </c>
      <c r="AD227">
        <f t="shared" si="188"/>
        <v>0</v>
      </c>
      <c r="AE227">
        <f t="shared" si="189"/>
        <v>0</v>
      </c>
      <c r="AF227">
        <f t="shared" si="190"/>
        <v>0</v>
      </c>
      <c r="AG227">
        <f t="shared" si="191"/>
        <v>0</v>
      </c>
      <c r="AH227">
        <f t="shared" si="192"/>
        <v>0</v>
      </c>
      <c r="AI227">
        <f t="shared" si="193"/>
        <v>0</v>
      </c>
      <c r="AJ227">
        <f t="shared" si="194"/>
        <v>0</v>
      </c>
      <c r="AK227">
        <v>48916.67</v>
      </c>
      <c r="AL227">
        <v>48916.67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70</v>
      </c>
      <c r="AU227">
        <v>10</v>
      </c>
      <c r="AV227">
        <v>1</v>
      </c>
      <c r="AW227">
        <v>1</v>
      </c>
      <c r="AZ227">
        <v>1</v>
      </c>
      <c r="BA227">
        <v>1</v>
      </c>
      <c r="BB227">
        <v>1</v>
      </c>
      <c r="BC227">
        <v>1</v>
      </c>
      <c r="BD227" t="s">
        <v>3</v>
      </c>
      <c r="BE227" t="s">
        <v>3</v>
      </c>
      <c r="BF227" t="s">
        <v>3</v>
      </c>
      <c r="BG227" t="s">
        <v>3</v>
      </c>
      <c r="BH227">
        <v>3</v>
      </c>
      <c r="BI227">
        <v>4</v>
      </c>
      <c r="BJ227" t="s">
        <v>3</v>
      </c>
      <c r="BM227">
        <v>0</v>
      </c>
      <c r="BN227">
        <v>0</v>
      </c>
      <c r="BO227" t="s">
        <v>3</v>
      </c>
      <c r="BP227">
        <v>0</v>
      </c>
      <c r="BQ227">
        <v>1</v>
      </c>
      <c r="BR227">
        <v>0</v>
      </c>
      <c r="BS227">
        <v>1</v>
      </c>
      <c r="BT227">
        <v>1</v>
      </c>
      <c r="BU227">
        <v>1</v>
      </c>
      <c r="BV227">
        <v>1</v>
      </c>
      <c r="BW227">
        <v>1</v>
      </c>
      <c r="BX227">
        <v>1</v>
      </c>
      <c r="BY227" t="s">
        <v>3</v>
      </c>
      <c r="BZ227">
        <v>70</v>
      </c>
      <c r="CA227">
        <v>10</v>
      </c>
      <c r="CE227">
        <v>0</v>
      </c>
      <c r="CF227">
        <v>0</v>
      </c>
      <c r="CG227">
        <v>0</v>
      </c>
      <c r="CM227">
        <v>0</v>
      </c>
      <c r="CN227" t="s">
        <v>3</v>
      </c>
      <c r="CO227">
        <v>0</v>
      </c>
      <c r="CP227">
        <f t="shared" si="195"/>
        <v>48916.67</v>
      </c>
      <c r="CQ227">
        <f t="shared" si="196"/>
        <v>48916.67</v>
      </c>
      <c r="CR227">
        <f t="shared" si="197"/>
        <v>0</v>
      </c>
      <c r="CS227">
        <f t="shared" si="198"/>
        <v>0</v>
      </c>
      <c r="CT227">
        <f t="shared" si="199"/>
        <v>0</v>
      </c>
      <c r="CU227">
        <f t="shared" si="200"/>
        <v>0</v>
      </c>
      <c r="CV227">
        <f t="shared" si="201"/>
        <v>0</v>
      </c>
      <c r="CW227">
        <f t="shared" si="202"/>
        <v>0</v>
      </c>
      <c r="CX227">
        <f t="shared" si="203"/>
        <v>0</v>
      </c>
      <c r="CY227">
        <f t="shared" si="204"/>
        <v>0</v>
      </c>
      <c r="CZ227">
        <f t="shared" si="205"/>
        <v>0</v>
      </c>
      <c r="DC227" t="s">
        <v>3</v>
      </c>
      <c r="DD227" t="s">
        <v>3</v>
      </c>
      <c r="DE227" t="s">
        <v>3</v>
      </c>
      <c r="DF227" t="s">
        <v>3</v>
      </c>
      <c r="DG227" t="s">
        <v>3</v>
      </c>
      <c r="DH227" t="s">
        <v>3</v>
      </c>
      <c r="DI227" t="s">
        <v>3</v>
      </c>
      <c r="DJ227" t="s">
        <v>3</v>
      </c>
      <c r="DK227" t="s">
        <v>3</v>
      </c>
      <c r="DL227" t="s">
        <v>3</v>
      </c>
      <c r="DM227" t="s">
        <v>3</v>
      </c>
      <c r="DN227">
        <v>0</v>
      </c>
      <c r="DO227">
        <v>0</v>
      </c>
      <c r="DP227">
        <v>1</v>
      </c>
      <c r="DQ227">
        <v>1</v>
      </c>
      <c r="DU227">
        <v>1010</v>
      </c>
      <c r="DV227" t="s">
        <v>106</v>
      </c>
      <c r="DW227" t="s">
        <v>106</v>
      </c>
      <c r="DX227">
        <v>1</v>
      </c>
      <c r="EE227">
        <v>52362078</v>
      </c>
      <c r="EF227">
        <v>1</v>
      </c>
      <c r="EG227" t="s">
        <v>22</v>
      </c>
      <c r="EH227">
        <v>0</v>
      </c>
      <c r="EI227" t="s">
        <v>3</v>
      </c>
      <c r="EJ227">
        <v>4</v>
      </c>
      <c r="EK227">
        <v>0</v>
      </c>
      <c r="EL227" t="s">
        <v>23</v>
      </c>
      <c r="EM227" t="s">
        <v>24</v>
      </c>
      <c r="EO227" t="s">
        <v>3</v>
      </c>
      <c r="EQ227">
        <v>0</v>
      </c>
      <c r="ER227">
        <v>48916.67</v>
      </c>
      <c r="ES227">
        <v>48916.67</v>
      </c>
      <c r="ET227">
        <v>0</v>
      </c>
      <c r="EU227">
        <v>0</v>
      </c>
      <c r="EV227">
        <v>0</v>
      </c>
      <c r="EW227">
        <v>0</v>
      </c>
      <c r="EX227">
        <v>0</v>
      </c>
      <c r="EZ227">
        <v>5</v>
      </c>
      <c r="FC227">
        <v>1</v>
      </c>
      <c r="FD227">
        <v>18</v>
      </c>
      <c r="FF227">
        <v>58700</v>
      </c>
      <c r="FQ227">
        <v>0</v>
      </c>
      <c r="FR227">
        <f t="shared" si="206"/>
        <v>0</v>
      </c>
      <c r="FS227">
        <v>0</v>
      </c>
      <c r="FX227">
        <v>70</v>
      </c>
      <c r="FY227">
        <v>10</v>
      </c>
      <c r="GA227" t="s">
        <v>207</v>
      </c>
      <c r="GD227">
        <v>0</v>
      </c>
      <c r="GF227">
        <v>-696338570</v>
      </c>
      <c r="GG227">
        <v>2</v>
      </c>
      <c r="GH227">
        <v>3</v>
      </c>
      <c r="GI227">
        <v>-2</v>
      </c>
      <c r="GJ227">
        <v>0</v>
      </c>
      <c r="GK227">
        <f>ROUND(R227*(R12)/100,2)</f>
        <v>0</v>
      </c>
      <c r="GL227">
        <f t="shared" si="207"/>
        <v>0</v>
      </c>
      <c r="GM227">
        <f t="shared" si="208"/>
        <v>48916.67</v>
      </c>
      <c r="GN227">
        <f t="shared" si="209"/>
        <v>0</v>
      </c>
      <c r="GO227">
        <f t="shared" si="210"/>
        <v>0</v>
      </c>
      <c r="GP227">
        <f t="shared" si="211"/>
        <v>48916.67</v>
      </c>
      <c r="GR227">
        <v>1</v>
      </c>
      <c r="GS227">
        <v>1</v>
      </c>
      <c r="GT227">
        <v>0</v>
      </c>
      <c r="GU227" t="s">
        <v>3</v>
      </c>
      <c r="GV227">
        <f t="shared" si="212"/>
        <v>0</v>
      </c>
      <c r="GW227">
        <v>1</v>
      </c>
      <c r="GX227">
        <f t="shared" si="213"/>
        <v>0</v>
      </c>
      <c r="HA227">
        <v>0</v>
      </c>
      <c r="HB227">
        <v>0</v>
      </c>
      <c r="HC227">
        <f t="shared" si="214"/>
        <v>0</v>
      </c>
      <c r="HE227" t="s">
        <v>108</v>
      </c>
      <c r="HF227" t="s">
        <v>108</v>
      </c>
      <c r="IK227">
        <v>0</v>
      </c>
    </row>
    <row r="229" spans="1:245" x14ac:dyDescent="0.2">
      <c r="A229" s="2">
        <v>51</v>
      </c>
      <c r="B229" s="2">
        <f>B203</f>
        <v>1</v>
      </c>
      <c r="C229" s="2">
        <f>A203</f>
        <v>5</v>
      </c>
      <c r="D229" s="2">
        <f>ROW(A203)</f>
        <v>203</v>
      </c>
      <c r="E229" s="2"/>
      <c r="F229" s="2" t="str">
        <f>IF(F203&lt;&gt;"",F203,"")</f>
        <v>Новый подраздел</v>
      </c>
      <c r="G229" s="2" t="str">
        <f>IF(G203&lt;&gt;"",G203,"")</f>
        <v>Игровая площадка группы № 8</v>
      </c>
      <c r="H229" s="2">
        <v>0</v>
      </c>
      <c r="I229" s="2"/>
      <c r="J229" s="2"/>
      <c r="K229" s="2"/>
      <c r="L229" s="2"/>
      <c r="M229" s="2"/>
      <c r="N229" s="2"/>
      <c r="O229" s="2">
        <f t="shared" ref="O229:T229" si="215">ROUND(AB229,2)</f>
        <v>329277.17</v>
      </c>
      <c r="P229" s="2">
        <f t="shared" si="215"/>
        <v>284645.81</v>
      </c>
      <c r="Q229" s="2">
        <f t="shared" si="215"/>
        <v>7474.35</v>
      </c>
      <c r="R229" s="2">
        <f t="shared" si="215"/>
        <v>3975.33</v>
      </c>
      <c r="S229" s="2">
        <f t="shared" si="215"/>
        <v>37157.01</v>
      </c>
      <c r="T229" s="2">
        <f t="shared" si="215"/>
        <v>0</v>
      </c>
      <c r="U229" s="2">
        <f>AH229</f>
        <v>176.72290000000001</v>
      </c>
      <c r="V229" s="2">
        <f>AI229</f>
        <v>0</v>
      </c>
      <c r="W229" s="2">
        <f>ROUND(AJ229,2)</f>
        <v>0</v>
      </c>
      <c r="X229" s="2">
        <f>ROUND(AK229,2)</f>
        <v>26009.91</v>
      </c>
      <c r="Y229" s="2">
        <f>ROUND(AL229,2)</f>
        <v>3715.71</v>
      </c>
      <c r="Z229" s="2"/>
      <c r="AA229" s="2"/>
      <c r="AB229" s="2">
        <f>ROUND(SUMIF(AA207:AA227,"=52430918",O207:O227),2)</f>
        <v>329277.17</v>
      </c>
      <c r="AC229" s="2">
        <f>ROUND(SUMIF(AA207:AA227,"=52430918",P207:P227),2)</f>
        <v>284645.81</v>
      </c>
      <c r="AD229" s="2">
        <f>ROUND(SUMIF(AA207:AA227,"=52430918",Q207:Q227),2)</f>
        <v>7474.35</v>
      </c>
      <c r="AE229" s="2">
        <f>ROUND(SUMIF(AA207:AA227,"=52430918",R207:R227),2)</f>
        <v>3975.33</v>
      </c>
      <c r="AF229" s="2">
        <f>ROUND(SUMIF(AA207:AA227,"=52430918",S207:S227),2)</f>
        <v>37157.01</v>
      </c>
      <c r="AG229" s="2">
        <f>ROUND(SUMIF(AA207:AA227,"=52430918",T207:T227),2)</f>
        <v>0</v>
      </c>
      <c r="AH229" s="2">
        <f>SUMIF(AA207:AA227,"=52430918",U207:U227)</f>
        <v>176.72290000000001</v>
      </c>
      <c r="AI229" s="2">
        <f>SUMIF(AA207:AA227,"=52430918",V207:V227)</f>
        <v>0</v>
      </c>
      <c r="AJ229" s="2">
        <f>ROUND(SUMIF(AA207:AA227,"=52430918",W207:W227),2)</f>
        <v>0</v>
      </c>
      <c r="AK229" s="2">
        <f>ROUND(SUMIF(AA207:AA227,"=52430918",X207:X227),2)</f>
        <v>26009.91</v>
      </c>
      <c r="AL229" s="2">
        <f>ROUND(SUMIF(AA207:AA227,"=52430918",Y207:Y227),2)</f>
        <v>3715.71</v>
      </c>
      <c r="AM229" s="2"/>
      <c r="AN229" s="2"/>
      <c r="AO229" s="2">
        <f t="shared" ref="AO229:BD229" si="216">ROUND(BX229,2)</f>
        <v>0</v>
      </c>
      <c r="AP229" s="2">
        <f t="shared" si="216"/>
        <v>0</v>
      </c>
      <c r="AQ229" s="2">
        <f t="shared" si="216"/>
        <v>0</v>
      </c>
      <c r="AR229" s="2">
        <f t="shared" si="216"/>
        <v>363296.14</v>
      </c>
      <c r="AS229" s="2">
        <f t="shared" si="216"/>
        <v>0</v>
      </c>
      <c r="AT229" s="2">
        <f t="shared" si="216"/>
        <v>0</v>
      </c>
      <c r="AU229" s="2">
        <f t="shared" si="216"/>
        <v>363296.14</v>
      </c>
      <c r="AV229" s="2">
        <f t="shared" si="216"/>
        <v>284645.81</v>
      </c>
      <c r="AW229" s="2">
        <f t="shared" si="216"/>
        <v>284645.81</v>
      </c>
      <c r="AX229" s="2">
        <f t="shared" si="216"/>
        <v>0</v>
      </c>
      <c r="AY229" s="2">
        <f t="shared" si="216"/>
        <v>284645.81</v>
      </c>
      <c r="AZ229" s="2">
        <f t="shared" si="216"/>
        <v>0</v>
      </c>
      <c r="BA229" s="2">
        <f t="shared" si="216"/>
        <v>0</v>
      </c>
      <c r="BB229" s="2">
        <f t="shared" si="216"/>
        <v>0</v>
      </c>
      <c r="BC229" s="2">
        <f t="shared" si="216"/>
        <v>0</v>
      </c>
      <c r="BD229" s="2">
        <f t="shared" si="216"/>
        <v>0</v>
      </c>
      <c r="BE229" s="2"/>
      <c r="BF229" s="2"/>
      <c r="BG229" s="2"/>
      <c r="BH229" s="2"/>
      <c r="BI229" s="2"/>
      <c r="BJ229" s="2"/>
      <c r="BK229" s="2"/>
      <c r="BL229" s="2"/>
      <c r="BM229" s="2"/>
      <c r="BN229" s="2"/>
      <c r="BO229" s="2"/>
      <c r="BP229" s="2"/>
      <c r="BQ229" s="2"/>
      <c r="BR229" s="2"/>
      <c r="BS229" s="2"/>
      <c r="BT229" s="2"/>
      <c r="BU229" s="2"/>
      <c r="BV229" s="2"/>
      <c r="BW229" s="2"/>
      <c r="BX229" s="2">
        <f>ROUND(SUMIF(AA207:AA227,"=52430918",FQ207:FQ227),2)</f>
        <v>0</v>
      </c>
      <c r="BY229" s="2">
        <f>ROUND(SUMIF(AA207:AA227,"=52430918",FR207:FR227),2)</f>
        <v>0</v>
      </c>
      <c r="BZ229" s="2">
        <f>ROUND(SUMIF(AA207:AA227,"=52430918",GL207:GL227),2)</f>
        <v>0</v>
      </c>
      <c r="CA229" s="2">
        <f>ROUND(SUMIF(AA207:AA227,"=52430918",GM207:GM227),2)</f>
        <v>363296.14</v>
      </c>
      <c r="CB229" s="2">
        <f>ROUND(SUMIF(AA207:AA227,"=52430918",GN207:GN227),2)</f>
        <v>0</v>
      </c>
      <c r="CC229" s="2">
        <f>ROUND(SUMIF(AA207:AA227,"=52430918",GO207:GO227),2)</f>
        <v>0</v>
      </c>
      <c r="CD229" s="2">
        <f>ROUND(SUMIF(AA207:AA227,"=52430918",GP207:GP227),2)</f>
        <v>363296.14</v>
      </c>
      <c r="CE229" s="2">
        <f>AC229-BX229</f>
        <v>284645.81</v>
      </c>
      <c r="CF229" s="2">
        <f>AC229-BY229</f>
        <v>284645.81</v>
      </c>
      <c r="CG229" s="2">
        <f>BX229-BZ229</f>
        <v>0</v>
      </c>
      <c r="CH229" s="2">
        <f>AC229-BX229-BY229+BZ229</f>
        <v>284645.81</v>
      </c>
      <c r="CI229" s="2">
        <f>BY229-BZ229</f>
        <v>0</v>
      </c>
      <c r="CJ229" s="2">
        <f>ROUND(SUMIF(AA207:AA227,"=52430918",GX207:GX227),2)</f>
        <v>0</v>
      </c>
      <c r="CK229" s="2">
        <f>ROUND(SUMIF(AA207:AA227,"=52430918",GY207:GY227),2)</f>
        <v>0</v>
      </c>
      <c r="CL229" s="2">
        <f>ROUND(SUMIF(AA207:AA227,"=52430918",GZ207:GZ227),2)</f>
        <v>0</v>
      </c>
      <c r="CM229" s="2">
        <f>ROUND(SUMIF(AA207:AA227,"=52430918",HD207:HD227),2)</f>
        <v>0</v>
      </c>
      <c r="CN229" s="2"/>
      <c r="CO229" s="2"/>
      <c r="CP229" s="2"/>
      <c r="CQ229" s="2"/>
      <c r="CR229" s="2"/>
      <c r="CS229" s="2"/>
      <c r="CT229" s="2"/>
      <c r="CU229" s="2"/>
      <c r="CV229" s="2"/>
      <c r="CW229" s="2"/>
      <c r="CX229" s="2"/>
      <c r="CY229" s="2"/>
      <c r="CZ229" s="2"/>
      <c r="DA229" s="2"/>
      <c r="DB229" s="2"/>
      <c r="DC229" s="2"/>
      <c r="DD229" s="2"/>
      <c r="DE229" s="2"/>
      <c r="DF229" s="2"/>
      <c r="DG229" s="3"/>
      <c r="DH229" s="3"/>
      <c r="DI229" s="3"/>
      <c r="DJ229" s="3"/>
      <c r="DK229" s="3"/>
      <c r="DL229" s="3"/>
      <c r="DM229" s="3"/>
      <c r="DN229" s="3"/>
      <c r="DO229" s="3"/>
      <c r="DP229" s="3"/>
      <c r="DQ229" s="3"/>
      <c r="DR229" s="3"/>
      <c r="DS229" s="3"/>
      <c r="DT229" s="3"/>
      <c r="DU229" s="3"/>
      <c r="DV229" s="3"/>
      <c r="DW229" s="3"/>
      <c r="DX229" s="3"/>
      <c r="DY229" s="3"/>
      <c r="DZ229" s="3"/>
      <c r="EA229" s="3"/>
      <c r="EB229" s="3"/>
      <c r="EC229" s="3"/>
      <c r="ED229" s="3"/>
      <c r="EE229" s="3"/>
      <c r="EF229" s="3"/>
      <c r="EG229" s="3"/>
      <c r="EH229" s="3"/>
      <c r="EI229" s="3"/>
      <c r="EJ229" s="3"/>
      <c r="EK229" s="3"/>
      <c r="EL229" s="3"/>
      <c r="EM229" s="3"/>
      <c r="EN229" s="3"/>
      <c r="EO229" s="3"/>
      <c r="EP229" s="3"/>
      <c r="EQ229" s="3"/>
      <c r="ER229" s="3"/>
      <c r="ES229" s="3"/>
      <c r="ET229" s="3"/>
      <c r="EU229" s="3"/>
      <c r="EV229" s="3"/>
      <c r="EW229" s="3"/>
      <c r="EX229" s="3"/>
      <c r="EY229" s="3"/>
      <c r="EZ229" s="3"/>
      <c r="FA229" s="3"/>
      <c r="FB229" s="3"/>
      <c r="FC229" s="3"/>
      <c r="FD229" s="3"/>
      <c r="FE229" s="3"/>
      <c r="FF229" s="3"/>
      <c r="FG229" s="3"/>
      <c r="FH229" s="3"/>
      <c r="FI229" s="3"/>
      <c r="FJ229" s="3"/>
      <c r="FK229" s="3"/>
      <c r="FL229" s="3"/>
      <c r="FM229" s="3"/>
      <c r="FN229" s="3"/>
      <c r="FO229" s="3"/>
      <c r="FP229" s="3"/>
      <c r="FQ229" s="3"/>
      <c r="FR229" s="3"/>
      <c r="FS229" s="3"/>
      <c r="FT229" s="3"/>
      <c r="FU229" s="3"/>
      <c r="FV229" s="3"/>
      <c r="FW229" s="3"/>
      <c r="FX229" s="3"/>
      <c r="FY229" s="3"/>
      <c r="FZ229" s="3"/>
      <c r="GA229" s="3"/>
      <c r="GB229" s="3"/>
      <c r="GC229" s="3"/>
      <c r="GD229" s="3"/>
      <c r="GE229" s="3"/>
      <c r="GF229" s="3"/>
      <c r="GG229" s="3"/>
      <c r="GH229" s="3"/>
      <c r="GI229" s="3"/>
      <c r="GJ229" s="3"/>
      <c r="GK229" s="3"/>
      <c r="GL229" s="3"/>
      <c r="GM229" s="3"/>
      <c r="GN229" s="3"/>
      <c r="GO229" s="3"/>
      <c r="GP229" s="3"/>
      <c r="GQ229" s="3"/>
      <c r="GR229" s="3"/>
      <c r="GS229" s="3"/>
      <c r="GT229" s="3"/>
      <c r="GU229" s="3"/>
      <c r="GV229" s="3"/>
      <c r="GW229" s="3"/>
      <c r="GX229" s="3">
        <v>0</v>
      </c>
    </row>
    <row r="231" spans="1:245" x14ac:dyDescent="0.2">
      <c r="A231" s="4">
        <v>50</v>
      </c>
      <c r="B231" s="4">
        <v>0</v>
      </c>
      <c r="C231" s="4">
        <v>0</v>
      </c>
      <c r="D231" s="4">
        <v>1</v>
      </c>
      <c r="E231" s="4">
        <v>201</v>
      </c>
      <c r="F231" s="4">
        <f>ROUND(Source!O229,O231)</f>
        <v>329277.17</v>
      </c>
      <c r="G231" s="4" t="s">
        <v>118</v>
      </c>
      <c r="H231" s="4" t="s">
        <v>119</v>
      </c>
      <c r="I231" s="4"/>
      <c r="J231" s="4"/>
      <c r="K231" s="4">
        <v>201</v>
      </c>
      <c r="L231" s="4">
        <v>1</v>
      </c>
      <c r="M231" s="4">
        <v>3</v>
      </c>
      <c r="N231" s="4" t="s">
        <v>3</v>
      </c>
      <c r="O231" s="4">
        <v>2</v>
      </c>
      <c r="P231" s="4"/>
      <c r="Q231" s="4"/>
      <c r="R231" s="4"/>
      <c r="S231" s="4"/>
      <c r="T231" s="4"/>
      <c r="U231" s="4"/>
      <c r="V231" s="4"/>
      <c r="W231" s="4"/>
    </row>
    <row r="232" spans="1:245" x14ac:dyDescent="0.2">
      <c r="A232" s="4">
        <v>50</v>
      </c>
      <c r="B232" s="4">
        <v>0</v>
      </c>
      <c r="C232" s="4">
        <v>0</v>
      </c>
      <c r="D232" s="4">
        <v>1</v>
      </c>
      <c r="E232" s="4">
        <v>202</v>
      </c>
      <c r="F232" s="4">
        <f>ROUND(Source!P229,O232)</f>
        <v>284645.81</v>
      </c>
      <c r="G232" s="4" t="s">
        <v>120</v>
      </c>
      <c r="H232" s="4" t="s">
        <v>121</v>
      </c>
      <c r="I232" s="4"/>
      <c r="J232" s="4"/>
      <c r="K232" s="4">
        <v>202</v>
      </c>
      <c r="L232" s="4">
        <v>2</v>
      </c>
      <c r="M232" s="4">
        <v>3</v>
      </c>
      <c r="N232" s="4" t="s">
        <v>3</v>
      </c>
      <c r="O232" s="4">
        <v>2</v>
      </c>
      <c r="P232" s="4"/>
      <c r="Q232" s="4"/>
      <c r="R232" s="4"/>
      <c r="S232" s="4"/>
      <c r="T232" s="4"/>
      <c r="U232" s="4"/>
      <c r="V232" s="4"/>
      <c r="W232" s="4"/>
    </row>
    <row r="233" spans="1:245" x14ac:dyDescent="0.2">
      <c r="A233" s="4">
        <v>50</v>
      </c>
      <c r="B233" s="4">
        <v>0</v>
      </c>
      <c r="C233" s="4">
        <v>0</v>
      </c>
      <c r="D233" s="4">
        <v>1</v>
      </c>
      <c r="E233" s="4">
        <v>222</v>
      </c>
      <c r="F233" s="4">
        <f>ROUND(Source!AO229,O233)</f>
        <v>0</v>
      </c>
      <c r="G233" s="4" t="s">
        <v>122</v>
      </c>
      <c r="H233" s="4" t="s">
        <v>123</v>
      </c>
      <c r="I233" s="4"/>
      <c r="J233" s="4"/>
      <c r="K233" s="4">
        <v>222</v>
      </c>
      <c r="L233" s="4">
        <v>3</v>
      </c>
      <c r="M233" s="4">
        <v>3</v>
      </c>
      <c r="N233" s="4" t="s">
        <v>3</v>
      </c>
      <c r="O233" s="4">
        <v>2</v>
      </c>
      <c r="P233" s="4"/>
      <c r="Q233" s="4"/>
      <c r="R233" s="4"/>
      <c r="S233" s="4"/>
      <c r="T233" s="4"/>
      <c r="U233" s="4"/>
      <c r="V233" s="4"/>
      <c r="W233" s="4"/>
    </row>
    <row r="234" spans="1:245" x14ac:dyDescent="0.2">
      <c r="A234" s="4">
        <v>50</v>
      </c>
      <c r="B234" s="4">
        <v>0</v>
      </c>
      <c r="C234" s="4">
        <v>0</v>
      </c>
      <c r="D234" s="4">
        <v>1</v>
      </c>
      <c r="E234" s="4">
        <v>225</v>
      </c>
      <c r="F234" s="4">
        <f>ROUND(Source!AV229,O234)</f>
        <v>284645.81</v>
      </c>
      <c r="G234" s="4" t="s">
        <v>124</v>
      </c>
      <c r="H234" s="4" t="s">
        <v>125</v>
      </c>
      <c r="I234" s="4"/>
      <c r="J234" s="4"/>
      <c r="K234" s="4">
        <v>225</v>
      </c>
      <c r="L234" s="4">
        <v>4</v>
      </c>
      <c r="M234" s="4">
        <v>3</v>
      </c>
      <c r="N234" s="4" t="s">
        <v>3</v>
      </c>
      <c r="O234" s="4">
        <v>2</v>
      </c>
      <c r="P234" s="4"/>
      <c r="Q234" s="4"/>
      <c r="R234" s="4"/>
      <c r="S234" s="4"/>
      <c r="T234" s="4"/>
      <c r="U234" s="4"/>
      <c r="V234" s="4"/>
      <c r="W234" s="4"/>
    </row>
    <row r="235" spans="1:245" x14ac:dyDescent="0.2">
      <c r="A235" s="4">
        <v>50</v>
      </c>
      <c r="B235" s="4">
        <v>0</v>
      </c>
      <c r="C235" s="4">
        <v>0</v>
      </c>
      <c r="D235" s="4">
        <v>1</v>
      </c>
      <c r="E235" s="4">
        <v>226</v>
      </c>
      <c r="F235" s="4">
        <f>ROUND(Source!AW229,O235)</f>
        <v>284645.81</v>
      </c>
      <c r="G235" s="4" t="s">
        <v>126</v>
      </c>
      <c r="H235" s="4" t="s">
        <v>127</v>
      </c>
      <c r="I235" s="4"/>
      <c r="J235" s="4"/>
      <c r="K235" s="4">
        <v>226</v>
      </c>
      <c r="L235" s="4">
        <v>5</v>
      </c>
      <c r="M235" s="4">
        <v>3</v>
      </c>
      <c r="N235" s="4" t="s">
        <v>3</v>
      </c>
      <c r="O235" s="4">
        <v>2</v>
      </c>
      <c r="P235" s="4"/>
      <c r="Q235" s="4"/>
      <c r="R235" s="4"/>
      <c r="S235" s="4"/>
      <c r="T235" s="4"/>
      <c r="U235" s="4"/>
      <c r="V235" s="4"/>
      <c r="W235" s="4"/>
    </row>
    <row r="236" spans="1:245" x14ac:dyDescent="0.2">
      <c r="A236" s="4">
        <v>50</v>
      </c>
      <c r="B236" s="4">
        <v>0</v>
      </c>
      <c r="C236" s="4">
        <v>0</v>
      </c>
      <c r="D236" s="4">
        <v>1</v>
      </c>
      <c r="E236" s="4">
        <v>227</v>
      </c>
      <c r="F236" s="4">
        <f>ROUND(Source!AX229,O236)</f>
        <v>0</v>
      </c>
      <c r="G236" s="4" t="s">
        <v>128</v>
      </c>
      <c r="H236" s="4" t="s">
        <v>129</v>
      </c>
      <c r="I236" s="4"/>
      <c r="J236" s="4"/>
      <c r="K236" s="4">
        <v>227</v>
      </c>
      <c r="L236" s="4">
        <v>6</v>
      </c>
      <c r="M236" s="4">
        <v>3</v>
      </c>
      <c r="N236" s="4" t="s">
        <v>3</v>
      </c>
      <c r="O236" s="4">
        <v>2</v>
      </c>
      <c r="P236" s="4"/>
      <c r="Q236" s="4"/>
      <c r="R236" s="4"/>
      <c r="S236" s="4"/>
      <c r="T236" s="4"/>
      <c r="U236" s="4"/>
      <c r="V236" s="4"/>
      <c r="W236" s="4"/>
    </row>
    <row r="237" spans="1:245" x14ac:dyDescent="0.2">
      <c r="A237" s="4">
        <v>50</v>
      </c>
      <c r="B237" s="4">
        <v>0</v>
      </c>
      <c r="C237" s="4">
        <v>0</v>
      </c>
      <c r="D237" s="4">
        <v>1</v>
      </c>
      <c r="E237" s="4">
        <v>228</v>
      </c>
      <c r="F237" s="4">
        <f>ROUND(Source!AY229,O237)</f>
        <v>284645.81</v>
      </c>
      <c r="G237" s="4" t="s">
        <v>130</v>
      </c>
      <c r="H237" s="4" t="s">
        <v>131</v>
      </c>
      <c r="I237" s="4"/>
      <c r="J237" s="4"/>
      <c r="K237" s="4">
        <v>228</v>
      </c>
      <c r="L237" s="4">
        <v>7</v>
      </c>
      <c r="M237" s="4">
        <v>3</v>
      </c>
      <c r="N237" s="4" t="s">
        <v>3</v>
      </c>
      <c r="O237" s="4">
        <v>2</v>
      </c>
      <c r="P237" s="4"/>
      <c r="Q237" s="4"/>
      <c r="R237" s="4"/>
      <c r="S237" s="4"/>
      <c r="T237" s="4"/>
      <c r="U237" s="4"/>
      <c r="V237" s="4"/>
      <c r="W237" s="4"/>
    </row>
    <row r="238" spans="1:245" x14ac:dyDescent="0.2">
      <c r="A238" s="4">
        <v>50</v>
      </c>
      <c r="B238" s="4">
        <v>0</v>
      </c>
      <c r="C238" s="4">
        <v>0</v>
      </c>
      <c r="D238" s="4">
        <v>1</v>
      </c>
      <c r="E238" s="4">
        <v>216</v>
      </c>
      <c r="F238" s="4">
        <f>ROUND(Source!AP229,O238)</f>
        <v>0</v>
      </c>
      <c r="G238" s="4" t="s">
        <v>132</v>
      </c>
      <c r="H238" s="4" t="s">
        <v>133</v>
      </c>
      <c r="I238" s="4"/>
      <c r="J238" s="4"/>
      <c r="K238" s="4">
        <v>216</v>
      </c>
      <c r="L238" s="4">
        <v>8</v>
      </c>
      <c r="M238" s="4">
        <v>3</v>
      </c>
      <c r="N238" s="4" t="s">
        <v>3</v>
      </c>
      <c r="O238" s="4">
        <v>2</v>
      </c>
      <c r="P238" s="4"/>
      <c r="Q238" s="4"/>
      <c r="R238" s="4"/>
      <c r="S238" s="4"/>
      <c r="T238" s="4"/>
      <c r="U238" s="4"/>
      <c r="V238" s="4"/>
      <c r="W238" s="4"/>
    </row>
    <row r="239" spans="1:245" x14ac:dyDescent="0.2">
      <c r="A239" s="4">
        <v>50</v>
      </c>
      <c r="B239" s="4">
        <v>0</v>
      </c>
      <c r="C239" s="4">
        <v>0</v>
      </c>
      <c r="D239" s="4">
        <v>1</v>
      </c>
      <c r="E239" s="4">
        <v>223</v>
      </c>
      <c r="F239" s="4">
        <f>ROUND(Source!AQ229,O239)</f>
        <v>0</v>
      </c>
      <c r="G239" s="4" t="s">
        <v>134</v>
      </c>
      <c r="H239" s="4" t="s">
        <v>135</v>
      </c>
      <c r="I239" s="4"/>
      <c r="J239" s="4"/>
      <c r="K239" s="4">
        <v>223</v>
      </c>
      <c r="L239" s="4">
        <v>9</v>
      </c>
      <c r="M239" s="4">
        <v>3</v>
      </c>
      <c r="N239" s="4" t="s">
        <v>3</v>
      </c>
      <c r="O239" s="4">
        <v>2</v>
      </c>
      <c r="P239" s="4"/>
      <c r="Q239" s="4"/>
      <c r="R239" s="4"/>
      <c r="S239" s="4"/>
      <c r="T239" s="4"/>
      <c r="U239" s="4"/>
      <c r="V239" s="4"/>
      <c r="W239" s="4"/>
    </row>
    <row r="240" spans="1:245" x14ac:dyDescent="0.2">
      <c r="A240" s="4">
        <v>50</v>
      </c>
      <c r="B240" s="4">
        <v>0</v>
      </c>
      <c r="C240" s="4">
        <v>0</v>
      </c>
      <c r="D240" s="4">
        <v>1</v>
      </c>
      <c r="E240" s="4">
        <v>229</v>
      </c>
      <c r="F240" s="4">
        <f>ROUND(Source!AZ229,O240)</f>
        <v>0</v>
      </c>
      <c r="G240" s="4" t="s">
        <v>136</v>
      </c>
      <c r="H240" s="4" t="s">
        <v>137</v>
      </c>
      <c r="I240" s="4"/>
      <c r="J240" s="4"/>
      <c r="K240" s="4">
        <v>229</v>
      </c>
      <c r="L240" s="4">
        <v>10</v>
      </c>
      <c r="M240" s="4">
        <v>3</v>
      </c>
      <c r="N240" s="4" t="s">
        <v>3</v>
      </c>
      <c r="O240" s="4">
        <v>2</v>
      </c>
      <c r="P240" s="4"/>
      <c r="Q240" s="4"/>
      <c r="R240" s="4"/>
      <c r="S240" s="4"/>
      <c r="T240" s="4"/>
      <c r="U240" s="4"/>
      <c r="V240" s="4"/>
      <c r="W240" s="4"/>
    </row>
    <row r="241" spans="1:23" x14ac:dyDescent="0.2">
      <c r="A241" s="4">
        <v>50</v>
      </c>
      <c r="B241" s="4">
        <v>0</v>
      </c>
      <c r="C241" s="4">
        <v>0</v>
      </c>
      <c r="D241" s="4">
        <v>1</v>
      </c>
      <c r="E241" s="4">
        <v>203</v>
      </c>
      <c r="F241" s="4">
        <f>ROUND(Source!Q229,O241)</f>
        <v>7474.35</v>
      </c>
      <c r="G241" s="4" t="s">
        <v>138</v>
      </c>
      <c r="H241" s="4" t="s">
        <v>139</v>
      </c>
      <c r="I241" s="4"/>
      <c r="J241" s="4"/>
      <c r="K241" s="4">
        <v>203</v>
      </c>
      <c r="L241" s="4">
        <v>11</v>
      </c>
      <c r="M241" s="4">
        <v>3</v>
      </c>
      <c r="N241" s="4" t="s">
        <v>3</v>
      </c>
      <c r="O241" s="4">
        <v>2</v>
      </c>
      <c r="P241" s="4"/>
      <c r="Q241" s="4"/>
      <c r="R241" s="4"/>
      <c r="S241" s="4"/>
      <c r="T241" s="4"/>
      <c r="U241" s="4"/>
      <c r="V241" s="4"/>
      <c r="W241" s="4"/>
    </row>
    <row r="242" spans="1:23" x14ac:dyDescent="0.2">
      <c r="A242" s="4">
        <v>50</v>
      </c>
      <c r="B242" s="4">
        <v>0</v>
      </c>
      <c r="C242" s="4">
        <v>0</v>
      </c>
      <c r="D242" s="4">
        <v>1</v>
      </c>
      <c r="E242" s="4">
        <v>231</v>
      </c>
      <c r="F242" s="4">
        <f>ROUND(Source!BB229,O242)</f>
        <v>0</v>
      </c>
      <c r="G242" s="4" t="s">
        <v>140</v>
      </c>
      <c r="H242" s="4" t="s">
        <v>141</v>
      </c>
      <c r="I242" s="4"/>
      <c r="J242" s="4"/>
      <c r="K242" s="4">
        <v>231</v>
      </c>
      <c r="L242" s="4">
        <v>12</v>
      </c>
      <c r="M242" s="4">
        <v>3</v>
      </c>
      <c r="N242" s="4" t="s">
        <v>3</v>
      </c>
      <c r="O242" s="4">
        <v>2</v>
      </c>
      <c r="P242" s="4"/>
      <c r="Q242" s="4"/>
      <c r="R242" s="4"/>
      <c r="S242" s="4"/>
      <c r="T242" s="4"/>
      <c r="U242" s="4"/>
      <c r="V242" s="4"/>
      <c r="W242" s="4"/>
    </row>
    <row r="243" spans="1:23" x14ac:dyDescent="0.2">
      <c r="A243" s="4">
        <v>50</v>
      </c>
      <c r="B243" s="4">
        <v>0</v>
      </c>
      <c r="C243" s="4">
        <v>0</v>
      </c>
      <c r="D243" s="4">
        <v>1</v>
      </c>
      <c r="E243" s="4">
        <v>204</v>
      </c>
      <c r="F243" s="4">
        <f>ROUND(Source!R229,O243)</f>
        <v>3975.33</v>
      </c>
      <c r="G243" s="4" t="s">
        <v>142</v>
      </c>
      <c r="H243" s="4" t="s">
        <v>143</v>
      </c>
      <c r="I243" s="4"/>
      <c r="J243" s="4"/>
      <c r="K243" s="4">
        <v>204</v>
      </c>
      <c r="L243" s="4">
        <v>13</v>
      </c>
      <c r="M243" s="4">
        <v>3</v>
      </c>
      <c r="N243" s="4" t="s">
        <v>3</v>
      </c>
      <c r="O243" s="4">
        <v>2</v>
      </c>
      <c r="P243" s="4"/>
      <c r="Q243" s="4"/>
      <c r="R243" s="4"/>
      <c r="S243" s="4"/>
      <c r="T243" s="4"/>
      <c r="U243" s="4"/>
      <c r="V243" s="4"/>
      <c r="W243" s="4"/>
    </row>
    <row r="244" spans="1:23" x14ac:dyDescent="0.2">
      <c r="A244" s="4">
        <v>50</v>
      </c>
      <c r="B244" s="4">
        <v>0</v>
      </c>
      <c r="C244" s="4">
        <v>0</v>
      </c>
      <c r="D244" s="4">
        <v>1</v>
      </c>
      <c r="E244" s="4">
        <v>205</v>
      </c>
      <c r="F244" s="4">
        <f>ROUND(Source!S229,O244)</f>
        <v>37157.01</v>
      </c>
      <c r="G244" s="4" t="s">
        <v>144</v>
      </c>
      <c r="H244" s="4" t="s">
        <v>145</v>
      </c>
      <c r="I244" s="4"/>
      <c r="J244" s="4"/>
      <c r="K244" s="4">
        <v>205</v>
      </c>
      <c r="L244" s="4">
        <v>14</v>
      </c>
      <c r="M244" s="4">
        <v>3</v>
      </c>
      <c r="N244" s="4" t="s">
        <v>3</v>
      </c>
      <c r="O244" s="4">
        <v>2</v>
      </c>
      <c r="P244" s="4"/>
      <c r="Q244" s="4"/>
      <c r="R244" s="4"/>
      <c r="S244" s="4"/>
      <c r="T244" s="4"/>
      <c r="U244" s="4"/>
      <c r="V244" s="4"/>
      <c r="W244" s="4"/>
    </row>
    <row r="245" spans="1:23" x14ac:dyDescent="0.2">
      <c r="A245" s="4">
        <v>50</v>
      </c>
      <c r="B245" s="4">
        <v>0</v>
      </c>
      <c r="C245" s="4">
        <v>0</v>
      </c>
      <c r="D245" s="4">
        <v>1</v>
      </c>
      <c r="E245" s="4">
        <v>232</v>
      </c>
      <c r="F245" s="4">
        <f>ROUND(Source!BC229,O245)</f>
        <v>0</v>
      </c>
      <c r="G245" s="4" t="s">
        <v>146</v>
      </c>
      <c r="H245" s="4" t="s">
        <v>147</v>
      </c>
      <c r="I245" s="4"/>
      <c r="J245" s="4"/>
      <c r="K245" s="4">
        <v>232</v>
      </c>
      <c r="L245" s="4">
        <v>15</v>
      </c>
      <c r="M245" s="4">
        <v>3</v>
      </c>
      <c r="N245" s="4" t="s">
        <v>3</v>
      </c>
      <c r="O245" s="4">
        <v>2</v>
      </c>
      <c r="P245" s="4"/>
      <c r="Q245" s="4"/>
      <c r="R245" s="4"/>
      <c r="S245" s="4"/>
      <c r="T245" s="4"/>
      <c r="U245" s="4"/>
      <c r="V245" s="4"/>
      <c r="W245" s="4"/>
    </row>
    <row r="246" spans="1:23" x14ac:dyDescent="0.2">
      <c r="A246" s="4">
        <v>50</v>
      </c>
      <c r="B246" s="4">
        <v>0</v>
      </c>
      <c r="C246" s="4">
        <v>0</v>
      </c>
      <c r="D246" s="4">
        <v>1</v>
      </c>
      <c r="E246" s="4">
        <v>214</v>
      </c>
      <c r="F246" s="4">
        <f>ROUND(Source!AS229,O246)</f>
        <v>0</v>
      </c>
      <c r="G246" s="4" t="s">
        <v>148</v>
      </c>
      <c r="H246" s="4" t="s">
        <v>149</v>
      </c>
      <c r="I246" s="4"/>
      <c r="J246" s="4"/>
      <c r="K246" s="4">
        <v>214</v>
      </c>
      <c r="L246" s="4">
        <v>16</v>
      </c>
      <c r="M246" s="4">
        <v>3</v>
      </c>
      <c r="N246" s="4" t="s">
        <v>3</v>
      </c>
      <c r="O246" s="4">
        <v>2</v>
      </c>
      <c r="P246" s="4"/>
      <c r="Q246" s="4"/>
      <c r="R246" s="4"/>
      <c r="S246" s="4"/>
      <c r="T246" s="4"/>
      <c r="U246" s="4"/>
      <c r="V246" s="4"/>
      <c r="W246" s="4"/>
    </row>
    <row r="247" spans="1:23" x14ac:dyDescent="0.2">
      <c r="A247" s="4">
        <v>50</v>
      </c>
      <c r="B247" s="4">
        <v>0</v>
      </c>
      <c r="C247" s="4">
        <v>0</v>
      </c>
      <c r="D247" s="4">
        <v>1</v>
      </c>
      <c r="E247" s="4">
        <v>215</v>
      </c>
      <c r="F247" s="4">
        <f>ROUND(Source!AT229,O247)</f>
        <v>0</v>
      </c>
      <c r="G247" s="4" t="s">
        <v>150</v>
      </c>
      <c r="H247" s="4" t="s">
        <v>151</v>
      </c>
      <c r="I247" s="4"/>
      <c r="J247" s="4"/>
      <c r="K247" s="4">
        <v>215</v>
      </c>
      <c r="L247" s="4">
        <v>17</v>
      </c>
      <c r="M247" s="4">
        <v>3</v>
      </c>
      <c r="N247" s="4" t="s">
        <v>3</v>
      </c>
      <c r="O247" s="4">
        <v>2</v>
      </c>
      <c r="P247" s="4"/>
      <c r="Q247" s="4"/>
      <c r="R247" s="4"/>
      <c r="S247" s="4"/>
      <c r="T247" s="4"/>
      <c r="U247" s="4"/>
      <c r="V247" s="4"/>
      <c r="W247" s="4"/>
    </row>
    <row r="248" spans="1:23" x14ac:dyDescent="0.2">
      <c r="A248" s="4">
        <v>50</v>
      </c>
      <c r="B248" s="4">
        <v>0</v>
      </c>
      <c r="C248" s="4">
        <v>0</v>
      </c>
      <c r="D248" s="4">
        <v>1</v>
      </c>
      <c r="E248" s="4">
        <v>217</v>
      </c>
      <c r="F248" s="4">
        <f>ROUND(Source!AU229,O248)</f>
        <v>363296.14</v>
      </c>
      <c r="G248" s="4" t="s">
        <v>152</v>
      </c>
      <c r="H248" s="4" t="s">
        <v>153</v>
      </c>
      <c r="I248" s="4"/>
      <c r="J248" s="4"/>
      <c r="K248" s="4">
        <v>217</v>
      </c>
      <c r="L248" s="4">
        <v>18</v>
      </c>
      <c r="M248" s="4">
        <v>3</v>
      </c>
      <c r="N248" s="4" t="s">
        <v>3</v>
      </c>
      <c r="O248" s="4">
        <v>2</v>
      </c>
      <c r="P248" s="4"/>
      <c r="Q248" s="4"/>
      <c r="R248" s="4"/>
      <c r="S248" s="4"/>
      <c r="T248" s="4"/>
      <c r="U248" s="4"/>
      <c r="V248" s="4"/>
      <c r="W248" s="4"/>
    </row>
    <row r="249" spans="1:23" x14ac:dyDescent="0.2">
      <c r="A249" s="4">
        <v>50</v>
      </c>
      <c r="B249" s="4">
        <v>0</v>
      </c>
      <c r="C249" s="4">
        <v>0</v>
      </c>
      <c r="D249" s="4">
        <v>1</v>
      </c>
      <c r="E249" s="4">
        <v>230</v>
      </c>
      <c r="F249" s="4">
        <f>ROUND(Source!BA229,O249)</f>
        <v>0</v>
      </c>
      <c r="G249" s="4" t="s">
        <v>154</v>
      </c>
      <c r="H249" s="4" t="s">
        <v>155</v>
      </c>
      <c r="I249" s="4"/>
      <c r="J249" s="4"/>
      <c r="K249" s="4">
        <v>230</v>
      </c>
      <c r="L249" s="4">
        <v>19</v>
      </c>
      <c r="M249" s="4">
        <v>3</v>
      </c>
      <c r="N249" s="4" t="s">
        <v>3</v>
      </c>
      <c r="O249" s="4">
        <v>2</v>
      </c>
      <c r="P249" s="4"/>
      <c r="Q249" s="4"/>
      <c r="R249" s="4"/>
      <c r="S249" s="4"/>
      <c r="T249" s="4"/>
      <c r="U249" s="4"/>
      <c r="V249" s="4"/>
      <c r="W249" s="4"/>
    </row>
    <row r="250" spans="1:23" x14ac:dyDescent="0.2">
      <c r="A250" s="4">
        <v>50</v>
      </c>
      <c r="B250" s="4">
        <v>0</v>
      </c>
      <c r="C250" s="4">
        <v>0</v>
      </c>
      <c r="D250" s="4">
        <v>1</v>
      </c>
      <c r="E250" s="4">
        <v>206</v>
      </c>
      <c r="F250" s="4">
        <f>ROUND(Source!T229,O250)</f>
        <v>0</v>
      </c>
      <c r="G250" s="4" t="s">
        <v>156</v>
      </c>
      <c r="H250" s="4" t="s">
        <v>157</v>
      </c>
      <c r="I250" s="4"/>
      <c r="J250" s="4"/>
      <c r="K250" s="4">
        <v>206</v>
      </c>
      <c r="L250" s="4">
        <v>20</v>
      </c>
      <c r="M250" s="4">
        <v>3</v>
      </c>
      <c r="N250" s="4" t="s">
        <v>3</v>
      </c>
      <c r="O250" s="4">
        <v>2</v>
      </c>
      <c r="P250" s="4"/>
      <c r="Q250" s="4"/>
      <c r="R250" s="4"/>
      <c r="S250" s="4"/>
      <c r="T250" s="4"/>
      <c r="U250" s="4"/>
      <c r="V250" s="4"/>
      <c r="W250" s="4"/>
    </row>
    <row r="251" spans="1:23" x14ac:dyDescent="0.2">
      <c r="A251" s="4">
        <v>50</v>
      </c>
      <c r="B251" s="4">
        <v>0</v>
      </c>
      <c r="C251" s="4">
        <v>0</v>
      </c>
      <c r="D251" s="4">
        <v>1</v>
      </c>
      <c r="E251" s="4">
        <v>207</v>
      </c>
      <c r="F251" s="4">
        <f>Source!U229</f>
        <v>176.72290000000001</v>
      </c>
      <c r="G251" s="4" t="s">
        <v>158</v>
      </c>
      <c r="H251" s="4" t="s">
        <v>159</v>
      </c>
      <c r="I251" s="4"/>
      <c r="J251" s="4"/>
      <c r="K251" s="4">
        <v>207</v>
      </c>
      <c r="L251" s="4">
        <v>21</v>
      </c>
      <c r="M251" s="4">
        <v>3</v>
      </c>
      <c r="N251" s="4" t="s">
        <v>3</v>
      </c>
      <c r="O251" s="4">
        <v>-1</v>
      </c>
      <c r="P251" s="4"/>
      <c r="Q251" s="4"/>
      <c r="R251" s="4"/>
      <c r="S251" s="4"/>
      <c r="T251" s="4"/>
      <c r="U251" s="4"/>
      <c r="V251" s="4"/>
      <c r="W251" s="4"/>
    </row>
    <row r="252" spans="1:23" x14ac:dyDescent="0.2">
      <c r="A252" s="4">
        <v>50</v>
      </c>
      <c r="B252" s="4">
        <v>0</v>
      </c>
      <c r="C252" s="4">
        <v>0</v>
      </c>
      <c r="D252" s="4">
        <v>1</v>
      </c>
      <c r="E252" s="4">
        <v>208</v>
      </c>
      <c r="F252" s="4">
        <f>Source!V229</f>
        <v>0</v>
      </c>
      <c r="G252" s="4" t="s">
        <v>160</v>
      </c>
      <c r="H252" s="4" t="s">
        <v>161</v>
      </c>
      <c r="I252" s="4"/>
      <c r="J252" s="4"/>
      <c r="K252" s="4">
        <v>208</v>
      </c>
      <c r="L252" s="4">
        <v>22</v>
      </c>
      <c r="M252" s="4">
        <v>3</v>
      </c>
      <c r="N252" s="4" t="s">
        <v>3</v>
      </c>
      <c r="O252" s="4">
        <v>-1</v>
      </c>
      <c r="P252" s="4"/>
      <c r="Q252" s="4"/>
      <c r="R252" s="4"/>
      <c r="S252" s="4"/>
      <c r="T252" s="4"/>
      <c r="U252" s="4"/>
      <c r="V252" s="4"/>
      <c r="W252" s="4"/>
    </row>
    <row r="253" spans="1:23" x14ac:dyDescent="0.2">
      <c r="A253" s="4">
        <v>50</v>
      </c>
      <c r="B253" s="4">
        <v>0</v>
      </c>
      <c r="C253" s="4">
        <v>0</v>
      </c>
      <c r="D253" s="4">
        <v>1</v>
      </c>
      <c r="E253" s="4">
        <v>209</v>
      </c>
      <c r="F253" s="4">
        <f>ROUND(Source!W229,O253)</f>
        <v>0</v>
      </c>
      <c r="G253" s="4" t="s">
        <v>162</v>
      </c>
      <c r="H253" s="4" t="s">
        <v>163</v>
      </c>
      <c r="I253" s="4"/>
      <c r="J253" s="4"/>
      <c r="K253" s="4">
        <v>209</v>
      </c>
      <c r="L253" s="4">
        <v>23</v>
      </c>
      <c r="M253" s="4">
        <v>3</v>
      </c>
      <c r="N253" s="4" t="s">
        <v>3</v>
      </c>
      <c r="O253" s="4">
        <v>2</v>
      </c>
      <c r="P253" s="4"/>
      <c r="Q253" s="4"/>
      <c r="R253" s="4"/>
      <c r="S253" s="4"/>
      <c r="T253" s="4"/>
      <c r="U253" s="4"/>
      <c r="V253" s="4"/>
      <c r="W253" s="4"/>
    </row>
    <row r="254" spans="1:23" x14ac:dyDescent="0.2">
      <c r="A254" s="4">
        <v>50</v>
      </c>
      <c r="B254" s="4">
        <v>0</v>
      </c>
      <c r="C254" s="4">
        <v>0</v>
      </c>
      <c r="D254" s="4">
        <v>1</v>
      </c>
      <c r="E254" s="4">
        <v>233</v>
      </c>
      <c r="F254" s="4">
        <f>ROUND(Source!BD229,O254)</f>
        <v>0</v>
      </c>
      <c r="G254" s="4" t="s">
        <v>164</v>
      </c>
      <c r="H254" s="4" t="s">
        <v>165</v>
      </c>
      <c r="I254" s="4"/>
      <c r="J254" s="4"/>
      <c r="K254" s="4">
        <v>233</v>
      </c>
      <c r="L254" s="4">
        <v>24</v>
      </c>
      <c r="M254" s="4">
        <v>3</v>
      </c>
      <c r="N254" s="4" t="s">
        <v>3</v>
      </c>
      <c r="O254" s="4">
        <v>2</v>
      </c>
      <c r="P254" s="4"/>
      <c r="Q254" s="4"/>
      <c r="R254" s="4"/>
      <c r="S254" s="4"/>
      <c r="T254" s="4"/>
      <c r="U254" s="4"/>
      <c r="V254" s="4"/>
      <c r="W254" s="4"/>
    </row>
    <row r="255" spans="1:23" x14ac:dyDescent="0.2">
      <c r="A255" s="4">
        <v>50</v>
      </c>
      <c r="B255" s="4">
        <v>0</v>
      </c>
      <c r="C255" s="4">
        <v>0</v>
      </c>
      <c r="D255" s="4">
        <v>1</v>
      </c>
      <c r="E255" s="4">
        <v>210</v>
      </c>
      <c r="F255" s="4">
        <f>ROUND(Source!X229,O255)</f>
        <v>26009.91</v>
      </c>
      <c r="G255" s="4" t="s">
        <v>166</v>
      </c>
      <c r="H255" s="4" t="s">
        <v>167</v>
      </c>
      <c r="I255" s="4"/>
      <c r="J255" s="4"/>
      <c r="K255" s="4">
        <v>210</v>
      </c>
      <c r="L255" s="4">
        <v>25</v>
      </c>
      <c r="M255" s="4">
        <v>3</v>
      </c>
      <c r="N255" s="4" t="s">
        <v>3</v>
      </c>
      <c r="O255" s="4">
        <v>2</v>
      </c>
      <c r="P255" s="4"/>
      <c r="Q255" s="4"/>
      <c r="R255" s="4"/>
      <c r="S255" s="4"/>
      <c r="T255" s="4"/>
      <c r="U255" s="4"/>
      <c r="V255" s="4"/>
      <c r="W255" s="4"/>
    </row>
    <row r="256" spans="1:23" x14ac:dyDescent="0.2">
      <c r="A256" s="4">
        <v>50</v>
      </c>
      <c r="B256" s="4">
        <v>0</v>
      </c>
      <c r="C256" s="4">
        <v>0</v>
      </c>
      <c r="D256" s="4">
        <v>1</v>
      </c>
      <c r="E256" s="4">
        <v>211</v>
      </c>
      <c r="F256" s="4">
        <f>ROUND(Source!Y229,O256)</f>
        <v>3715.71</v>
      </c>
      <c r="G256" s="4" t="s">
        <v>168</v>
      </c>
      <c r="H256" s="4" t="s">
        <v>169</v>
      </c>
      <c r="I256" s="4"/>
      <c r="J256" s="4"/>
      <c r="K256" s="4">
        <v>211</v>
      </c>
      <c r="L256" s="4">
        <v>26</v>
      </c>
      <c r="M256" s="4">
        <v>3</v>
      </c>
      <c r="N256" s="4" t="s">
        <v>3</v>
      </c>
      <c r="O256" s="4">
        <v>2</v>
      </c>
      <c r="P256" s="4"/>
      <c r="Q256" s="4"/>
      <c r="R256" s="4"/>
      <c r="S256" s="4"/>
      <c r="T256" s="4"/>
      <c r="U256" s="4"/>
      <c r="V256" s="4"/>
      <c r="W256" s="4"/>
    </row>
    <row r="257" spans="1:245" x14ac:dyDescent="0.2">
      <c r="A257" s="4">
        <v>50</v>
      </c>
      <c r="B257" s="4">
        <v>0</v>
      </c>
      <c r="C257" s="4">
        <v>0</v>
      </c>
      <c r="D257" s="4">
        <v>1</v>
      </c>
      <c r="E257" s="4">
        <v>224</v>
      </c>
      <c r="F257" s="4">
        <f>ROUND(Source!AR229,O257)</f>
        <v>363296.14</v>
      </c>
      <c r="G257" s="4" t="s">
        <v>170</v>
      </c>
      <c r="H257" s="4" t="s">
        <v>171</v>
      </c>
      <c r="I257" s="4"/>
      <c r="J257" s="4"/>
      <c r="K257" s="4">
        <v>224</v>
      </c>
      <c r="L257" s="4">
        <v>27</v>
      </c>
      <c r="M257" s="4">
        <v>3</v>
      </c>
      <c r="N257" s="4" t="s">
        <v>3</v>
      </c>
      <c r="O257" s="4">
        <v>2</v>
      </c>
      <c r="P257" s="4"/>
      <c r="Q257" s="4"/>
      <c r="R257" s="4"/>
      <c r="S257" s="4"/>
      <c r="T257" s="4"/>
      <c r="U257" s="4"/>
      <c r="V257" s="4"/>
      <c r="W257" s="4"/>
    </row>
    <row r="259" spans="1:245" x14ac:dyDescent="0.2">
      <c r="A259" s="1">
        <v>5</v>
      </c>
      <c r="B259" s="1">
        <v>1</v>
      </c>
      <c r="C259" s="1"/>
      <c r="D259" s="1">
        <f>ROW(A289)</f>
        <v>289</v>
      </c>
      <c r="E259" s="1"/>
      <c r="F259" s="1" t="s">
        <v>15</v>
      </c>
      <c r="G259" s="1" t="s">
        <v>256</v>
      </c>
      <c r="H259" s="1" t="s">
        <v>3</v>
      </c>
      <c r="I259" s="1">
        <v>0</v>
      </c>
      <c r="J259" s="1"/>
      <c r="K259" s="1">
        <v>0</v>
      </c>
      <c r="L259" s="1"/>
      <c r="M259" s="1"/>
      <c r="N259" s="1"/>
      <c r="O259" s="1"/>
      <c r="P259" s="1"/>
      <c r="Q259" s="1"/>
      <c r="R259" s="1"/>
      <c r="S259" s="1"/>
      <c r="T259" s="1"/>
      <c r="U259" s="1" t="s">
        <v>3</v>
      </c>
      <c r="V259" s="1">
        <v>0</v>
      </c>
      <c r="W259" s="1"/>
      <c r="X259" s="1"/>
      <c r="Y259" s="1"/>
      <c r="Z259" s="1"/>
      <c r="AA259" s="1"/>
      <c r="AB259" s="1" t="s">
        <v>3</v>
      </c>
      <c r="AC259" s="1" t="s">
        <v>3</v>
      </c>
      <c r="AD259" s="1" t="s">
        <v>3</v>
      </c>
      <c r="AE259" s="1" t="s">
        <v>3</v>
      </c>
      <c r="AF259" s="1" t="s">
        <v>3</v>
      </c>
      <c r="AG259" s="1" t="s">
        <v>3</v>
      </c>
      <c r="AH259" s="1"/>
      <c r="AI259" s="1"/>
      <c r="AJ259" s="1"/>
      <c r="AK259" s="1"/>
      <c r="AL259" s="1"/>
      <c r="AM259" s="1"/>
      <c r="AN259" s="1"/>
      <c r="AO259" s="1"/>
      <c r="AP259" s="1" t="s">
        <v>3</v>
      </c>
      <c r="AQ259" s="1" t="s">
        <v>3</v>
      </c>
      <c r="AR259" s="1" t="s">
        <v>3</v>
      </c>
      <c r="AS259" s="1"/>
      <c r="AT259" s="1"/>
      <c r="AU259" s="1"/>
      <c r="AV259" s="1"/>
      <c r="AW259" s="1"/>
      <c r="AX259" s="1"/>
      <c r="AY259" s="1"/>
      <c r="AZ259" s="1" t="s">
        <v>3</v>
      </c>
      <c r="BA259" s="1"/>
      <c r="BB259" s="1" t="s">
        <v>3</v>
      </c>
      <c r="BC259" s="1" t="s">
        <v>3</v>
      </c>
      <c r="BD259" s="1" t="s">
        <v>3</v>
      </c>
      <c r="BE259" s="1" t="s">
        <v>3</v>
      </c>
      <c r="BF259" s="1" t="s">
        <v>3</v>
      </c>
      <c r="BG259" s="1" t="s">
        <v>3</v>
      </c>
      <c r="BH259" s="1" t="s">
        <v>3</v>
      </c>
      <c r="BI259" s="1" t="s">
        <v>3</v>
      </c>
      <c r="BJ259" s="1" t="s">
        <v>3</v>
      </c>
      <c r="BK259" s="1" t="s">
        <v>3</v>
      </c>
      <c r="BL259" s="1" t="s">
        <v>3</v>
      </c>
      <c r="BM259" s="1" t="s">
        <v>3</v>
      </c>
      <c r="BN259" s="1" t="s">
        <v>3</v>
      </c>
      <c r="BO259" s="1" t="s">
        <v>3</v>
      </c>
      <c r="BP259" s="1" t="s">
        <v>3</v>
      </c>
      <c r="BQ259" s="1"/>
      <c r="BR259" s="1"/>
      <c r="BS259" s="1"/>
      <c r="BT259" s="1"/>
      <c r="BU259" s="1"/>
      <c r="BV259" s="1"/>
      <c r="BW259" s="1"/>
      <c r="BX259" s="1">
        <v>0</v>
      </c>
      <c r="BY259" s="1"/>
      <c r="BZ259" s="1"/>
      <c r="CA259" s="1"/>
      <c r="CB259" s="1"/>
      <c r="CC259" s="1"/>
      <c r="CD259" s="1"/>
      <c r="CE259" s="1"/>
      <c r="CF259" s="1"/>
      <c r="CG259" s="1"/>
      <c r="CH259" s="1"/>
      <c r="CI259" s="1"/>
      <c r="CJ259" s="1">
        <v>0</v>
      </c>
    </row>
    <row r="261" spans="1:245" x14ac:dyDescent="0.2">
      <c r="A261" s="2">
        <v>52</v>
      </c>
      <c r="B261" s="2">
        <f t="shared" ref="B261:G261" si="217">B289</f>
        <v>1</v>
      </c>
      <c r="C261" s="2">
        <f t="shared" si="217"/>
        <v>5</v>
      </c>
      <c r="D261" s="2">
        <f t="shared" si="217"/>
        <v>259</v>
      </c>
      <c r="E261" s="2">
        <f t="shared" si="217"/>
        <v>0</v>
      </c>
      <c r="F261" s="2" t="str">
        <f t="shared" si="217"/>
        <v>Новый подраздел</v>
      </c>
      <c r="G261" s="2" t="str">
        <f t="shared" si="217"/>
        <v>Игровая площадка группы № 10</v>
      </c>
      <c r="H261" s="2"/>
      <c r="I261" s="2"/>
      <c r="J261" s="2"/>
      <c r="K261" s="2"/>
      <c r="L261" s="2"/>
      <c r="M261" s="2"/>
      <c r="N261" s="2"/>
      <c r="O261" s="2">
        <f t="shared" ref="O261:AT261" si="218">O289</f>
        <v>357878.83</v>
      </c>
      <c r="P261" s="2">
        <f t="shared" si="218"/>
        <v>316365.69</v>
      </c>
      <c r="Q261" s="2">
        <f t="shared" si="218"/>
        <v>11808.58</v>
      </c>
      <c r="R261" s="2">
        <f t="shared" si="218"/>
        <v>6085.07</v>
      </c>
      <c r="S261" s="2">
        <f t="shared" si="218"/>
        <v>29704.560000000001</v>
      </c>
      <c r="T261" s="2">
        <f t="shared" si="218"/>
        <v>0</v>
      </c>
      <c r="U261" s="2">
        <f t="shared" si="218"/>
        <v>135.038702</v>
      </c>
      <c r="V261" s="2">
        <f t="shared" si="218"/>
        <v>0</v>
      </c>
      <c r="W261" s="2">
        <f t="shared" si="218"/>
        <v>0</v>
      </c>
      <c r="X261" s="2">
        <f t="shared" si="218"/>
        <v>20793.21</v>
      </c>
      <c r="Y261" s="2">
        <f t="shared" si="218"/>
        <v>2970.46</v>
      </c>
      <c r="Z261" s="2">
        <f t="shared" si="218"/>
        <v>0</v>
      </c>
      <c r="AA261" s="2">
        <f t="shared" si="218"/>
        <v>0</v>
      </c>
      <c r="AB261" s="2">
        <f t="shared" si="218"/>
        <v>357878.83</v>
      </c>
      <c r="AC261" s="2">
        <f t="shared" si="218"/>
        <v>316365.69</v>
      </c>
      <c r="AD261" s="2">
        <f t="shared" si="218"/>
        <v>11808.58</v>
      </c>
      <c r="AE261" s="2">
        <f t="shared" si="218"/>
        <v>6085.07</v>
      </c>
      <c r="AF261" s="2">
        <f t="shared" si="218"/>
        <v>29704.560000000001</v>
      </c>
      <c r="AG261" s="2">
        <f t="shared" si="218"/>
        <v>0</v>
      </c>
      <c r="AH261" s="2">
        <f t="shared" si="218"/>
        <v>135.038702</v>
      </c>
      <c r="AI261" s="2">
        <f t="shared" si="218"/>
        <v>0</v>
      </c>
      <c r="AJ261" s="2">
        <f t="shared" si="218"/>
        <v>0</v>
      </c>
      <c r="AK261" s="2">
        <f t="shared" si="218"/>
        <v>20793.21</v>
      </c>
      <c r="AL261" s="2">
        <f t="shared" si="218"/>
        <v>2970.46</v>
      </c>
      <c r="AM261" s="2">
        <f t="shared" si="218"/>
        <v>0</v>
      </c>
      <c r="AN261" s="2">
        <f t="shared" si="218"/>
        <v>0</v>
      </c>
      <c r="AO261" s="2">
        <f t="shared" si="218"/>
        <v>0</v>
      </c>
      <c r="AP261" s="2">
        <f t="shared" si="218"/>
        <v>0</v>
      </c>
      <c r="AQ261" s="2">
        <f t="shared" si="218"/>
        <v>0</v>
      </c>
      <c r="AR261" s="2">
        <f t="shared" si="218"/>
        <v>388214.38</v>
      </c>
      <c r="AS261" s="2">
        <f t="shared" si="218"/>
        <v>0</v>
      </c>
      <c r="AT261" s="2">
        <f t="shared" si="218"/>
        <v>0</v>
      </c>
      <c r="AU261" s="2">
        <f t="shared" ref="AU261:BZ261" si="219">AU289</f>
        <v>388214.38</v>
      </c>
      <c r="AV261" s="2">
        <f t="shared" si="219"/>
        <v>316365.69</v>
      </c>
      <c r="AW261" s="2">
        <f t="shared" si="219"/>
        <v>316365.69</v>
      </c>
      <c r="AX261" s="2">
        <f t="shared" si="219"/>
        <v>0</v>
      </c>
      <c r="AY261" s="2">
        <f t="shared" si="219"/>
        <v>316365.69</v>
      </c>
      <c r="AZ261" s="2">
        <f t="shared" si="219"/>
        <v>0</v>
      </c>
      <c r="BA261" s="2">
        <f t="shared" si="219"/>
        <v>0</v>
      </c>
      <c r="BB261" s="2">
        <f t="shared" si="219"/>
        <v>0</v>
      </c>
      <c r="BC261" s="2">
        <f t="shared" si="219"/>
        <v>0</v>
      </c>
      <c r="BD261" s="2">
        <f t="shared" si="219"/>
        <v>0</v>
      </c>
      <c r="BE261" s="2">
        <f t="shared" si="219"/>
        <v>0</v>
      </c>
      <c r="BF261" s="2">
        <f t="shared" si="219"/>
        <v>0</v>
      </c>
      <c r="BG261" s="2">
        <f t="shared" si="219"/>
        <v>0</v>
      </c>
      <c r="BH261" s="2">
        <f t="shared" si="219"/>
        <v>0</v>
      </c>
      <c r="BI261" s="2">
        <f t="shared" si="219"/>
        <v>0</v>
      </c>
      <c r="BJ261" s="2">
        <f t="shared" si="219"/>
        <v>0</v>
      </c>
      <c r="BK261" s="2">
        <f t="shared" si="219"/>
        <v>0</v>
      </c>
      <c r="BL261" s="2">
        <f t="shared" si="219"/>
        <v>0</v>
      </c>
      <c r="BM261" s="2">
        <f t="shared" si="219"/>
        <v>0</v>
      </c>
      <c r="BN261" s="2">
        <f t="shared" si="219"/>
        <v>0</v>
      </c>
      <c r="BO261" s="2">
        <f t="shared" si="219"/>
        <v>0</v>
      </c>
      <c r="BP261" s="2">
        <f t="shared" si="219"/>
        <v>0</v>
      </c>
      <c r="BQ261" s="2">
        <f t="shared" si="219"/>
        <v>0</v>
      </c>
      <c r="BR261" s="2">
        <f t="shared" si="219"/>
        <v>0</v>
      </c>
      <c r="BS261" s="2">
        <f t="shared" si="219"/>
        <v>0</v>
      </c>
      <c r="BT261" s="2">
        <f t="shared" si="219"/>
        <v>0</v>
      </c>
      <c r="BU261" s="2">
        <f t="shared" si="219"/>
        <v>0</v>
      </c>
      <c r="BV261" s="2">
        <f t="shared" si="219"/>
        <v>0</v>
      </c>
      <c r="BW261" s="2">
        <f t="shared" si="219"/>
        <v>0</v>
      </c>
      <c r="BX261" s="2">
        <f t="shared" si="219"/>
        <v>0</v>
      </c>
      <c r="BY261" s="2">
        <f t="shared" si="219"/>
        <v>0</v>
      </c>
      <c r="BZ261" s="2">
        <f t="shared" si="219"/>
        <v>0</v>
      </c>
      <c r="CA261" s="2">
        <f t="shared" ref="CA261:DF261" si="220">CA289</f>
        <v>388214.38</v>
      </c>
      <c r="CB261" s="2">
        <f t="shared" si="220"/>
        <v>0</v>
      </c>
      <c r="CC261" s="2">
        <f t="shared" si="220"/>
        <v>0</v>
      </c>
      <c r="CD261" s="2">
        <f t="shared" si="220"/>
        <v>388214.38</v>
      </c>
      <c r="CE261" s="2">
        <f t="shared" si="220"/>
        <v>316365.69</v>
      </c>
      <c r="CF261" s="2">
        <f t="shared" si="220"/>
        <v>316365.69</v>
      </c>
      <c r="CG261" s="2">
        <f t="shared" si="220"/>
        <v>0</v>
      </c>
      <c r="CH261" s="2">
        <f t="shared" si="220"/>
        <v>316365.69</v>
      </c>
      <c r="CI261" s="2">
        <f t="shared" si="220"/>
        <v>0</v>
      </c>
      <c r="CJ261" s="2">
        <f t="shared" si="220"/>
        <v>0</v>
      </c>
      <c r="CK261" s="2">
        <f t="shared" si="220"/>
        <v>0</v>
      </c>
      <c r="CL261" s="2">
        <f t="shared" si="220"/>
        <v>0</v>
      </c>
      <c r="CM261" s="2">
        <f t="shared" si="220"/>
        <v>0</v>
      </c>
      <c r="CN261" s="2">
        <f t="shared" si="220"/>
        <v>0</v>
      </c>
      <c r="CO261" s="2">
        <f t="shared" si="220"/>
        <v>0</v>
      </c>
      <c r="CP261" s="2">
        <f t="shared" si="220"/>
        <v>0</v>
      </c>
      <c r="CQ261" s="2">
        <f t="shared" si="220"/>
        <v>0</v>
      </c>
      <c r="CR261" s="2">
        <f t="shared" si="220"/>
        <v>0</v>
      </c>
      <c r="CS261" s="2">
        <f t="shared" si="220"/>
        <v>0</v>
      </c>
      <c r="CT261" s="2">
        <f t="shared" si="220"/>
        <v>0</v>
      </c>
      <c r="CU261" s="2">
        <f t="shared" si="220"/>
        <v>0</v>
      </c>
      <c r="CV261" s="2">
        <f t="shared" si="220"/>
        <v>0</v>
      </c>
      <c r="CW261" s="2">
        <f t="shared" si="220"/>
        <v>0</v>
      </c>
      <c r="CX261" s="2">
        <f t="shared" si="220"/>
        <v>0</v>
      </c>
      <c r="CY261" s="2">
        <f t="shared" si="220"/>
        <v>0</v>
      </c>
      <c r="CZ261" s="2">
        <f t="shared" si="220"/>
        <v>0</v>
      </c>
      <c r="DA261" s="2">
        <f t="shared" si="220"/>
        <v>0</v>
      </c>
      <c r="DB261" s="2">
        <f t="shared" si="220"/>
        <v>0</v>
      </c>
      <c r="DC261" s="2">
        <f t="shared" si="220"/>
        <v>0</v>
      </c>
      <c r="DD261" s="2">
        <f t="shared" si="220"/>
        <v>0</v>
      </c>
      <c r="DE261" s="2">
        <f t="shared" si="220"/>
        <v>0</v>
      </c>
      <c r="DF261" s="2">
        <f t="shared" si="220"/>
        <v>0</v>
      </c>
      <c r="DG261" s="3">
        <f t="shared" ref="DG261:EL261" si="221">DG289</f>
        <v>0</v>
      </c>
      <c r="DH261" s="3">
        <f t="shared" si="221"/>
        <v>0</v>
      </c>
      <c r="DI261" s="3">
        <f t="shared" si="221"/>
        <v>0</v>
      </c>
      <c r="DJ261" s="3">
        <f t="shared" si="221"/>
        <v>0</v>
      </c>
      <c r="DK261" s="3">
        <f t="shared" si="221"/>
        <v>0</v>
      </c>
      <c r="DL261" s="3">
        <f t="shared" si="221"/>
        <v>0</v>
      </c>
      <c r="DM261" s="3">
        <f t="shared" si="221"/>
        <v>0</v>
      </c>
      <c r="DN261" s="3">
        <f t="shared" si="221"/>
        <v>0</v>
      </c>
      <c r="DO261" s="3">
        <f t="shared" si="221"/>
        <v>0</v>
      </c>
      <c r="DP261" s="3">
        <f t="shared" si="221"/>
        <v>0</v>
      </c>
      <c r="DQ261" s="3">
        <f t="shared" si="221"/>
        <v>0</v>
      </c>
      <c r="DR261" s="3">
        <f t="shared" si="221"/>
        <v>0</v>
      </c>
      <c r="DS261" s="3">
        <f t="shared" si="221"/>
        <v>0</v>
      </c>
      <c r="DT261" s="3">
        <f t="shared" si="221"/>
        <v>0</v>
      </c>
      <c r="DU261" s="3">
        <f t="shared" si="221"/>
        <v>0</v>
      </c>
      <c r="DV261" s="3">
        <f t="shared" si="221"/>
        <v>0</v>
      </c>
      <c r="DW261" s="3">
        <f t="shared" si="221"/>
        <v>0</v>
      </c>
      <c r="DX261" s="3">
        <f t="shared" si="221"/>
        <v>0</v>
      </c>
      <c r="DY261" s="3">
        <f t="shared" si="221"/>
        <v>0</v>
      </c>
      <c r="DZ261" s="3">
        <f t="shared" si="221"/>
        <v>0</v>
      </c>
      <c r="EA261" s="3">
        <f t="shared" si="221"/>
        <v>0</v>
      </c>
      <c r="EB261" s="3">
        <f t="shared" si="221"/>
        <v>0</v>
      </c>
      <c r="EC261" s="3">
        <f t="shared" si="221"/>
        <v>0</v>
      </c>
      <c r="ED261" s="3">
        <f t="shared" si="221"/>
        <v>0</v>
      </c>
      <c r="EE261" s="3">
        <f t="shared" si="221"/>
        <v>0</v>
      </c>
      <c r="EF261" s="3">
        <f t="shared" si="221"/>
        <v>0</v>
      </c>
      <c r="EG261" s="3">
        <f t="shared" si="221"/>
        <v>0</v>
      </c>
      <c r="EH261" s="3">
        <f t="shared" si="221"/>
        <v>0</v>
      </c>
      <c r="EI261" s="3">
        <f t="shared" si="221"/>
        <v>0</v>
      </c>
      <c r="EJ261" s="3">
        <f t="shared" si="221"/>
        <v>0</v>
      </c>
      <c r="EK261" s="3">
        <f t="shared" si="221"/>
        <v>0</v>
      </c>
      <c r="EL261" s="3">
        <f t="shared" si="221"/>
        <v>0</v>
      </c>
      <c r="EM261" s="3">
        <f t="shared" ref="EM261:FR261" si="222">EM289</f>
        <v>0</v>
      </c>
      <c r="EN261" s="3">
        <f t="shared" si="222"/>
        <v>0</v>
      </c>
      <c r="EO261" s="3">
        <f t="shared" si="222"/>
        <v>0</v>
      </c>
      <c r="EP261" s="3">
        <f t="shared" si="222"/>
        <v>0</v>
      </c>
      <c r="EQ261" s="3">
        <f t="shared" si="222"/>
        <v>0</v>
      </c>
      <c r="ER261" s="3">
        <f t="shared" si="222"/>
        <v>0</v>
      </c>
      <c r="ES261" s="3">
        <f t="shared" si="222"/>
        <v>0</v>
      </c>
      <c r="ET261" s="3">
        <f t="shared" si="222"/>
        <v>0</v>
      </c>
      <c r="EU261" s="3">
        <f t="shared" si="222"/>
        <v>0</v>
      </c>
      <c r="EV261" s="3">
        <f t="shared" si="222"/>
        <v>0</v>
      </c>
      <c r="EW261" s="3">
        <f t="shared" si="222"/>
        <v>0</v>
      </c>
      <c r="EX261" s="3">
        <f t="shared" si="222"/>
        <v>0</v>
      </c>
      <c r="EY261" s="3">
        <f t="shared" si="222"/>
        <v>0</v>
      </c>
      <c r="EZ261" s="3">
        <f t="shared" si="222"/>
        <v>0</v>
      </c>
      <c r="FA261" s="3">
        <f t="shared" si="222"/>
        <v>0</v>
      </c>
      <c r="FB261" s="3">
        <f t="shared" si="222"/>
        <v>0</v>
      </c>
      <c r="FC261" s="3">
        <f t="shared" si="222"/>
        <v>0</v>
      </c>
      <c r="FD261" s="3">
        <f t="shared" si="222"/>
        <v>0</v>
      </c>
      <c r="FE261" s="3">
        <f t="shared" si="222"/>
        <v>0</v>
      </c>
      <c r="FF261" s="3">
        <f t="shared" si="222"/>
        <v>0</v>
      </c>
      <c r="FG261" s="3">
        <f t="shared" si="222"/>
        <v>0</v>
      </c>
      <c r="FH261" s="3">
        <f t="shared" si="222"/>
        <v>0</v>
      </c>
      <c r="FI261" s="3">
        <f t="shared" si="222"/>
        <v>0</v>
      </c>
      <c r="FJ261" s="3">
        <f t="shared" si="222"/>
        <v>0</v>
      </c>
      <c r="FK261" s="3">
        <f t="shared" si="222"/>
        <v>0</v>
      </c>
      <c r="FL261" s="3">
        <f t="shared" si="222"/>
        <v>0</v>
      </c>
      <c r="FM261" s="3">
        <f t="shared" si="222"/>
        <v>0</v>
      </c>
      <c r="FN261" s="3">
        <f t="shared" si="222"/>
        <v>0</v>
      </c>
      <c r="FO261" s="3">
        <f t="shared" si="222"/>
        <v>0</v>
      </c>
      <c r="FP261" s="3">
        <f t="shared" si="222"/>
        <v>0</v>
      </c>
      <c r="FQ261" s="3">
        <f t="shared" si="222"/>
        <v>0</v>
      </c>
      <c r="FR261" s="3">
        <f t="shared" si="222"/>
        <v>0</v>
      </c>
      <c r="FS261" s="3">
        <f t="shared" ref="FS261:GX261" si="223">FS289</f>
        <v>0</v>
      </c>
      <c r="FT261" s="3">
        <f t="shared" si="223"/>
        <v>0</v>
      </c>
      <c r="FU261" s="3">
        <f t="shared" si="223"/>
        <v>0</v>
      </c>
      <c r="FV261" s="3">
        <f t="shared" si="223"/>
        <v>0</v>
      </c>
      <c r="FW261" s="3">
        <f t="shared" si="223"/>
        <v>0</v>
      </c>
      <c r="FX261" s="3">
        <f t="shared" si="223"/>
        <v>0</v>
      </c>
      <c r="FY261" s="3">
        <f t="shared" si="223"/>
        <v>0</v>
      </c>
      <c r="FZ261" s="3">
        <f t="shared" si="223"/>
        <v>0</v>
      </c>
      <c r="GA261" s="3">
        <f t="shared" si="223"/>
        <v>0</v>
      </c>
      <c r="GB261" s="3">
        <f t="shared" si="223"/>
        <v>0</v>
      </c>
      <c r="GC261" s="3">
        <f t="shared" si="223"/>
        <v>0</v>
      </c>
      <c r="GD261" s="3">
        <f t="shared" si="223"/>
        <v>0</v>
      </c>
      <c r="GE261" s="3">
        <f t="shared" si="223"/>
        <v>0</v>
      </c>
      <c r="GF261" s="3">
        <f t="shared" si="223"/>
        <v>0</v>
      </c>
      <c r="GG261" s="3">
        <f t="shared" si="223"/>
        <v>0</v>
      </c>
      <c r="GH261" s="3">
        <f t="shared" si="223"/>
        <v>0</v>
      </c>
      <c r="GI261" s="3">
        <f t="shared" si="223"/>
        <v>0</v>
      </c>
      <c r="GJ261" s="3">
        <f t="shared" si="223"/>
        <v>0</v>
      </c>
      <c r="GK261" s="3">
        <f t="shared" si="223"/>
        <v>0</v>
      </c>
      <c r="GL261" s="3">
        <f t="shared" si="223"/>
        <v>0</v>
      </c>
      <c r="GM261" s="3">
        <f t="shared" si="223"/>
        <v>0</v>
      </c>
      <c r="GN261" s="3">
        <f t="shared" si="223"/>
        <v>0</v>
      </c>
      <c r="GO261" s="3">
        <f t="shared" si="223"/>
        <v>0</v>
      </c>
      <c r="GP261" s="3">
        <f t="shared" si="223"/>
        <v>0</v>
      </c>
      <c r="GQ261" s="3">
        <f t="shared" si="223"/>
        <v>0</v>
      </c>
      <c r="GR261" s="3">
        <f t="shared" si="223"/>
        <v>0</v>
      </c>
      <c r="GS261" s="3">
        <f t="shared" si="223"/>
        <v>0</v>
      </c>
      <c r="GT261" s="3">
        <f t="shared" si="223"/>
        <v>0</v>
      </c>
      <c r="GU261" s="3">
        <f t="shared" si="223"/>
        <v>0</v>
      </c>
      <c r="GV261" s="3">
        <f t="shared" si="223"/>
        <v>0</v>
      </c>
      <c r="GW261" s="3">
        <f t="shared" si="223"/>
        <v>0</v>
      </c>
      <c r="GX261" s="3">
        <f t="shared" si="223"/>
        <v>0</v>
      </c>
    </row>
    <row r="263" spans="1:245" x14ac:dyDescent="0.2">
      <c r="A263">
        <v>17</v>
      </c>
      <c r="B263">
        <v>1</v>
      </c>
      <c r="C263">
        <f>ROW(SmtRes!A247)</f>
        <v>247</v>
      </c>
      <c r="D263">
        <f>ROW(EtalonRes!A236)</f>
        <v>236</v>
      </c>
      <c r="E263" t="s">
        <v>257</v>
      </c>
      <c r="F263" t="s">
        <v>258</v>
      </c>
      <c r="G263" t="s">
        <v>259</v>
      </c>
      <c r="H263" t="s">
        <v>38</v>
      </c>
      <c r="I263">
        <f>ROUND(57.69/100,9)</f>
        <v>0.57689999999999997</v>
      </c>
      <c r="J263">
        <v>0</v>
      </c>
      <c r="O263">
        <f t="shared" ref="O263:O287" si="224">ROUND(CP263,2)</f>
        <v>350.14</v>
      </c>
      <c r="P263">
        <f t="shared" ref="P263:P287" si="225">ROUND(CQ263*I263,2)</f>
        <v>0</v>
      </c>
      <c r="Q263">
        <f t="shared" ref="Q263:Q287" si="226">ROUND(CR263*I263,2)</f>
        <v>0</v>
      </c>
      <c r="R263">
        <f t="shared" ref="R263:R287" si="227">ROUND(CS263*I263,2)</f>
        <v>0</v>
      </c>
      <c r="S263">
        <f t="shared" ref="S263:S287" si="228">ROUND(CT263*I263,2)</f>
        <v>350.14</v>
      </c>
      <c r="T263">
        <f t="shared" ref="T263:T287" si="229">ROUND(CU263*I263,2)</f>
        <v>0</v>
      </c>
      <c r="U263">
        <f t="shared" ref="U263:U287" si="230">CV263*I263</f>
        <v>1.9037699999999997</v>
      </c>
      <c r="V263">
        <f t="shared" ref="V263:V287" si="231">CW263*I263</f>
        <v>0</v>
      </c>
      <c r="W263">
        <f t="shared" ref="W263:W287" si="232">ROUND(CX263*I263,2)</f>
        <v>0</v>
      </c>
      <c r="X263">
        <f t="shared" ref="X263:X287" si="233">ROUND(CY263,2)</f>
        <v>245.1</v>
      </c>
      <c r="Y263">
        <f t="shared" ref="Y263:Y287" si="234">ROUND(CZ263,2)</f>
        <v>35.01</v>
      </c>
      <c r="AA263">
        <v>52430918</v>
      </c>
      <c r="AB263">
        <f t="shared" ref="AB263:AB287" si="235">ROUND((AC263+AD263+AF263),6)</f>
        <v>606.94000000000005</v>
      </c>
      <c r="AC263">
        <f t="shared" ref="AC263:AC287" si="236">ROUND((ES263),6)</f>
        <v>0</v>
      </c>
      <c r="AD263">
        <f t="shared" ref="AD263:AD287" si="237">ROUND((((ET263)-(EU263))+AE263),6)</f>
        <v>0</v>
      </c>
      <c r="AE263">
        <f t="shared" ref="AE263:AE287" si="238">ROUND((EU263),6)</f>
        <v>0</v>
      </c>
      <c r="AF263">
        <f t="shared" ref="AF263:AF287" si="239">ROUND((EV263),6)</f>
        <v>606.94000000000005</v>
      </c>
      <c r="AG263">
        <f t="shared" ref="AG263:AG287" si="240">ROUND((AP263),6)</f>
        <v>0</v>
      </c>
      <c r="AH263">
        <f t="shared" ref="AH263:AH287" si="241">(EW263)</f>
        <v>3.3</v>
      </c>
      <c r="AI263">
        <f t="shared" ref="AI263:AI287" si="242">(EX263)</f>
        <v>0</v>
      </c>
      <c r="AJ263">
        <f t="shared" ref="AJ263:AJ287" si="243">(AS263)</f>
        <v>0</v>
      </c>
      <c r="AK263">
        <v>606.94000000000005</v>
      </c>
      <c r="AL263">
        <v>0</v>
      </c>
      <c r="AM263">
        <v>0</v>
      </c>
      <c r="AN263">
        <v>0</v>
      </c>
      <c r="AO263">
        <v>606.94000000000005</v>
      </c>
      <c r="AP263">
        <v>0</v>
      </c>
      <c r="AQ263">
        <v>3.3</v>
      </c>
      <c r="AR263">
        <v>0</v>
      </c>
      <c r="AS263">
        <v>0</v>
      </c>
      <c r="AT263">
        <v>70</v>
      </c>
      <c r="AU263">
        <v>10</v>
      </c>
      <c r="AV263">
        <v>1</v>
      </c>
      <c r="AW263">
        <v>1</v>
      </c>
      <c r="AZ263">
        <v>1</v>
      </c>
      <c r="BA263">
        <v>1</v>
      </c>
      <c r="BB263">
        <v>1</v>
      </c>
      <c r="BC263">
        <v>1</v>
      </c>
      <c r="BD263" t="s">
        <v>3</v>
      </c>
      <c r="BE263" t="s">
        <v>3</v>
      </c>
      <c r="BF263" t="s">
        <v>3</v>
      </c>
      <c r="BG263" t="s">
        <v>3</v>
      </c>
      <c r="BH263">
        <v>0</v>
      </c>
      <c r="BI263">
        <v>4</v>
      </c>
      <c r="BJ263" t="s">
        <v>260</v>
      </c>
      <c r="BM263">
        <v>0</v>
      </c>
      <c r="BN263">
        <v>0</v>
      </c>
      <c r="BO263" t="s">
        <v>3</v>
      </c>
      <c r="BP263">
        <v>0</v>
      </c>
      <c r="BQ263">
        <v>1</v>
      </c>
      <c r="BR263">
        <v>0</v>
      </c>
      <c r="BS263">
        <v>1</v>
      </c>
      <c r="BT263">
        <v>1</v>
      </c>
      <c r="BU263">
        <v>1</v>
      </c>
      <c r="BV263">
        <v>1</v>
      </c>
      <c r="BW263">
        <v>1</v>
      </c>
      <c r="BX263">
        <v>1</v>
      </c>
      <c r="BY263" t="s">
        <v>3</v>
      </c>
      <c r="BZ263">
        <v>70</v>
      </c>
      <c r="CA263">
        <v>10</v>
      </c>
      <c r="CE263">
        <v>0</v>
      </c>
      <c r="CF263">
        <v>0</v>
      </c>
      <c r="CG263">
        <v>0</v>
      </c>
      <c r="CM263">
        <v>0</v>
      </c>
      <c r="CN263" t="s">
        <v>3</v>
      </c>
      <c r="CO263">
        <v>0</v>
      </c>
      <c r="CP263">
        <f t="shared" ref="CP263:CP287" si="244">(P263+Q263+S263)</f>
        <v>350.14</v>
      </c>
      <c r="CQ263">
        <f t="shared" ref="CQ263:CQ287" si="245">(AC263*BC263*AW263)</f>
        <v>0</v>
      </c>
      <c r="CR263">
        <f t="shared" ref="CR263:CR287" si="246">((((ET263)*BB263-(EU263)*BS263)+AE263*BS263)*AV263)</f>
        <v>0</v>
      </c>
      <c r="CS263">
        <f t="shared" ref="CS263:CS287" si="247">(AE263*BS263*AV263)</f>
        <v>0</v>
      </c>
      <c r="CT263">
        <f t="shared" ref="CT263:CT287" si="248">(AF263*BA263*AV263)</f>
        <v>606.94000000000005</v>
      </c>
      <c r="CU263">
        <f t="shared" ref="CU263:CU287" si="249">AG263</f>
        <v>0</v>
      </c>
      <c r="CV263">
        <f t="shared" ref="CV263:CV287" si="250">(AH263*AV263)</f>
        <v>3.3</v>
      </c>
      <c r="CW263">
        <f t="shared" ref="CW263:CW287" si="251">AI263</f>
        <v>0</v>
      </c>
      <c r="CX263">
        <f t="shared" ref="CX263:CX287" si="252">AJ263</f>
        <v>0</v>
      </c>
      <c r="CY263">
        <f t="shared" ref="CY263:CY287" si="253">((S263*BZ263)/100)</f>
        <v>245.09799999999998</v>
      </c>
      <c r="CZ263">
        <f t="shared" ref="CZ263:CZ287" si="254">((S263*CA263)/100)</f>
        <v>35.013999999999996</v>
      </c>
      <c r="DC263" t="s">
        <v>3</v>
      </c>
      <c r="DD263" t="s">
        <v>3</v>
      </c>
      <c r="DE263" t="s">
        <v>3</v>
      </c>
      <c r="DF263" t="s">
        <v>3</v>
      </c>
      <c r="DG263" t="s">
        <v>3</v>
      </c>
      <c r="DH263" t="s">
        <v>3</v>
      </c>
      <c r="DI263" t="s">
        <v>3</v>
      </c>
      <c r="DJ263" t="s">
        <v>3</v>
      </c>
      <c r="DK263" t="s">
        <v>3</v>
      </c>
      <c r="DL263" t="s">
        <v>3</v>
      </c>
      <c r="DM263" t="s">
        <v>3</v>
      </c>
      <c r="DN263">
        <v>0</v>
      </c>
      <c r="DO263">
        <v>0</v>
      </c>
      <c r="DP263">
        <v>1</v>
      </c>
      <c r="DQ263">
        <v>1</v>
      </c>
      <c r="DU263">
        <v>1005</v>
      </c>
      <c r="DV263" t="s">
        <v>38</v>
      </c>
      <c r="DW263" t="s">
        <v>38</v>
      </c>
      <c r="DX263">
        <v>100</v>
      </c>
      <c r="EE263">
        <v>52362078</v>
      </c>
      <c r="EF263">
        <v>1</v>
      </c>
      <c r="EG263" t="s">
        <v>22</v>
      </c>
      <c r="EH263">
        <v>0</v>
      </c>
      <c r="EI263" t="s">
        <v>3</v>
      </c>
      <c r="EJ263">
        <v>4</v>
      </c>
      <c r="EK263">
        <v>0</v>
      </c>
      <c r="EL263" t="s">
        <v>23</v>
      </c>
      <c r="EM263" t="s">
        <v>24</v>
      </c>
      <c r="EO263" t="s">
        <v>3</v>
      </c>
      <c r="EQ263">
        <v>131072</v>
      </c>
      <c r="ER263">
        <v>606.94000000000005</v>
      </c>
      <c r="ES263">
        <v>0</v>
      </c>
      <c r="ET263">
        <v>0</v>
      </c>
      <c r="EU263">
        <v>0</v>
      </c>
      <c r="EV263">
        <v>606.94000000000005</v>
      </c>
      <c r="EW263">
        <v>3.3</v>
      </c>
      <c r="EX263">
        <v>0</v>
      </c>
      <c r="EY263">
        <v>0</v>
      </c>
      <c r="FQ263">
        <v>0</v>
      </c>
      <c r="FR263">
        <f t="shared" ref="FR263:FR287" si="255">ROUND(IF(AND(BH263=3,BI263=3),P263,0),2)</f>
        <v>0</v>
      </c>
      <c r="FS263">
        <v>0</v>
      </c>
      <c r="FX263">
        <v>70</v>
      </c>
      <c r="FY263">
        <v>10</v>
      </c>
      <c r="GA263" t="s">
        <v>3</v>
      </c>
      <c r="GD263">
        <v>0</v>
      </c>
      <c r="GF263">
        <v>1885529123</v>
      </c>
      <c r="GG263">
        <v>2</v>
      </c>
      <c r="GH263">
        <v>1</v>
      </c>
      <c r="GI263">
        <v>-2</v>
      </c>
      <c r="GJ263">
        <v>0</v>
      </c>
      <c r="GK263">
        <f>ROUND(R263*(R12)/100,2)</f>
        <v>0</v>
      </c>
      <c r="GL263">
        <f t="shared" ref="GL263:GL287" si="256">ROUND(IF(AND(BH263=3,BI263=3,FS263&lt;&gt;0),P263,0),2)</f>
        <v>0</v>
      </c>
      <c r="GM263">
        <f t="shared" ref="GM263:GM287" si="257">ROUND(O263+X263+Y263+GK263,2)+GX263</f>
        <v>630.25</v>
      </c>
      <c r="GN263">
        <f t="shared" ref="GN263:GN287" si="258">IF(OR(BI263=0,BI263=1),ROUND(O263+X263+Y263+GK263,2),0)</f>
        <v>0</v>
      </c>
      <c r="GO263">
        <f t="shared" ref="GO263:GO287" si="259">IF(BI263=2,ROUND(O263+X263+Y263+GK263,2),0)</f>
        <v>0</v>
      </c>
      <c r="GP263">
        <f t="shared" ref="GP263:GP287" si="260">IF(BI263=4,ROUND(O263+X263+Y263+GK263,2)+GX263,0)</f>
        <v>630.25</v>
      </c>
      <c r="GR263">
        <v>0</v>
      </c>
      <c r="GS263">
        <v>3</v>
      </c>
      <c r="GT263">
        <v>0</v>
      </c>
      <c r="GU263" t="s">
        <v>3</v>
      </c>
      <c r="GV263">
        <f t="shared" ref="GV263:GV287" si="261">ROUND((GT263),6)</f>
        <v>0</v>
      </c>
      <c r="GW263">
        <v>1</v>
      </c>
      <c r="GX263">
        <f t="shared" ref="GX263:GX287" si="262">ROUND(HC263*I263,2)</f>
        <v>0</v>
      </c>
      <c r="HA263">
        <v>0</v>
      </c>
      <c r="HB263">
        <v>0</v>
      </c>
      <c r="HC263">
        <f t="shared" ref="HC263:HC287" si="263">GV263*GW263</f>
        <v>0</v>
      </c>
      <c r="HE263" t="s">
        <v>3</v>
      </c>
      <c r="HF263" t="s">
        <v>3</v>
      </c>
      <c r="IK263">
        <v>0</v>
      </c>
    </row>
    <row r="264" spans="1:245" x14ac:dyDescent="0.2">
      <c r="A264">
        <v>17</v>
      </c>
      <c r="B264">
        <v>1</v>
      </c>
      <c r="C264">
        <f>ROW(SmtRes!A251)</f>
        <v>251</v>
      </c>
      <c r="D264">
        <f>ROW(EtalonRes!A240)</f>
        <v>240</v>
      </c>
      <c r="E264" t="s">
        <v>261</v>
      </c>
      <c r="F264" t="s">
        <v>262</v>
      </c>
      <c r="G264" t="s">
        <v>263</v>
      </c>
      <c r="H264" t="s">
        <v>33</v>
      </c>
      <c r="I264">
        <f>ROUND(2.88/100,9)</f>
        <v>2.8799999999999999E-2</v>
      </c>
      <c r="J264">
        <v>0</v>
      </c>
      <c r="O264">
        <f t="shared" si="224"/>
        <v>1753.54</v>
      </c>
      <c r="P264">
        <f t="shared" si="225"/>
        <v>0</v>
      </c>
      <c r="Q264">
        <f t="shared" si="226"/>
        <v>879.8</v>
      </c>
      <c r="R264">
        <f t="shared" si="227"/>
        <v>485.7</v>
      </c>
      <c r="S264">
        <f t="shared" si="228"/>
        <v>873.74</v>
      </c>
      <c r="T264">
        <f t="shared" si="229"/>
        <v>0</v>
      </c>
      <c r="U264">
        <f t="shared" si="230"/>
        <v>4.4639999999999995</v>
      </c>
      <c r="V264">
        <f t="shared" si="231"/>
        <v>0</v>
      </c>
      <c r="W264">
        <f t="shared" si="232"/>
        <v>0</v>
      </c>
      <c r="X264">
        <f t="shared" si="233"/>
        <v>611.62</v>
      </c>
      <c r="Y264">
        <f t="shared" si="234"/>
        <v>87.37</v>
      </c>
      <c r="AA264">
        <v>52430918</v>
      </c>
      <c r="AB264">
        <f t="shared" si="235"/>
        <v>60886.85</v>
      </c>
      <c r="AC264">
        <f t="shared" si="236"/>
        <v>0</v>
      </c>
      <c r="AD264">
        <f t="shared" si="237"/>
        <v>30548.7</v>
      </c>
      <c r="AE264">
        <f t="shared" si="238"/>
        <v>16864.419999999998</v>
      </c>
      <c r="AF264">
        <f t="shared" si="239"/>
        <v>30338.15</v>
      </c>
      <c r="AG264">
        <f t="shared" si="240"/>
        <v>0</v>
      </c>
      <c r="AH264">
        <f t="shared" si="241"/>
        <v>155</v>
      </c>
      <c r="AI264">
        <f t="shared" si="242"/>
        <v>0</v>
      </c>
      <c r="AJ264">
        <f t="shared" si="243"/>
        <v>0</v>
      </c>
      <c r="AK264">
        <v>60886.85</v>
      </c>
      <c r="AL264">
        <v>0</v>
      </c>
      <c r="AM264">
        <v>30548.7</v>
      </c>
      <c r="AN264">
        <v>16864.419999999998</v>
      </c>
      <c r="AO264">
        <v>30338.15</v>
      </c>
      <c r="AP264">
        <v>0</v>
      </c>
      <c r="AQ264">
        <v>155</v>
      </c>
      <c r="AR264">
        <v>0</v>
      </c>
      <c r="AS264">
        <v>0</v>
      </c>
      <c r="AT264">
        <v>70</v>
      </c>
      <c r="AU264">
        <v>10</v>
      </c>
      <c r="AV264">
        <v>1</v>
      </c>
      <c r="AW264">
        <v>1</v>
      </c>
      <c r="AZ264">
        <v>1</v>
      </c>
      <c r="BA264">
        <v>1</v>
      </c>
      <c r="BB264">
        <v>1</v>
      </c>
      <c r="BC264">
        <v>1</v>
      </c>
      <c r="BD264" t="s">
        <v>3</v>
      </c>
      <c r="BE264" t="s">
        <v>3</v>
      </c>
      <c r="BF264" t="s">
        <v>3</v>
      </c>
      <c r="BG264" t="s">
        <v>3</v>
      </c>
      <c r="BH264">
        <v>0</v>
      </c>
      <c r="BI264">
        <v>4</v>
      </c>
      <c r="BJ264" t="s">
        <v>264</v>
      </c>
      <c r="BM264">
        <v>0</v>
      </c>
      <c r="BN264">
        <v>0</v>
      </c>
      <c r="BO264" t="s">
        <v>3</v>
      </c>
      <c r="BP264">
        <v>0</v>
      </c>
      <c r="BQ264">
        <v>1</v>
      </c>
      <c r="BR264">
        <v>0</v>
      </c>
      <c r="BS264">
        <v>1</v>
      </c>
      <c r="BT264">
        <v>1</v>
      </c>
      <c r="BU264">
        <v>1</v>
      </c>
      <c r="BV264">
        <v>1</v>
      </c>
      <c r="BW264">
        <v>1</v>
      </c>
      <c r="BX264">
        <v>1</v>
      </c>
      <c r="BY264" t="s">
        <v>3</v>
      </c>
      <c r="BZ264">
        <v>70</v>
      </c>
      <c r="CA264">
        <v>10</v>
      </c>
      <c r="CE264">
        <v>0</v>
      </c>
      <c r="CF264">
        <v>0</v>
      </c>
      <c r="CG264">
        <v>0</v>
      </c>
      <c r="CM264">
        <v>0</v>
      </c>
      <c r="CN264" t="s">
        <v>3</v>
      </c>
      <c r="CO264">
        <v>0</v>
      </c>
      <c r="CP264">
        <f t="shared" si="244"/>
        <v>1753.54</v>
      </c>
      <c r="CQ264">
        <f t="shared" si="245"/>
        <v>0</v>
      </c>
      <c r="CR264">
        <f t="shared" si="246"/>
        <v>30548.7</v>
      </c>
      <c r="CS264">
        <f t="shared" si="247"/>
        <v>16864.419999999998</v>
      </c>
      <c r="CT264">
        <f t="shared" si="248"/>
        <v>30338.15</v>
      </c>
      <c r="CU264">
        <f t="shared" si="249"/>
        <v>0</v>
      </c>
      <c r="CV264">
        <f t="shared" si="250"/>
        <v>155</v>
      </c>
      <c r="CW264">
        <f t="shared" si="251"/>
        <v>0</v>
      </c>
      <c r="CX264">
        <f t="shared" si="252"/>
        <v>0</v>
      </c>
      <c r="CY264">
        <f t="shared" si="253"/>
        <v>611.61800000000005</v>
      </c>
      <c r="CZ264">
        <f t="shared" si="254"/>
        <v>87.373999999999995</v>
      </c>
      <c r="DC264" t="s">
        <v>3</v>
      </c>
      <c r="DD264" t="s">
        <v>3</v>
      </c>
      <c r="DE264" t="s">
        <v>3</v>
      </c>
      <c r="DF264" t="s">
        <v>3</v>
      </c>
      <c r="DG264" t="s">
        <v>3</v>
      </c>
      <c r="DH264" t="s">
        <v>3</v>
      </c>
      <c r="DI264" t="s">
        <v>3</v>
      </c>
      <c r="DJ264" t="s">
        <v>3</v>
      </c>
      <c r="DK264" t="s">
        <v>3</v>
      </c>
      <c r="DL264" t="s">
        <v>3</v>
      </c>
      <c r="DM264" t="s">
        <v>3</v>
      </c>
      <c r="DN264">
        <v>0</v>
      </c>
      <c r="DO264">
        <v>0</v>
      </c>
      <c r="DP264">
        <v>1</v>
      </c>
      <c r="DQ264">
        <v>1</v>
      </c>
      <c r="DU264">
        <v>1007</v>
      </c>
      <c r="DV264" t="s">
        <v>33</v>
      </c>
      <c r="DW264" t="s">
        <v>33</v>
      </c>
      <c r="DX264">
        <v>100</v>
      </c>
      <c r="EE264">
        <v>52362078</v>
      </c>
      <c r="EF264">
        <v>1</v>
      </c>
      <c r="EG264" t="s">
        <v>22</v>
      </c>
      <c r="EH264">
        <v>0</v>
      </c>
      <c r="EI264" t="s">
        <v>3</v>
      </c>
      <c r="EJ264">
        <v>4</v>
      </c>
      <c r="EK264">
        <v>0</v>
      </c>
      <c r="EL264" t="s">
        <v>23</v>
      </c>
      <c r="EM264" t="s">
        <v>24</v>
      </c>
      <c r="EO264" t="s">
        <v>3</v>
      </c>
      <c r="EQ264">
        <v>131072</v>
      </c>
      <c r="ER264">
        <v>60886.85</v>
      </c>
      <c r="ES264">
        <v>0</v>
      </c>
      <c r="ET264">
        <v>30548.7</v>
      </c>
      <c r="EU264">
        <v>16864.419999999998</v>
      </c>
      <c r="EV264">
        <v>30338.15</v>
      </c>
      <c r="EW264">
        <v>155</v>
      </c>
      <c r="EX264">
        <v>0</v>
      </c>
      <c r="EY264">
        <v>0</v>
      </c>
      <c r="FQ264">
        <v>0</v>
      </c>
      <c r="FR264">
        <f t="shared" si="255"/>
        <v>0</v>
      </c>
      <c r="FS264">
        <v>0</v>
      </c>
      <c r="FX264">
        <v>70</v>
      </c>
      <c r="FY264">
        <v>10</v>
      </c>
      <c r="GA264" t="s">
        <v>3</v>
      </c>
      <c r="GD264">
        <v>0</v>
      </c>
      <c r="GF264">
        <v>-985569131</v>
      </c>
      <c r="GG264">
        <v>2</v>
      </c>
      <c r="GH264">
        <v>1</v>
      </c>
      <c r="GI264">
        <v>-2</v>
      </c>
      <c r="GJ264">
        <v>0</v>
      </c>
      <c r="GK264">
        <f>ROUND(R264*(R12)/100,2)</f>
        <v>524.55999999999995</v>
      </c>
      <c r="GL264">
        <f t="shared" si="256"/>
        <v>0</v>
      </c>
      <c r="GM264">
        <f t="shared" si="257"/>
        <v>2977.09</v>
      </c>
      <c r="GN264">
        <f t="shared" si="258"/>
        <v>0</v>
      </c>
      <c r="GO264">
        <f t="shared" si="259"/>
        <v>0</v>
      </c>
      <c r="GP264">
        <f t="shared" si="260"/>
        <v>2977.09</v>
      </c>
      <c r="GR264">
        <v>0</v>
      </c>
      <c r="GS264">
        <v>3</v>
      </c>
      <c r="GT264">
        <v>0</v>
      </c>
      <c r="GU264" t="s">
        <v>3</v>
      </c>
      <c r="GV264">
        <f t="shared" si="261"/>
        <v>0</v>
      </c>
      <c r="GW264">
        <v>1</v>
      </c>
      <c r="GX264">
        <f t="shared" si="262"/>
        <v>0</v>
      </c>
      <c r="HA264">
        <v>0</v>
      </c>
      <c r="HB264">
        <v>0</v>
      </c>
      <c r="HC264">
        <f t="shared" si="263"/>
        <v>0</v>
      </c>
      <c r="HE264" t="s">
        <v>3</v>
      </c>
      <c r="HF264" t="s">
        <v>3</v>
      </c>
      <c r="IK264">
        <v>0</v>
      </c>
    </row>
    <row r="265" spans="1:245" x14ac:dyDescent="0.2">
      <c r="A265">
        <v>17</v>
      </c>
      <c r="B265">
        <v>1</v>
      </c>
      <c r="C265">
        <f>ROW(SmtRes!A254)</f>
        <v>254</v>
      </c>
      <c r="D265">
        <f>ROW(EtalonRes!A243)</f>
        <v>243</v>
      </c>
      <c r="E265" t="s">
        <v>265</v>
      </c>
      <c r="F265" t="s">
        <v>266</v>
      </c>
      <c r="G265" t="s">
        <v>267</v>
      </c>
      <c r="H265" t="s">
        <v>33</v>
      </c>
      <c r="I265">
        <f>ROUND(6.92/100,9)</f>
        <v>6.9199999999999998E-2</v>
      </c>
      <c r="J265">
        <v>0</v>
      </c>
      <c r="O265">
        <f t="shared" si="224"/>
        <v>329.94</v>
      </c>
      <c r="P265">
        <f t="shared" si="225"/>
        <v>0</v>
      </c>
      <c r="Q265">
        <f t="shared" si="226"/>
        <v>230.8</v>
      </c>
      <c r="R265">
        <f t="shared" si="227"/>
        <v>111.47</v>
      </c>
      <c r="S265">
        <f t="shared" si="228"/>
        <v>99.14</v>
      </c>
      <c r="T265">
        <f t="shared" si="229"/>
        <v>0</v>
      </c>
      <c r="U265">
        <f t="shared" si="230"/>
        <v>0.80963999999999992</v>
      </c>
      <c r="V265">
        <f t="shared" si="231"/>
        <v>0</v>
      </c>
      <c r="W265">
        <f t="shared" si="232"/>
        <v>0</v>
      </c>
      <c r="X265">
        <f t="shared" si="233"/>
        <v>69.400000000000006</v>
      </c>
      <c r="Y265">
        <f t="shared" si="234"/>
        <v>9.91</v>
      </c>
      <c r="AA265">
        <v>52430918</v>
      </c>
      <c r="AB265">
        <f t="shared" si="235"/>
        <v>4767.8500000000004</v>
      </c>
      <c r="AC265">
        <f t="shared" si="236"/>
        <v>0</v>
      </c>
      <c r="AD265">
        <f t="shared" si="237"/>
        <v>3335.19</v>
      </c>
      <c r="AE265">
        <f t="shared" si="238"/>
        <v>1610.9</v>
      </c>
      <c r="AF265">
        <f t="shared" si="239"/>
        <v>1432.66</v>
      </c>
      <c r="AG265">
        <f t="shared" si="240"/>
        <v>0</v>
      </c>
      <c r="AH265">
        <f t="shared" si="241"/>
        <v>11.7</v>
      </c>
      <c r="AI265">
        <f t="shared" si="242"/>
        <v>0</v>
      </c>
      <c r="AJ265">
        <f t="shared" si="243"/>
        <v>0</v>
      </c>
      <c r="AK265">
        <v>4767.8500000000004</v>
      </c>
      <c r="AL265">
        <v>0</v>
      </c>
      <c r="AM265">
        <v>3335.19</v>
      </c>
      <c r="AN265">
        <v>1610.9</v>
      </c>
      <c r="AO265">
        <v>1432.66</v>
      </c>
      <c r="AP265">
        <v>0</v>
      </c>
      <c r="AQ265">
        <v>11.7</v>
      </c>
      <c r="AR265">
        <v>0</v>
      </c>
      <c r="AS265">
        <v>0</v>
      </c>
      <c r="AT265">
        <v>70</v>
      </c>
      <c r="AU265">
        <v>10</v>
      </c>
      <c r="AV265">
        <v>1</v>
      </c>
      <c r="AW265">
        <v>1</v>
      </c>
      <c r="AZ265">
        <v>1</v>
      </c>
      <c r="BA265">
        <v>1</v>
      </c>
      <c r="BB265">
        <v>1</v>
      </c>
      <c r="BC265">
        <v>1</v>
      </c>
      <c r="BD265" t="s">
        <v>3</v>
      </c>
      <c r="BE265" t="s">
        <v>3</v>
      </c>
      <c r="BF265" t="s">
        <v>3</v>
      </c>
      <c r="BG265" t="s">
        <v>3</v>
      </c>
      <c r="BH265">
        <v>0</v>
      </c>
      <c r="BI265">
        <v>4</v>
      </c>
      <c r="BJ265" t="s">
        <v>268</v>
      </c>
      <c r="BM265">
        <v>0</v>
      </c>
      <c r="BN265">
        <v>0</v>
      </c>
      <c r="BO265" t="s">
        <v>3</v>
      </c>
      <c r="BP265">
        <v>0</v>
      </c>
      <c r="BQ265">
        <v>1</v>
      </c>
      <c r="BR265">
        <v>0</v>
      </c>
      <c r="BS265">
        <v>1</v>
      </c>
      <c r="BT265">
        <v>1</v>
      </c>
      <c r="BU265">
        <v>1</v>
      </c>
      <c r="BV265">
        <v>1</v>
      </c>
      <c r="BW265">
        <v>1</v>
      </c>
      <c r="BX265">
        <v>1</v>
      </c>
      <c r="BY265" t="s">
        <v>3</v>
      </c>
      <c r="BZ265">
        <v>70</v>
      </c>
      <c r="CA265">
        <v>10</v>
      </c>
      <c r="CE265">
        <v>0</v>
      </c>
      <c r="CF265">
        <v>0</v>
      </c>
      <c r="CG265">
        <v>0</v>
      </c>
      <c r="CM265">
        <v>0</v>
      </c>
      <c r="CN265" t="s">
        <v>3</v>
      </c>
      <c r="CO265">
        <v>0</v>
      </c>
      <c r="CP265">
        <f t="shared" si="244"/>
        <v>329.94</v>
      </c>
      <c r="CQ265">
        <f t="shared" si="245"/>
        <v>0</v>
      </c>
      <c r="CR265">
        <f t="shared" si="246"/>
        <v>3335.19</v>
      </c>
      <c r="CS265">
        <f t="shared" si="247"/>
        <v>1610.9</v>
      </c>
      <c r="CT265">
        <f t="shared" si="248"/>
        <v>1432.66</v>
      </c>
      <c r="CU265">
        <f t="shared" si="249"/>
        <v>0</v>
      </c>
      <c r="CV265">
        <f t="shared" si="250"/>
        <v>11.7</v>
      </c>
      <c r="CW265">
        <f t="shared" si="251"/>
        <v>0</v>
      </c>
      <c r="CX265">
        <f t="shared" si="252"/>
        <v>0</v>
      </c>
      <c r="CY265">
        <f t="shared" si="253"/>
        <v>69.397999999999996</v>
      </c>
      <c r="CZ265">
        <f t="shared" si="254"/>
        <v>9.9139999999999997</v>
      </c>
      <c r="DC265" t="s">
        <v>3</v>
      </c>
      <c r="DD265" t="s">
        <v>3</v>
      </c>
      <c r="DE265" t="s">
        <v>3</v>
      </c>
      <c r="DF265" t="s">
        <v>3</v>
      </c>
      <c r="DG265" t="s">
        <v>3</v>
      </c>
      <c r="DH265" t="s">
        <v>3</v>
      </c>
      <c r="DI265" t="s">
        <v>3</v>
      </c>
      <c r="DJ265" t="s">
        <v>3</v>
      </c>
      <c r="DK265" t="s">
        <v>3</v>
      </c>
      <c r="DL265" t="s">
        <v>3</v>
      </c>
      <c r="DM265" t="s">
        <v>3</v>
      </c>
      <c r="DN265">
        <v>0</v>
      </c>
      <c r="DO265">
        <v>0</v>
      </c>
      <c r="DP265">
        <v>1</v>
      </c>
      <c r="DQ265">
        <v>1</v>
      </c>
      <c r="DU265">
        <v>1007</v>
      </c>
      <c r="DV265" t="s">
        <v>33</v>
      </c>
      <c r="DW265" t="s">
        <v>33</v>
      </c>
      <c r="DX265">
        <v>100</v>
      </c>
      <c r="EE265">
        <v>52362078</v>
      </c>
      <c r="EF265">
        <v>1</v>
      </c>
      <c r="EG265" t="s">
        <v>22</v>
      </c>
      <c r="EH265">
        <v>0</v>
      </c>
      <c r="EI265" t="s">
        <v>3</v>
      </c>
      <c r="EJ265">
        <v>4</v>
      </c>
      <c r="EK265">
        <v>0</v>
      </c>
      <c r="EL265" t="s">
        <v>23</v>
      </c>
      <c r="EM265" t="s">
        <v>24</v>
      </c>
      <c r="EO265" t="s">
        <v>3</v>
      </c>
      <c r="EQ265">
        <v>131072</v>
      </c>
      <c r="ER265">
        <v>4767.8500000000004</v>
      </c>
      <c r="ES265">
        <v>0</v>
      </c>
      <c r="ET265">
        <v>3335.19</v>
      </c>
      <c r="EU265">
        <v>1610.9</v>
      </c>
      <c r="EV265">
        <v>1432.66</v>
      </c>
      <c r="EW265">
        <v>11.7</v>
      </c>
      <c r="EX265">
        <v>0</v>
      </c>
      <c r="EY265">
        <v>0</v>
      </c>
      <c r="FQ265">
        <v>0</v>
      </c>
      <c r="FR265">
        <f t="shared" si="255"/>
        <v>0</v>
      </c>
      <c r="FS265">
        <v>0</v>
      </c>
      <c r="FX265">
        <v>70</v>
      </c>
      <c r="FY265">
        <v>10</v>
      </c>
      <c r="GA265" t="s">
        <v>3</v>
      </c>
      <c r="GD265">
        <v>0</v>
      </c>
      <c r="GF265">
        <v>316034788</v>
      </c>
      <c r="GG265">
        <v>2</v>
      </c>
      <c r="GH265">
        <v>1</v>
      </c>
      <c r="GI265">
        <v>-2</v>
      </c>
      <c r="GJ265">
        <v>0</v>
      </c>
      <c r="GK265">
        <f>ROUND(R265*(R12)/100,2)</f>
        <v>120.39</v>
      </c>
      <c r="GL265">
        <f t="shared" si="256"/>
        <v>0</v>
      </c>
      <c r="GM265">
        <f t="shared" si="257"/>
        <v>529.64</v>
      </c>
      <c r="GN265">
        <f t="shared" si="258"/>
        <v>0</v>
      </c>
      <c r="GO265">
        <f t="shared" si="259"/>
        <v>0</v>
      </c>
      <c r="GP265">
        <f t="shared" si="260"/>
        <v>529.64</v>
      </c>
      <c r="GR265">
        <v>0</v>
      </c>
      <c r="GS265">
        <v>3</v>
      </c>
      <c r="GT265">
        <v>0</v>
      </c>
      <c r="GU265" t="s">
        <v>3</v>
      </c>
      <c r="GV265">
        <f t="shared" si="261"/>
        <v>0</v>
      </c>
      <c r="GW265">
        <v>1</v>
      </c>
      <c r="GX265">
        <f t="shared" si="262"/>
        <v>0</v>
      </c>
      <c r="HA265">
        <v>0</v>
      </c>
      <c r="HB265">
        <v>0</v>
      </c>
      <c r="HC265">
        <f t="shared" si="263"/>
        <v>0</v>
      </c>
      <c r="HE265" t="s">
        <v>3</v>
      </c>
      <c r="HF265" t="s">
        <v>3</v>
      </c>
      <c r="IK265">
        <v>0</v>
      </c>
    </row>
    <row r="266" spans="1:245" x14ac:dyDescent="0.2">
      <c r="A266">
        <v>17</v>
      </c>
      <c r="B266">
        <v>1</v>
      </c>
      <c r="C266">
        <f>ROW(SmtRes!A257)</f>
        <v>257</v>
      </c>
      <c r="D266">
        <f>ROW(EtalonRes!A246)</f>
        <v>246</v>
      </c>
      <c r="E266" t="s">
        <v>269</v>
      </c>
      <c r="F266" t="s">
        <v>270</v>
      </c>
      <c r="G266" t="s">
        <v>271</v>
      </c>
      <c r="H266" t="s">
        <v>33</v>
      </c>
      <c r="I266">
        <f>ROUND(25.3/100,9)</f>
        <v>0.253</v>
      </c>
      <c r="J266">
        <v>0</v>
      </c>
      <c r="O266">
        <f t="shared" si="224"/>
        <v>2399.1</v>
      </c>
      <c r="P266">
        <f t="shared" si="225"/>
        <v>0</v>
      </c>
      <c r="Q266">
        <f t="shared" si="226"/>
        <v>2297.59</v>
      </c>
      <c r="R266">
        <f t="shared" si="227"/>
        <v>1020.11</v>
      </c>
      <c r="S266">
        <f t="shared" si="228"/>
        <v>101.51</v>
      </c>
      <c r="T266">
        <f t="shared" si="229"/>
        <v>0</v>
      </c>
      <c r="U266">
        <f t="shared" si="230"/>
        <v>0.56166000000000005</v>
      </c>
      <c r="V266">
        <f t="shared" si="231"/>
        <v>0</v>
      </c>
      <c r="W266">
        <f t="shared" si="232"/>
        <v>0</v>
      </c>
      <c r="X266">
        <f t="shared" si="233"/>
        <v>71.06</v>
      </c>
      <c r="Y266">
        <f t="shared" si="234"/>
        <v>10.15</v>
      </c>
      <c r="AA266">
        <v>52430918</v>
      </c>
      <c r="AB266">
        <f t="shared" si="235"/>
        <v>9482.6299999999992</v>
      </c>
      <c r="AC266">
        <f t="shared" si="236"/>
        <v>0</v>
      </c>
      <c r="AD266">
        <f t="shared" si="237"/>
        <v>9081.39</v>
      </c>
      <c r="AE266">
        <f t="shared" si="238"/>
        <v>4032.07</v>
      </c>
      <c r="AF266">
        <f t="shared" si="239"/>
        <v>401.24</v>
      </c>
      <c r="AG266">
        <f t="shared" si="240"/>
        <v>0</v>
      </c>
      <c r="AH266">
        <f t="shared" si="241"/>
        <v>2.2200000000000002</v>
      </c>
      <c r="AI266">
        <f t="shared" si="242"/>
        <v>0</v>
      </c>
      <c r="AJ266">
        <f t="shared" si="243"/>
        <v>0</v>
      </c>
      <c r="AK266">
        <v>9482.6299999999992</v>
      </c>
      <c r="AL266">
        <v>0</v>
      </c>
      <c r="AM266">
        <v>9081.39</v>
      </c>
      <c r="AN266">
        <v>4032.07</v>
      </c>
      <c r="AO266">
        <v>401.24</v>
      </c>
      <c r="AP266">
        <v>0</v>
      </c>
      <c r="AQ266">
        <v>2.2200000000000002</v>
      </c>
      <c r="AR266">
        <v>0</v>
      </c>
      <c r="AS266">
        <v>0</v>
      </c>
      <c r="AT266">
        <v>70</v>
      </c>
      <c r="AU266">
        <v>10</v>
      </c>
      <c r="AV266">
        <v>1</v>
      </c>
      <c r="AW266">
        <v>1</v>
      </c>
      <c r="AZ266">
        <v>1</v>
      </c>
      <c r="BA266">
        <v>1</v>
      </c>
      <c r="BB266">
        <v>1</v>
      </c>
      <c r="BC266">
        <v>1</v>
      </c>
      <c r="BD266" t="s">
        <v>3</v>
      </c>
      <c r="BE266" t="s">
        <v>3</v>
      </c>
      <c r="BF266" t="s">
        <v>3</v>
      </c>
      <c r="BG266" t="s">
        <v>3</v>
      </c>
      <c r="BH266">
        <v>0</v>
      </c>
      <c r="BI266">
        <v>4</v>
      </c>
      <c r="BJ266" t="s">
        <v>272</v>
      </c>
      <c r="BM266">
        <v>0</v>
      </c>
      <c r="BN266">
        <v>0</v>
      </c>
      <c r="BO266" t="s">
        <v>3</v>
      </c>
      <c r="BP266">
        <v>0</v>
      </c>
      <c r="BQ266">
        <v>1</v>
      </c>
      <c r="BR266">
        <v>0</v>
      </c>
      <c r="BS266">
        <v>1</v>
      </c>
      <c r="BT266">
        <v>1</v>
      </c>
      <c r="BU266">
        <v>1</v>
      </c>
      <c r="BV266">
        <v>1</v>
      </c>
      <c r="BW266">
        <v>1</v>
      </c>
      <c r="BX266">
        <v>1</v>
      </c>
      <c r="BY266" t="s">
        <v>3</v>
      </c>
      <c r="BZ266">
        <v>70</v>
      </c>
      <c r="CA266">
        <v>10</v>
      </c>
      <c r="CE266">
        <v>0</v>
      </c>
      <c r="CF266">
        <v>0</v>
      </c>
      <c r="CG266">
        <v>0</v>
      </c>
      <c r="CM266">
        <v>0</v>
      </c>
      <c r="CN266" t="s">
        <v>3</v>
      </c>
      <c r="CO266">
        <v>0</v>
      </c>
      <c r="CP266">
        <f t="shared" si="244"/>
        <v>2399.1000000000004</v>
      </c>
      <c r="CQ266">
        <f t="shared" si="245"/>
        <v>0</v>
      </c>
      <c r="CR266">
        <f t="shared" si="246"/>
        <v>9081.39</v>
      </c>
      <c r="CS266">
        <f t="shared" si="247"/>
        <v>4032.07</v>
      </c>
      <c r="CT266">
        <f t="shared" si="248"/>
        <v>401.24</v>
      </c>
      <c r="CU266">
        <f t="shared" si="249"/>
        <v>0</v>
      </c>
      <c r="CV266">
        <f t="shared" si="250"/>
        <v>2.2200000000000002</v>
      </c>
      <c r="CW266">
        <f t="shared" si="251"/>
        <v>0</v>
      </c>
      <c r="CX266">
        <f t="shared" si="252"/>
        <v>0</v>
      </c>
      <c r="CY266">
        <f t="shared" si="253"/>
        <v>71.057000000000002</v>
      </c>
      <c r="CZ266">
        <f t="shared" si="254"/>
        <v>10.151</v>
      </c>
      <c r="DC266" t="s">
        <v>3</v>
      </c>
      <c r="DD266" t="s">
        <v>3</v>
      </c>
      <c r="DE266" t="s">
        <v>3</v>
      </c>
      <c r="DF266" t="s">
        <v>3</v>
      </c>
      <c r="DG266" t="s">
        <v>3</v>
      </c>
      <c r="DH266" t="s">
        <v>3</v>
      </c>
      <c r="DI266" t="s">
        <v>3</v>
      </c>
      <c r="DJ266" t="s">
        <v>3</v>
      </c>
      <c r="DK266" t="s">
        <v>3</v>
      </c>
      <c r="DL266" t="s">
        <v>3</v>
      </c>
      <c r="DM266" t="s">
        <v>3</v>
      </c>
      <c r="DN266">
        <v>0</v>
      </c>
      <c r="DO266">
        <v>0</v>
      </c>
      <c r="DP266">
        <v>1</v>
      </c>
      <c r="DQ266">
        <v>1</v>
      </c>
      <c r="DU266">
        <v>1007</v>
      </c>
      <c r="DV266" t="s">
        <v>33</v>
      </c>
      <c r="DW266" t="s">
        <v>33</v>
      </c>
      <c r="DX266">
        <v>100</v>
      </c>
      <c r="EE266">
        <v>52362078</v>
      </c>
      <c r="EF266">
        <v>1</v>
      </c>
      <c r="EG266" t="s">
        <v>22</v>
      </c>
      <c r="EH266">
        <v>0</v>
      </c>
      <c r="EI266" t="s">
        <v>3</v>
      </c>
      <c r="EJ266">
        <v>4</v>
      </c>
      <c r="EK266">
        <v>0</v>
      </c>
      <c r="EL266" t="s">
        <v>23</v>
      </c>
      <c r="EM266" t="s">
        <v>24</v>
      </c>
      <c r="EO266" t="s">
        <v>3</v>
      </c>
      <c r="EQ266">
        <v>131072</v>
      </c>
      <c r="ER266">
        <v>9482.6299999999992</v>
      </c>
      <c r="ES266">
        <v>0</v>
      </c>
      <c r="ET266">
        <v>9081.39</v>
      </c>
      <c r="EU266">
        <v>4032.07</v>
      </c>
      <c r="EV266">
        <v>401.24</v>
      </c>
      <c r="EW266">
        <v>2.2200000000000002</v>
      </c>
      <c r="EX266">
        <v>0</v>
      </c>
      <c r="EY266">
        <v>0</v>
      </c>
      <c r="FQ266">
        <v>0</v>
      </c>
      <c r="FR266">
        <f t="shared" si="255"/>
        <v>0</v>
      </c>
      <c r="FS266">
        <v>0</v>
      </c>
      <c r="FX266">
        <v>70</v>
      </c>
      <c r="FY266">
        <v>10</v>
      </c>
      <c r="GA266" t="s">
        <v>3</v>
      </c>
      <c r="GD266">
        <v>0</v>
      </c>
      <c r="GF266">
        <v>1067523940</v>
      </c>
      <c r="GG266">
        <v>2</v>
      </c>
      <c r="GH266">
        <v>1</v>
      </c>
      <c r="GI266">
        <v>-2</v>
      </c>
      <c r="GJ266">
        <v>0</v>
      </c>
      <c r="GK266">
        <f>ROUND(R266*(R12)/100,2)</f>
        <v>1101.72</v>
      </c>
      <c r="GL266">
        <f t="shared" si="256"/>
        <v>0</v>
      </c>
      <c r="GM266">
        <f t="shared" si="257"/>
        <v>3582.03</v>
      </c>
      <c r="GN266">
        <f t="shared" si="258"/>
        <v>0</v>
      </c>
      <c r="GO266">
        <f t="shared" si="259"/>
        <v>0</v>
      </c>
      <c r="GP266">
        <f t="shared" si="260"/>
        <v>3582.03</v>
      </c>
      <c r="GR266">
        <v>0</v>
      </c>
      <c r="GS266">
        <v>3</v>
      </c>
      <c r="GT266">
        <v>0</v>
      </c>
      <c r="GU266" t="s">
        <v>3</v>
      </c>
      <c r="GV266">
        <f t="shared" si="261"/>
        <v>0</v>
      </c>
      <c r="GW266">
        <v>1</v>
      </c>
      <c r="GX266">
        <f t="shared" si="262"/>
        <v>0</v>
      </c>
      <c r="HA266">
        <v>0</v>
      </c>
      <c r="HB266">
        <v>0</v>
      </c>
      <c r="HC266">
        <f t="shared" si="263"/>
        <v>0</v>
      </c>
      <c r="HE266" t="s">
        <v>3</v>
      </c>
      <c r="HF266" t="s">
        <v>3</v>
      </c>
      <c r="IK266">
        <v>0</v>
      </c>
    </row>
    <row r="267" spans="1:245" x14ac:dyDescent="0.2">
      <c r="A267">
        <v>17</v>
      </c>
      <c r="B267">
        <v>1</v>
      </c>
      <c r="C267">
        <f>ROW(SmtRes!A265)</f>
        <v>265</v>
      </c>
      <c r="D267">
        <f>ROW(EtalonRes!A254)</f>
        <v>254</v>
      </c>
      <c r="E267" t="s">
        <v>273</v>
      </c>
      <c r="F267" t="s">
        <v>31</v>
      </c>
      <c r="G267" t="s">
        <v>32</v>
      </c>
      <c r="H267" t="s">
        <v>33</v>
      </c>
      <c r="I267">
        <f>ROUND(10.12/100,9)</f>
        <v>0.1012</v>
      </c>
      <c r="J267">
        <v>0</v>
      </c>
      <c r="O267">
        <f t="shared" si="224"/>
        <v>7677.42</v>
      </c>
      <c r="P267">
        <f t="shared" si="225"/>
        <v>6594.4</v>
      </c>
      <c r="Q267">
        <f t="shared" si="226"/>
        <v>769.35</v>
      </c>
      <c r="R267">
        <f t="shared" si="227"/>
        <v>326.17</v>
      </c>
      <c r="S267">
        <f t="shared" si="228"/>
        <v>313.67</v>
      </c>
      <c r="T267">
        <f t="shared" si="229"/>
        <v>0</v>
      </c>
      <c r="U267">
        <f t="shared" si="230"/>
        <v>1.6758719999999998</v>
      </c>
      <c r="V267">
        <f t="shared" si="231"/>
        <v>0</v>
      </c>
      <c r="W267">
        <f t="shared" si="232"/>
        <v>0</v>
      </c>
      <c r="X267">
        <f t="shared" si="233"/>
        <v>219.57</v>
      </c>
      <c r="Y267">
        <f t="shared" si="234"/>
        <v>31.37</v>
      </c>
      <c r="AA267">
        <v>52430918</v>
      </c>
      <c r="AB267">
        <f t="shared" si="235"/>
        <v>75863.820000000007</v>
      </c>
      <c r="AC267">
        <f t="shared" si="236"/>
        <v>65162.05</v>
      </c>
      <c r="AD267">
        <f t="shared" si="237"/>
        <v>7602.23</v>
      </c>
      <c r="AE267">
        <f t="shared" si="238"/>
        <v>3222.98</v>
      </c>
      <c r="AF267">
        <f t="shared" si="239"/>
        <v>3099.54</v>
      </c>
      <c r="AG267">
        <f t="shared" si="240"/>
        <v>0</v>
      </c>
      <c r="AH267">
        <f t="shared" si="241"/>
        <v>16.559999999999999</v>
      </c>
      <c r="AI267">
        <f t="shared" si="242"/>
        <v>0</v>
      </c>
      <c r="AJ267">
        <f t="shared" si="243"/>
        <v>0</v>
      </c>
      <c r="AK267">
        <v>75863.820000000007</v>
      </c>
      <c r="AL267">
        <v>65162.05</v>
      </c>
      <c r="AM267">
        <v>7602.23</v>
      </c>
      <c r="AN267">
        <v>3222.98</v>
      </c>
      <c r="AO267">
        <v>3099.54</v>
      </c>
      <c r="AP267">
        <v>0</v>
      </c>
      <c r="AQ267">
        <v>16.559999999999999</v>
      </c>
      <c r="AR267">
        <v>0</v>
      </c>
      <c r="AS267">
        <v>0</v>
      </c>
      <c r="AT267">
        <v>70</v>
      </c>
      <c r="AU267">
        <v>10</v>
      </c>
      <c r="AV267">
        <v>1</v>
      </c>
      <c r="AW267">
        <v>1</v>
      </c>
      <c r="AZ267">
        <v>1</v>
      </c>
      <c r="BA267">
        <v>1</v>
      </c>
      <c r="BB267">
        <v>1</v>
      </c>
      <c r="BC267">
        <v>1</v>
      </c>
      <c r="BD267" t="s">
        <v>3</v>
      </c>
      <c r="BE267" t="s">
        <v>3</v>
      </c>
      <c r="BF267" t="s">
        <v>3</v>
      </c>
      <c r="BG267" t="s">
        <v>3</v>
      </c>
      <c r="BH267">
        <v>0</v>
      </c>
      <c r="BI267">
        <v>4</v>
      </c>
      <c r="BJ267" t="s">
        <v>34</v>
      </c>
      <c r="BM267">
        <v>0</v>
      </c>
      <c r="BN267">
        <v>0</v>
      </c>
      <c r="BO267" t="s">
        <v>3</v>
      </c>
      <c r="BP267">
        <v>0</v>
      </c>
      <c r="BQ267">
        <v>1</v>
      </c>
      <c r="BR267">
        <v>0</v>
      </c>
      <c r="BS267">
        <v>1</v>
      </c>
      <c r="BT267">
        <v>1</v>
      </c>
      <c r="BU267">
        <v>1</v>
      </c>
      <c r="BV267">
        <v>1</v>
      </c>
      <c r="BW267">
        <v>1</v>
      </c>
      <c r="BX267">
        <v>1</v>
      </c>
      <c r="BY267" t="s">
        <v>3</v>
      </c>
      <c r="BZ267">
        <v>70</v>
      </c>
      <c r="CA267">
        <v>10</v>
      </c>
      <c r="CE267">
        <v>0</v>
      </c>
      <c r="CF267">
        <v>0</v>
      </c>
      <c r="CG267">
        <v>0</v>
      </c>
      <c r="CM267">
        <v>0</v>
      </c>
      <c r="CN267" t="s">
        <v>3</v>
      </c>
      <c r="CO267">
        <v>0</v>
      </c>
      <c r="CP267">
        <f t="shared" si="244"/>
        <v>7677.42</v>
      </c>
      <c r="CQ267">
        <f t="shared" si="245"/>
        <v>65162.05</v>
      </c>
      <c r="CR267">
        <f t="shared" si="246"/>
        <v>7602.23</v>
      </c>
      <c r="CS267">
        <f t="shared" si="247"/>
        <v>3222.98</v>
      </c>
      <c r="CT267">
        <f t="shared" si="248"/>
        <v>3099.54</v>
      </c>
      <c r="CU267">
        <f t="shared" si="249"/>
        <v>0</v>
      </c>
      <c r="CV267">
        <f t="shared" si="250"/>
        <v>16.559999999999999</v>
      </c>
      <c r="CW267">
        <f t="shared" si="251"/>
        <v>0</v>
      </c>
      <c r="CX267">
        <f t="shared" si="252"/>
        <v>0</v>
      </c>
      <c r="CY267">
        <f t="shared" si="253"/>
        <v>219.56900000000002</v>
      </c>
      <c r="CZ267">
        <f t="shared" si="254"/>
        <v>31.367000000000004</v>
      </c>
      <c r="DC267" t="s">
        <v>3</v>
      </c>
      <c r="DD267" t="s">
        <v>3</v>
      </c>
      <c r="DE267" t="s">
        <v>3</v>
      </c>
      <c r="DF267" t="s">
        <v>3</v>
      </c>
      <c r="DG267" t="s">
        <v>3</v>
      </c>
      <c r="DH267" t="s">
        <v>3</v>
      </c>
      <c r="DI267" t="s">
        <v>3</v>
      </c>
      <c r="DJ267" t="s">
        <v>3</v>
      </c>
      <c r="DK267" t="s">
        <v>3</v>
      </c>
      <c r="DL267" t="s">
        <v>3</v>
      </c>
      <c r="DM267" t="s">
        <v>3</v>
      </c>
      <c r="DN267">
        <v>0</v>
      </c>
      <c r="DO267">
        <v>0</v>
      </c>
      <c r="DP267">
        <v>1</v>
      </c>
      <c r="DQ267">
        <v>1</v>
      </c>
      <c r="DU267">
        <v>1007</v>
      </c>
      <c r="DV267" t="s">
        <v>33</v>
      </c>
      <c r="DW267" t="s">
        <v>33</v>
      </c>
      <c r="DX267">
        <v>100</v>
      </c>
      <c r="EE267">
        <v>52362078</v>
      </c>
      <c r="EF267">
        <v>1</v>
      </c>
      <c r="EG267" t="s">
        <v>22</v>
      </c>
      <c r="EH267">
        <v>0</v>
      </c>
      <c r="EI267" t="s">
        <v>3</v>
      </c>
      <c r="EJ267">
        <v>4</v>
      </c>
      <c r="EK267">
        <v>0</v>
      </c>
      <c r="EL267" t="s">
        <v>23</v>
      </c>
      <c r="EM267" t="s">
        <v>24</v>
      </c>
      <c r="EO267" t="s">
        <v>3</v>
      </c>
      <c r="EQ267">
        <v>131072</v>
      </c>
      <c r="ER267">
        <v>75863.820000000007</v>
      </c>
      <c r="ES267">
        <v>65162.05</v>
      </c>
      <c r="ET267">
        <v>7602.23</v>
      </c>
      <c r="EU267">
        <v>3222.98</v>
      </c>
      <c r="EV267">
        <v>3099.54</v>
      </c>
      <c r="EW267">
        <v>16.559999999999999</v>
      </c>
      <c r="EX267">
        <v>0</v>
      </c>
      <c r="EY267">
        <v>0</v>
      </c>
      <c r="FQ267">
        <v>0</v>
      </c>
      <c r="FR267">
        <f t="shared" si="255"/>
        <v>0</v>
      </c>
      <c r="FS267">
        <v>0</v>
      </c>
      <c r="FX267">
        <v>70</v>
      </c>
      <c r="FY267">
        <v>10</v>
      </c>
      <c r="GA267" t="s">
        <v>3</v>
      </c>
      <c r="GD267">
        <v>0</v>
      </c>
      <c r="GF267">
        <v>-652740390</v>
      </c>
      <c r="GG267">
        <v>2</v>
      </c>
      <c r="GH267">
        <v>1</v>
      </c>
      <c r="GI267">
        <v>-2</v>
      </c>
      <c r="GJ267">
        <v>0</v>
      </c>
      <c r="GK267">
        <f>ROUND(R267*(R12)/100,2)</f>
        <v>352.26</v>
      </c>
      <c r="GL267">
        <f t="shared" si="256"/>
        <v>0</v>
      </c>
      <c r="GM267">
        <f t="shared" si="257"/>
        <v>8280.6200000000008</v>
      </c>
      <c r="GN267">
        <f t="shared" si="258"/>
        <v>0</v>
      </c>
      <c r="GO267">
        <f t="shared" si="259"/>
        <v>0</v>
      </c>
      <c r="GP267">
        <f t="shared" si="260"/>
        <v>8280.6200000000008</v>
      </c>
      <c r="GR267">
        <v>0</v>
      </c>
      <c r="GS267">
        <v>3</v>
      </c>
      <c r="GT267">
        <v>0</v>
      </c>
      <c r="GU267" t="s">
        <v>3</v>
      </c>
      <c r="GV267">
        <f t="shared" si="261"/>
        <v>0</v>
      </c>
      <c r="GW267">
        <v>1</v>
      </c>
      <c r="GX267">
        <f t="shared" si="262"/>
        <v>0</v>
      </c>
      <c r="HA267">
        <v>0</v>
      </c>
      <c r="HB267">
        <v>0</v>
      </c>
      <c r="HC267">
        <f t="shared" si="263"/>
        <v>0</v>
      </c>
      <c r="HE267" t="s">
        <v>3</v>
      </c>
      <c r="HF267" t="s">
        <v>3</v>
      </c>
      <c r="IK267">
        <v>0</v>
      </c>
    </row>
    <row r="268" spans="1:245" x14ac:dyDescent="0.2">
      <c r="A268">
        <v>17</v>
      </c>
      <c r="B268">
        <v>1</v>
      </c>
      <c r="C268">
        <f>ROW(SmtRes!A271)</f>
        <v>271</v>
      </c>
      <c r="D268">
        <f>ROW(EtalonRes!A259)</f>
        <v>259</v>
      </c>
      <c r="E268" t="s">
        <v>274</v>
      </c>
      <c r="F268" t="s">
        <v>36</v>
      </c>
      <c r="G268" t="s">
        <v>37</v>
      </c>
      <c r="H268" t="s">
        <v>38</v>
      </c>
      <c r="I268">
        <f>ROUND(101.2/100,9)</f>
        <v>1.012</v>
      </c>
      <c r="J268">
        <v>0</v>
      </c>
      <c r="O268">
        <f t="shared" si="224"/>
        <v>34357.74</v>
      </c>
      <c r="P268">
        <f t="shared" si="225"/>
        <v>25366.39</v>
      </c>
      <c r="Q268">
        <f t="shared" si="226"/>
        <v>3275.22</v>
      </c>
      <c r="R268">
        <f t="shared" si="227"/>
        <v>1142.73</v>
      </c>
      <c r="S268">
        <f t="shared" si="228"/>
        <v>5716.13</v>
      </c>
      <c r="T268">
        <f t="shared" si="229"/>
        <v>0</v>
      </c>
      <c r="U268">
        <f t="shared" si="230"/>
        <v>28.275280000000002</v>
      </c>
      <c r="V268">
        <f t="shared" si="231"/>
        <v>0</v>
      </c>
      <c r="W268">
        <f t="shared" si="232"/>
        <v>0</v>
      </c>
      <c r="X268">
        <f t="shared" si="233"/>
        <v>4001.29</v>
      </c>
      <c r="Y268">
        <f t="shared" si="234"/>
        <v>571.61</v>
      </c>
      <c r="AA268">
        <v>52430918</v>
      </c>
      <c r="AB268">
        <f t="shared" si="235"/>
        <v>33950.33</v>
      </c>
      <c r="AC268">
        <f t="shared" si="236"/>
        <v>25065.599999999999</v>
      </c>
      <c r="AD268">
        <f t="shared" si="237"/>
        <v>3236.38</v>
      </c>
      <c r="AE268">
        <f t="shared" si="238"/>
        <v>1129.18</v>
      </c>
      <c r="AF268">
        <f t="shared" si="239"/>
        <v>5648.35</v>
      </c>
      <c r="AG268">
        <f t="shared" si="240"/>
        <v>0</v>
      </c>
      <c r="AH268">
        <f t="shared" si="241"/>
        <v>27.94</v>
      </c>
      <c r="AI268">
        <f t="shared" si="242"/>
        <v>0</v>
      </c>
      <c r="AJ268">
        <f t="shared" si="243"/>
        <v>0</v>
      </c>
      <c r="AK268">
        <v>33950.33</v>
      </c>
      <c r="AL268">
        <v>25065.599999999999</v>
      </c>
      <c r="AM268">
        <v>3236.38</v>
      </c>
      <c r="AN268">
        <v>1129.18</v>
      </c>
      <c r="AO268">
        <v>5648.35</v>
      </c>
      <c r="AP268">
        <v>0</v>
      </c>
      <c r="AQ268">
        <v>27.94</v>
      </c>
      <c r="AR268">
        <v>0</v>
      </c>
      <c r="AS268">
        <v>0</v>
      </c>
      <c r="AT268">
        <v>70</v>
      </c>
      <c r="AU268">
        <v>10</v>
      </c>
      <c r="AV268">
        <v>1</v>
      </c>
      <c r="AW268">
        <v>1</v>
      </c>
      <c r="AZ268">
        <v>1</v>
      </c>
      <c r="BA268">
        <v>1</v>
      </c>
      <c r="BB268">
        <v>1</v>
      </c>
      <c r="BC268">
        <v>1</v>
      </c>
      <c r="BD268" t="s">
        <v>3</v>
      </c>
      <c r="BE268" t="s">
        <v>3</v>
      </c>
      <c r="BF268" t="s">
        <v>3</v>
      </c>
      <c r="BG268" t="s">
        <v>3</v>
      </c>
      <c r="BH268">
        <v>0</v>
      </c>
      <c r="BI268">
        <v>4</v>
      </c>
      <c r="BJ268" t="s">
        <v>39</v>
      </c>
      <c r="BM268">
        <v>0</v>
      </c>
      <c r="BN268">
        <v>0</v>
      </c>
      <c r="BO268" t="s">
        <v>3</v>
      </c>
      <c r="BP268">
        <v>0</v>
      </c>
      <c r="BQ268">
        <v>1</v>
      </c>
      <c r="BR268">
        <v>0</v>
      </c>
      <c r="BS268">
        <v>1</v>
      </c>
      <c r="BT268">
        <v>1</v>
      </c>
      <c r="BU268">
        <v>1</v>
      </c>
      <c r="BV268">
        <v>1</v>
      </c>
      <c r="BW268">
        <v>1</v>
      </c>
      <c r="BX268">
        <v>1</v>
      </c>
      <c r="BY268" t="s">
        <v>3</v>
      </c>
      <c r="BZ268">
        <v>70</v>
      </c>
      <c r="CA268">
        <v>10</v>
      </c>
      <c r="CE268">
        <v>0</v>
      </c>
      <c r="CF268">
        <v>0</v>
      </c>
      <c r="CG268">
        <v>0</v>
      </c>
      <c r="CM268">
        <v>0</v>
      </c>
      <c r="CN268" t="s">
        <v>3</v>
      </c>
      <c r="CO268">
        <v>0</v>
      </c>
      <c r="CP268">
        <f t="shared" si="244"/>
        <v>34357.74</v>
      </c>
      <c r="CQ268">
        <f t="shared" si="245"/>
        <v>25065.599999999999</v>
      </c>
      <c r="CR268">
        <f t="shared" si="246"/>
        <v>3236.38</v>
      </c>
      <c r="CS268">
        <f t="shared" si="247"/>
        <v>1129.18</v>
      </c>
      <c r="CT268">
        <f t="shared" si="248"/>
        <v>5648.35</v>
      </c>
      <c r="CU268">
        <f t="shared" si="249"/>
        <v>0</v>
      </c>
      <c r="CV268">
        <f t="shared" si="250"/>
        <v>27.94</v>
      </c>
      <c r="CW268">
        <f t="shared" si="251"/>
        <v>0</v>
      </c>
      <c r="CX268">
        <f t="shared" si="252"/>
        <v>0</v>
      </c>
      <c r="CY268">
        <f t="shared" si="253"/>
        <v>4001.2910000000002</v>
      </c>
      <c r="CZ268">
        <f t="shared" si="254"/>
        <v>571.61300000000006</v>
      </c>
      <c r="DC268" t="s">
        <v>3</v>
      </c>
      <c r="DD268" t="s">
        <v>3</v>
      </c>
      <c r="DE268" t="s">
        <v>3</v>
      </c>
      <c r="DF268" t="s">
        <v>3</v>
      </c>
      <c r="DG268" t="s">
        <v>3</v>
      </c>
      <c r="DH268" t="s">
        <v>3</v>
      </c>
      <c r="DI268" t="s">
        <v>3</v>
      </c>
      <c r="DJ268" t="s">
        <v>3</v>
      </c>
      <c r="DK268" t="s">
        <v>3</v>
      </c>
      <c r="DL268" t="s">
        <v>3</v>
      </c>
      <c r="DM268" t="s">
        <v>3</v>
      </c>
      <c r="DN268">
        <v>0</v>
      </c>
      <c r="DO268">
        <v>0</v>
      </c>
      <c r="DP268">
        <v>1</v>
      </c>
      <c r="DQ268">
        <v>1</v>
      </c>
      <c r="DU268">
        <v>1005</v>
      </c>
      <c r="DV268" t="s">
        <v>38</v>
      </c>
      <c r="DW268" t="s">
        <v>38</v>
      </c>
      <c r="DX268">
        <v>100</v>
      </c>
      <c r="EE268">
        <v>52362078</v>
      </c>
      <c r="EF268">
        <v>1</v>
      </c>
      <c r="EG268" t="s">
        <v>22</v>
      </c>
      <c r="EH268">
        <v>0</v>
      </c>
      <c r="EI268" t="s">
        <v>3</v>
      </c>
      <c r="EJ268">
        <v>4</v>
      </c>
      <c r="EK268">
        <v>0</v>
      </c>
      <c r="EL268" t="s">
        <v>23</v>
      </c>
      <c r="EM268" t="s">
        <v>24</v>
      </c>
      <c r="EO268" t="s">
        <v>3</v>
      </c>
      <c r="EQ268">
        <v>131072</v>
      </c>
      <c r="ER268">
        <v>33950.33</v>
      </c>
      <c r="ES268">
        <v>25065.599999999999</v>
      </c>
      <c r="ET268">
        <v>3236.38</v>
      </c>
      <c r="EU268">
        <v>1129.18</v>
      </c>
      <c r="EV268">
        <v>5648.35</v>
      </c>
      <c r="EW268">
        <v>27.94</v>
      </c>
      <c r="EX268">
        <v>0</v>
      </c>
      <c r="EY268">
        <v>0</v>
      </c>
      <c r="FQ268">
        <v>0</v>
      </c>
      <c r="FR268">
        <f t="shared" si="255"/>
        <v>0</v>
      </c>
      <c r="FS268">
        <v>0</v>
      </c>
      <c r="FX268">
        <v>70</v>
      </c>
      <c r="FY268">
        <v>10</v>
      </c>
      <c r="GA268" t="s">
        <v>3</v>
      </c>
      <c r="GD268">
        <v>0</v>
      </c>
      <c r="GF268">
        <v>-1973864012</v>
      </c>
      <c r="GG268">
        <v>2</v>
      </c>
      <c r="GH268">
        <v>1</v>
      </c>
      <c r="GI268">
        <v>-2</v>
      </c>
      <c r="GJ268">
        <v>0</v>
      </c>
      <c r="GK268">
        <f>ROUND(R268*(R12)/100,2)</f>
        <v>1234.1500000000001</v>
      </c>
      <c r="GL268">
        <f t="shared" si="256"/>
        <v>0</v>
      </c>
      <c r="GM268">
        <f t="shared" si="257"/>
        <v>40164.79</v>
      </c>
      <c r="GN268">
        <f t="shared" si="258"/>
        <v>0</v>
      </c>
      <c r="GO268">
        <f t="shared" si="259"/>
        <v>0</v>
      </c>
      <c r="GP268">
        <f t="shared" si="260"/>
        <v>40164.79</v>
      </c>
      <c r="GR268">
        <v>0</v>
      </c>
      <c r="GS268">
        <v>3</v>
      </c>
      <c r="GT268">
        <v>0</v>
      </c>
      <c r="GU268" t="s">
        <v>3</v>
      </c>
      <c r="GV268">
        <f t="shared" si="261"/>
        <v>0</v>
      </c>
      <c r="GW268">
        <v>1</v>
      </c>
      <c r="GX268">
        <f t="shared" si="262"/>
        <v>0</v>
      </c>
      <c r="HA268">
        <v>0</v>
      </c>
      <c r="HB268">
        <v>0</v>
      </c>
      <c r="HC268">
        <f t="shared" si="263"/>
        <v>0</v>
      </c>
      <c r="HE268" t="s">
        <v>3</v>
      </c>
      <c r="HF268" t="s">
        <v>3</v>
      </c>
      <c r="IK268">
        <v>0</v>
      </c>
    </row>
    <row r="269" spans="1:245" x14ac:dyDescent="0.2">
      <c r="A269">
        <v>18</v>
      </c>
      <c r="B269">
        <v>1</v>
      </c>
      <c r="C269">
        <v>269</v>
      </c>
      <c r="E269" t="s">
        <v>275</v>
      </c>
      <c r="F269" t="s">
        <v>41</v>
      </c>
      <c r="G269" t="s">
        <v>42</v>
      </c>
      <c r="H269" t="s">
        <v>28</v>
      </c>
      <c r="I269">
        <f>I268*J269</f>
        <v>17.608000000000001</v>
      </c>
      <c r="J269">
        <v>17.399209486166008</v>
      </c>
      <c r="O269">
        <f t="shared" si="224"/>
        <v>31056.11</v>
      </c>
      <c r="P269">
        <f t="shared" si="225"/>
        <v>31056.11</v>
      </c>
      <c r="Q269">
        <f t="shared" si="226"/>
        <v>0</v>
      </c>
      <c r="R269">
        <f t="shared" si="227"/>
        <v>0</v>
      </c>
      <c r="S269">
        <f t="shared" si="228"/>
        <v>0</v>
      </c>
      <c r="T269">
        <f t="shared" si="229"/>
        <v>0</v>
      </c>
      <c r="U269">
        <f t="shared" si="230"/>
        <v>0</v>
      </c>
      <c r="V269">
        <f t="shared" si="231"/>
        <v>0</v>
      </c>
      <c r="W269">
        <f t="shared" si="232"/>
        <v>0</v>
      </c>
      <c r="X269">
        <f t="shared" si="233"/>
        <v>0</v>
      </c>
      <c r="Y269">
        <f t="shared" si="234"/>
        <v>0</v>
      </c>
      <c r="AA269">
        <v>52430918</v>
      </c>
      <c r="AB269">
        <f t="shared" si="235"/>
        <v>1763.75</v>
      </c>
      <c r="AC269">
        <f t="shared" si="236"/>
        <v>1763.75</v>
      </c>
      <c r="AD269">
        <f t="shared" si="237"/>
        <v>0</v>
      </c>
      <c r="AE269">
        <f t="shared" si="238"/>
        <v>0</v>
      </c>
      <c r="AF269">
        <f t="shared" si="239"/>
        <v>0</v>
      </c>
      <c r="AG269">
        <f t="shared" si="240"/>
        <v>0</v>
      </c>
      <c r="AH269">
        <f t="shared" si="241"/>
        <v>0</v>
      </c>
      <c r="AI269">
        <f t="shared" si="242"/>
        <v>0</v>
      </c>
      <c r="AJ269">
        <f t="shared" si="243"/>
        <v>0</v>
      </c>
      <c r="AK269">
        <v>1763.75</v>
      </c>
      <c r="AL269">
        <v>1763.75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70</v>
      </c>
      <c r="AU269">
        <v>10</v>
      </c>
      <c r="AV269">
        <v>1</v>
      </c>
      <c r="AW269">
        <v>1</v>
      </c>
      <c r="AZ269">
        <v>1</v>
      </c>
      <c r="BA269">
        <v>1</v>
      </c>
      <c r="BB269">
        <v>1</v>
      </c>
      <c r="BC269">
        <v>1</v>
      </c>
      <c r="BD269" t="s">
        <v>3</v>
      </c>
      <c r="BE269" t="s">
        <v>3</v>
      </c>
      <c r="BF269" t="s">
        <v>3</v>
      </c>
      <c r="BG269" t="s">
        <v>3</v>
      </c>
      <c r="BH269">
        <v>3</v>
      </c>
      <c r="BI269">
        <v>4</v>
      </c>
      <c r="BJ269" t="s">
        <v>43</v>
      </c>
      <c r="BM269">
        <v>0</v>
      </c>
      <c r="BN269">
        <v>0</v>
      </c>
      <c r="BO269" t="s">
        <v>3</v>
      </c>
      <c r="BP269">
        <v>0</v>
      </c>
      <c r="BQ269">
        <v>1</v>
      </c>
      <c r="BR269">
        <v>0</v>
      </c>
      <c r="BS269">
        <v>1</v>
      </c>
      <c r="BT269">
        <v>1</v>
      </c>
      <c r="BU269">
        <v>1</v>
      </c>
      <c r="BV269">
        <v>1</v>
      </c>
      <c r="BW269">
        <v>1</v>
      </c>
      <c r="BX269">
        <v>1</v>
      </c>
      <c r="BY269" t="s">
        <v>3</v>
      </c>
      <c r="BZ269">
        <v>70</v>
      </c>
      <c r="CA269">
        <v>10</v>
      </c>
      <c r="CE269">
        <v>0</v>
      </c>
      <c r="CF269">
        <v>0</v>
      </c>
      <c r="CG269">
        <v>0</v>
      </c>
      <c r="CM269">
        <v>0</v>
      </c>
      <c r="CN269" t="s">
        <v>3</v>
      </c>
      <c r="CO269">
        <v>0</v>
      </c>
      <c r="CP269">
        <f t="shared" si="244"/>
        <v>31056.11</v>
      </c>
      <c r="CQ269">
        <f t="shared" si="245"/>
        <v>1763.75</v>
      </c>
      <c r="CR269">
        <f t="shared" si="246"/>
        <v>0</v>
      </c>
      <c r="CS269">
        <f t="shared" si="247"/>
        <v>0</v>
      </c>
      <c r="CT269">
        <f t="shared" si="248"/>
        <v>0</v>
      </c>
      <c r="CU269">
        <f t="shared" si="249"/>
        <v>0</v>
      </c>
      <c r="CV269">
        <f t="shared" si="250"/>
        <v>0</v>
      </c>
      <c r="CW269">
        <f t="shared" si="251"/>
        <v>0</v>
      </c>
      <c r="CX269">
        <f t="shared" si="252"/>
        <v>0</v>
      </c>
      <c r="CY269">
        <f t="shared" si="253"/>
        <v>0</v>
      </c>
      <c r="CZ269">
        <f t="shared" si="254"/>
        <v>0</v>
      </c>
      <c r="DC269" t="s">
        <v>3</v>
      </c>
      <c r="DD269" t="s">
        <v>3</v>
      </c>
      <c r="DE269" t="s">
        <v>3</v>
      </c>
      <c r="DF269" t="s">
        <v>3</v>
      </c>
      <c r="DG269" t="s">
        <v>3</v>
      </c>
      <c r="DH269" t="s">
        <v>3</v>
      </c>
      <c r="DI269" t="s">
        <v>3</v>
      </c>
      <c r="DJ269" t="s">
        <v>3</v>
      </c>
      <c r="DK269" t="s">
        <v>3</v>
      </c>
      <c r="DL269" t="s">
        <v>3</v>
      </c>
      <c r="DM269" t="s">
        <v>3</v>
      </c>
      <c r="DN269">
        <v>0</v>
      </c>
      <c r="DO269">
        <v>0</v>
      </c>
      <c r="DP269">
        <v>1</v>
      </c>
      <c r="DQ269">
        <v>1</v>
      </c>
      <c r="DU269">
        <v>1007</v>
      </c>
      <c r="DV269" t="s">
        <v>28</v>
      </c>
      <c r="DW269" t="s">
        <v>28</v>
      </c>
      <c r="DX269">
        <v>1</v>
      </c>
      <c r="EE269">
        <v>52362078</v>
      </c>
      <c r="EF269">
        <v>1</v>
      </c>
      <c r="EG269" t="s">
        <v>22</v>
      </c>
      <c r="EH269">
        <v>0</v>
      </c>
      <c r="EI269" t="s">
        <v>3</v>
      </c>
      <c r="EJ269">
        <v>4</v>
      </c>
      <c r="EK269">
        <v>0</v>
      </c>
      <c r="EL269" t="s">
        <v>23</v>
      </c>
      <c r="EM269" t="s">
        <v>24</v>
      </c>
      <c r="EO269" t="s">
        <v>3</v>
      </c>
      <c r="EQ269">
        <v>0</v>
      </c>
      <c r="ER269">
        <v>1763.75</v>
      </c>
      <c r="ES269">
        <v>1763.75</v>
      </c>
      <c r="ET269">
        <v>0</v>
      </c>
      <c r="EU269">
        <v>0</v>
      </c>
      <c r="EV269">
        <v>0</v>
      </c>
      <c r="EW269">
        <v>0</v>
      </c>
      <c r="EX269">
        <v>0</v>
      </c>
      <c r="FQ269">
        <v>0</v>
      </c>
      <c r="FR269">
        <f t="shared" si="255"/>
        <v>0</v>
      </c>
      <c r="FS269">
        <v>0</v>
      </c>
      <c r="FX269">
        <v>70</v>
      </c>
      <c r="FY269">
        <v>10</v>
      </c>
      <c r="GA269" t="s">
        <v>3</v>
      </c>
      <c r="GD269">
        <v>0</v>
      </c>
      <c r="GF269">
        <v>-886425656</v>
      </c>
      <c r="GG269">
        <v>2</v>
      </c>
      <c r="GH269">
        <v>1</v>
      </c>
      <c r="GI269">
        <v>-2</v>
      </c>
      <c r="GJ269">
        <v>0</v>
      </c>
      <c r="GK269">
        <f>ROUND(R269*(R12)/100,2)</f>
        <v>0</v>
      </c>
      <c r="GL269">
        <f t="shared" si="256"/>
        <v>0</v>
      </c>
      <c r="GM269">
        <f t="shared" si="257"/>
        <v>31056.11</v>
      </c>
      <c r="GN269">
        <f t="shared" si="258"/>
        <v>0</v>
      </c>
      <c r="GO269">
        <f t="shared" si="259"/>
        <v>0</v>
      </c>
      <c r="GP269">
        <f t="shared" si="260"/>
        <v>31056.11</v>
      </c>
      <c r="GR269">
        <v>0</v>
      </c>
      <c r="GS269">
        <v>3</v>
      </c>
      <c r="GT269">
        <v>0</v>
      </c>
      <c r="GU269" t="s">
        <v>3</v>
      </c>
      <c r="GV269">
        <f t="shared" si="261"/>
        <v>0</v>
      </c>
      <c r="GW269">
        <v>1</v>
      </c>
      <c r="GX269">
        <f t="shared" si="262"/>
        <v>0</v>
      </c>
      <c r="HA269">
        <v>0</v>
      </c>
      <c r="HB269">
        <v>0</v>
      </c>
      <c r="HC269">
        <f t="shared" si="263"/>
        <v>0</v>
      </c>
      <c r="HE269" t="s">
        <v>3</v>
      </c>
      <c r="HF269" t="s">
        <v>3</v>
      </c>
      <c r="IK269">
        <v>0</v>
      </c>
    </row>
    <row r="270" spans="1:245" x14ac:dyDescent="0.2">
      <c r="A270">
        <v>18</v>
      </c>
      <c r="B270">
        <v>1</v>
      </c>
      <c r="C270">
        <v>270</v>
      </c>
      <c r="E270" t="s">
        <v>276</v>
      </c>
      <c r="F270" t="s">
        <v>45</v>
      </c>
      <c r="G270" t="s">
        <v>46</v>
      </c>
      <c r="H270" t="s">
        <v>28</v>
      </c>
      <c r="I270">
        <f>I268*J270</f>
        <v>-17.608799999999999</v>
      </c>
      <c r="J270">
        <v>-17.399999999999999</v>
      </c>
      <c r="O270">
        <f t="shared" si="224"/>
        <v>-25295.040000000001</v>
      </c>
      <c r="P270">
        <f t="shared" si="225"/>
        <v>-25295.040000000001</v>
      </c>
      <c r="Q270">
        <f t="shared" si="226"/>
        <v>0</v>
      </c>
      <c r="R270">
        <f t="shared" si="227"/>
        <v>0</v>
      </c>
      <c r="S270">
        <f t="shared" si="228"/>
        <v>0</v>
      </c>
      <c r="T270">
        <f t="shared" si="229"/>
        <v>0</v>
      </c>
      <c r="U270">
        <f t="shared" si="230"/>
        <v>0</v>
      </c>
      <c r="V270">
        <f t="shared" si="231"/>
        <v>0</v>
      </c>
      <c r="W270">
        <f t="shared" si="232"/>
        <v>0</v>
      </c>
      <c r="X270">
        <f t="shared" si="233"/>
        <v>0</v>
      </c>
      <c r="Y270">
        <f t="shared" si="234"/>
        <v>0</v>
      </c>
      <c r="AA270">
        <v>52430918</v>
      </c>
      <c r="AB270">
        <f t="shared" si="235"/>
        <v>1436.5</v>
      </c>
      <c r="AC270">
        <f t="shared" si="236"/>
        <v>1436.5</v>
      </c>
      <c r="AD270">
        <f t="shared" si="237"/>
        <v>0</v>
      </c>
      <c r="AE270">
        <f t="shared" si="238"/>
        <v>0</v>
      </c>
      <c r="AF270">
        <f t="shared" si="239"/>
        <v>0</v>
      </c>
      <c r="AG270">
        <f t="shared" si="240"/>
        <v>0</v>
      </c>
      <c r="AH270">
        <f t="shared" si="241"/>
        <v>0</v>
      </c>
      <c r="AI270">
        <f t="shared" si="242"/>
        <v>0</v>
      </c>
      <c r="AJ270">
        <f t="shared" si="243"/>
        <v>0</v>
      </c>
      <c r="AK270">
        <v>1436.5</v>
      </c>
      <c r="AL270">
        <v>1436.5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70</v>
      </c>
      <c r="AU270">
        <v>10</v>
      </c>
      <c r="AV270">
        <v>1</v>
      </c>
      <c r="AW270">
        <v>1</v>
      </c>
      <c r="AZ270">
        <v>1</v>
      </c>
      <c r="BA270">
        <v>1</v>
      </c>
      <c r="BB270">
        <v>1</v>
      </c>
      <c r="BC270">
        <v>1</v>
      </c>
      <c r="BD270" t="s">
        <v>3</v>
      </c>
      <c r="BE270" t="s">
        <v>3</v>
      </c>
      <c r="BF270" t="s">
        <v>3</v>
      </c>
      <c r="BG270" t="s">
        <v>3</v>
      </c>
      <c r="BH270">
        <v>3</v>
      </c>
      <c r="BI270">
        <v>4</v>
      </c>
      <c r="BJ270" t="s">
        <v>47</v>
      </c>
      <c r="BM270">
        <v>0</v>
      </c>
      <c r="BN270">
        <v>0</v>
      </c>
      <c r="BO270" t="s">
        <v>3</v>
      </c>
      <c r="BP270">
        <v>0</v>
      </c>
      <c r="BQ270">
        <v>1</v>
      </c>
      <c r="BR270">
        <v>1</v>
      </c>
      <c r="BS270">
        <v>1</v>
      </c>
      <c r="BT270">
        <v>1</v>
      </c>
      <c r="BU270">
        <v>1</v>
      </c>
      <c r="BV270">
        <v>1</v>
      </c>
      <c r="BW270">
        <v>1</v>
      </c>
      <c r="BX270">
        <v>1</v>
      </c>
      <c r="BY270" t="s">
        <v>3</v>
      </c>
      <c r="BZ270">
        <v>70</v>
      </c>
      <c r="CA270">
        <v>10</v>
      </c>
      <c r="CE270">
        <v>0</v>
      </c>
      <c r="CF270">
        <v>0</v>
      </c>
      <c r="CG270">
        <v>0</v>
      </c>
      <c r="CM270">
        <v>0</v>
      </c>
      <c r="CN270" t="s">
        <v>3</v>
      </c>
      <c r="CO270">
        <v>0</v>
      </c>
      <c r="CP270">
        <f t="shared" si="244"/>
        <v>-25295.040000000001</v>
      </c>
      <c r="CQ270">
        <f t="shared" si="245"/>
        <v>1436.5</v>
      </c>
      <c r="CR270">
        <f t="shared" si="246"/>
        <v>0</v>
      </c>
      <c r="CS270">
        <f t="shared" si="247"/>
        <v>0</v>
      </c>
      <c r="CT270">
        <f t="shared" si="248"/>
        <v>0</v>
      </c>
      <c r="CU270">
        <f t="shared" si="249"/>
        <v>0</v>
      </c>
      <c r="CV270">
        <f t="shared" si="250"/>
        <v>0</v>
      </c>
      <c r="CW270">
        <f t="shared" si="251"/>
        <v>0</v>
      </c>
      <c r="CX270">
        <f t="shared" si="252"/>
        <v>0</v>
      </c>
      <c r="CY270">
        <f t="shared" si="253"/>
        <v>0</v>
      </c>
      <c r="CZ270">
        <f t="shared" si="254"/>
        <v>0</v>
      </c>
      <c r="DC270" t="s">
        <v>3</v>
      </c>
      <c r="DD270" t="s">
        <v>3</v>
      </c>
      <c r="DE270" t="s">
        <v>3</v>
      </c>
      <c r="DF270" t="s">
        <v>3</v>
      </c>
      <c r="DG270" t="s">
        <v>3</v>
      </c>
      <c r="DH270" t="s">
        <v>3</v>
      </c>
      <c r="DI270" t="s">
        <v>3</v>
      </c>
      <c r="DJ270" t="s">
        <v>3</v>
      </c>
      <c r="DK270" t="s">
        <v>3</v>
      </c>
      <c r="DL270" t="s">
        <v>3</v>
      </c>
      <c r="DM270" t="s">
        <v>3</v>
      </c>
      <c r="DN270">
        <v>0</v>
      </c>
      <c r="DO270">
        <v>0</v>
      </c>
      <c r="DP270">
        <v>1</v>
      </c>
      <c r="DQ270">
        <v>1</v>
      </c>
      <c r="DU270">
        <v>1007</v>
      </c>
      <c r="DV270" t="s">
        <v>28</v>
      </c>
      <c r="DW270" t="s">
        <v>28</v>
      </c>
      <c r="DX270">
        <v>1</v>
      </c>
      <c r="EE270">
        <v>52362078</v>
      </c>
      <c r="EF270">
        <v>1</v>
      </c>
      <c r="EG270" t="s">
        <v>22</v>
      </c>
      <c r="EH270">
        <v>0</v>
      </c>
      <c r="EI270" t="s">
        <v>3</v>
      </c>
      <c r="EJ270">
        <v>4</v>
      </c>
      <c r="EK270">
        <v>0</v>
      </c>
      <c r="EL270" t="s">
        <v>23</v>
      </c>
      <c r="EM270" t="s">
        <v>24</v>
      </c>
      <c r="EO270" t="s">
        <v>3</v>
      </c>
      <c r="EQ270">
        <v>0</v>
      </c>
      <c r="ER270">
        <v>1436.5</v>
      </c>
      <c r="ES270">
        <v>1436.5</v>
      </c>
      <c r="ET270">
        <v>0</v>
      </c>
      <c r="EU270">
        <v>0</v>
      </c>
      <c r="EV270">
        <v>0</v>
      </c>
      <c r="EW270">
        <v>0</v>
      </c>
      <c r="EX270">
        <v>0</v>
      </c>
      <c r="FQ270">
        <v>0</v>
      </c>
      <c r="FR270">
        <f t="shared" si="255"/>
        <v>0</v>
      </c>
      <c r="FS270">
        <v>0</v>
      </c>
      <c r="FX270">
        <v>70</v>
      </c>
      <c r="FY270">
        <v>10</v>
      </c>
      <c r="GA270" t="s">
        <v>3</v>
      </c>
      <c r="GD270">
        <v>0</v>
      </c>
      <c r="GF270">
        <v>1744717608</v>
      </c>
      <c r="GG270">
        <v>2</v>
      </c>
      <c r="GH270">
        <v>1</v>
      </c>
      <c r="GI270">
        <v>-2</v>
      </c>
      <c r="GJ270">
        <v>0</v>
      </c>
      <c r="GK270">
        <f>ROUND(R270*(R12)/100,2)</f>
        <v>0</v>
      </c>
      <c r="GL270">
        <f t="shared" si="256"/>
        <v>0</v>
      </c>
      <c r="GM270">
        <f t="shared" si="257"/>
        <v>-25295.040000000001</v>
      </c>
      <c r="GN270">
        <f t="shared" si="258"/>
        <v>0</v>
      </c>
      <c r="GO270">
        <f t="shared" si="259"/>
        <v>0</v>
      </c>
      <c r="GP270">
        <f t="shared" si="260"/>
        <v>-25295.040000000001</v>
      </c>
      <c r="GR270">
        <v>0</v>
      </c>
      <c r="GS270">
        <v>3</v>
      </c>
      <c r="GT270">
        <v>0</v>
      </c>
      <c r="GU270" t="s">
        <v>3</v>
      </c>
      <c r="GV270">
        <f t="shared" si="261"/>
        <v>0</v>
      </c>
      <c r="GW270">
        <v>1</v>
      </c>
      <c r="GX270">
        <f t="shared" si="262"/>
        <v>0</v>
      </c>
      <c r="HA270">
        <v>0</v>
      </c>
      <c r="HB270">
        <v>0</v>
      </c>
      <c r="HC270">
        <f t="shared" si="263"/>
        <v>0</v>
      </c>
      <c r="HE270" t="s">
        <v>3</v>
      </c>
      <c r="HF270" t="s">
        <v>3</v>
      </c>
      <c r="IK270">
        <v>0</v>
      </c>
    </row>
    <row r="271" spans="1:245" x14ac:dyDescent="0.2">
      <c r="A271">
        <v>17</v>
      </c>
      <c r="B271">
        <v>1</v>
      </c>
      <c r="C271">
        <f>ROW(SmtRes!A275)</f>
        <v>275</v>
      </c>
      <c r="D271">
        <f>ROW(EtalonRes!A263)</f>
        <v>263</v>
      </c>
      <c r="E271" t="s">
        <v>277</v>
      </c>
      <c r="F271" t="s">
        <v>49</v>
      </c>
      <c r="G271" t="s">
        <v>50</v>
      </c>
      <c r="H271" t="s">
        <v>38</v>
      </c>
      <c r="I271">
        <f>ROUND(101.2/100,9)</f>
        <v>1.012</v>
      </c>
      <c r="J271">
        <v>0</v>
      </c>
      <c r="O271">
        <f t="shared" si="224"/>
        <v>24254.51</v>
      </c>
      <c r="P271">
        <f t="shared" si="225"/>
        <v>20734.72</v>
      </c>
      <c r="Q271">
        <f t="shared" si="226"/>
        <v>1136.54</v>
      </c>
      <c r="R271">
        <f t="shared" si="227"/>
        <v>477.38</v>
      </c>
      <c r="S271">
        <f t="shared" si="228"/>
        <v>2383.25</v>
      </c>
      <c r="T271">
        <f t="shared" si="229"/>
        <v>0</v>
      </c>
      <c r="U271">
        <f t="shared" si="230"/>
        <v>10.4236</v>
      </c>
      <c r="V271">
        <f t="shared" si="231"/>
        <v>0</v>
      </c>
      <c r="W271">
        <f t="shared" si="232"/>
        <v>0</v>
      </c>
      <c r="X271">
        <f t="shared" si="233"/>
        <v>1668.28</v>
      </c>
      <c r="Y271">
        <f t="shared" si="234"/>
        <v>238.33</v>
      </c>
      <c r="AA271">
        <v>52430918</v>
      </c>
      <c r="AB271">
        <f t="shared" si="235"/>
        <v>23966.9</v>
      </c>
      <c r="AC271">
        <f t="shared" si="236"/>
        <v>20488.849999999999</v>
      </c>
      <c r="AD271">
        <f t="shared" si="237"/>
        <v>1123.06</v>
      </c>
      <c r="AE271">
        <f t="shared" si="238"/>
        <v>471.72</v>
      </c>
      <c r="AF271">
        <f t="shared" si="239"/>
        <v>2354.9899999999998</v>
      </c>
      <c r="AG271">
        <f t="shared" si="240"/>
        <v>0</v>
      </c>
      <c r="AH271">
        <f t="shared" si="241"/>
        <v>10.3</v>
      </c>
      <c r="AI271">
        <f t="shared" si="242"/>
        <v>0</v>
      </c>
      <c r="AJ271">
        <f t="shared" si="243"/>
        <v>0</v>
      </c>
      <c r="AK271">
        <v>23966.9</v>
      </c>
      <c r="AL271">
        <v>20488.849999999999</v>
      </c>
      <c r="AM271">
        <v>1123.06</v>
      </c>
      <c r="AN271">
        <v>471.72</v>
      </c>
      <c r="AO271">
        <v>2354.9899999999998</v>
      </c>
      <c r="AP271">
        <v>0</v>
      </c>
      <c r="AQ271">
        <v>10.3</v>
      </c>
      <c r="AR271">
        <v>0</v>
      </c>
      <c r="AS271">
        <v>0</v>
      </c>
      <c r="AT271">
        <v>70</v>
      </c>
      <c r="AU271">
        <v>10</v>
      </c>
      <c r="AV271">
        <v>1</v>
      </c>
      <c r="AW271">
        <v>1</v>
      </c>
      <c r="AZ271">
        <v>1</v>
      </c>
      <c r="BA271">
        <v>1</v>
      </c>
      <c r="BB271">
        <v>1</v>
      </c>
      <c r="BC271">
        <v>1</v>
      </c>
      <c r="BD271" t="s">
        <v>3</v>
      </c>
      <c r="BE271" t="s">
        <v>3</v>
      </c>
      <c r="BF271" t="s">
        <v>3</v>
      </c>
      <c r="BG271" t="s">
        <v>3</v>
      </c>
      <c r="BH271">
        <v>0</v>
      </c>
      <c r="BI271">
        <v>4</v>
      </c>
      <c r="BJ271" t="s">
        <v>51</v>
      </c>
      <c r="BM271">
        <v>0</v>
      </c>
      <c r="BN271">
        <v>0</v>
      </c>
      <c r="BO271" t="s">
        <v>3</v>
      </c>
      <c r="BP271">
        <v>0</v>
      </c>
      <c r="BQ271">
        <v>1</v>
      </c>
      <c r="BR271">
        <v>0</v>
      </c>
      <c r="BS271">
        <v>1</v>
      </c>
      <c r="BT271">
        <v>1</v>
      </c>
      <c r="BU271">
        <v>1</v>
      </c>
      <c r="BV271">
        <v>1</v>
      </c>
      <c r="BW271">
        <v>1</v>
      </c>
      <c r="BX271">
        <v>1</v>
      </c>
      <c r="BY271" t="s">
        <v>3</v>
      </c>
      <c r="BZ271">
        <v>70</v>
      </c>
      <c r="CA271">
        <v>10</v>
      </c>
      <c r="CE271">
        <v>0</v>
      </c>
      <c r="CF271">
        <v>0</v>
      </c>
      <c r="CG271">
        <v>0</v>
      </c>
      <c r="CM271">
        <v>0</v>
      </c>
      <c r="CN271" t="s">
        <v>3</v>
      </c>
      <c r="CO271">
        <v>0</v>
      </c>
      <c r="CP271">
        <f t="shared" si="244"/>
        <v>24254.510000000002</v>
      </c>
      <c r="CQ271">
        <f t="shared" si="245"/>
        <v>20488.849999999999</v>
      </c>
      <c r="CR271">
        <f t="shared" si="246"/>
        <v>1123.06</v>
      </c>
      <c r="CS271">
        <f t="shared" si="247"/>
        <v>471.72</v>
      </c>
      <c r="CT271">
        <f t="shared" si="248"/>
        <v>2354.9899999999998</v>
      </c>
      <c r="CU271">
        <f t="shared" si="249"/>
        <v>0</v>
      </c>
      <c r="CV271">
        <f t="shared" si="250"/>
        <v>10.3</v>
      </c>
      <c r="CW271">
        <f t="shared" si="251"/>
        <v>0</v>
      </c>
      <c r="CX271">
        <f t="shared" si="252"/>
        <v>0</v>
      </c>
      <c r="CY271">
        <f t="shared" si="253"/>
        <v>1668.2750000000001</v>
      </c>
      <c r="CZ271">
        <f t="shared" si="254"/>
        <v>238.32499999999999</v>
      </c>
      <c r="DC271" t="s">
        <v>3</v>
      </c>
      <c r="DD271" t="s">
        <v>3</v>
      </c>
      <c r="DE271" t="s">
        <v>3</v>
      </c>
      <c r="DF271" t="s">
        <v>3</v>
      </c>
      <c r="DG271" t="s">
        <v>3</v>
      </c>
      <c r="DH271" t="s">
        <v>3</v>
      </c>
      <c r="DI271" t="s">
        <v>3</v>
      </c>
      <c r="DJ271" t="s">
        <v>3</v>
      </c>
      <c r="DK271" t="s">
        <v>3</v>
      </c>
      <c r="DL271" t="s">
        <v>3</v>
      </c>
      <c r="DM271" t="s">
        <v>3</v>
      </c>
      <c r="DN271">
        <v>0</v>
      </c>
      <c r="DO271">
        <v>0</v>
      </c>
      <c r="DP271">
        <v>1</v>
      </c>
      <c r="DQ271">
        <v>1</v>
      </c>
      <c r="DU271">
        <v>1005</v>
      </c>
      <c r="DV271" t="s">
        <v>38</v>
      </c>
      <c r="DW271" t="s">
        <v>38</v>
      </c>
      <c r="DX271">
        <v>100</v>
      </c>
      <c r="EE271">
        <v>52362078</v>
      </c>
      <c r="EF271">
        <v>1</v>
      </c>
      <c r="EG271" t="s">
        <v>22</v>
      </c>
      <c r="EH271">
        <v>0</v>
      </c>
      <c r="EI271" t="s">
        <v>3</v>
      </c>
      <c r="EJ271">
        <v>4</v>
      </c>
      <c r="EK271">
        <v>0</v>
      </c>
      <c r="EL271" t="s">
        <v>23</v>
      </c>
      <c r="EM271" t="s">
        <v>24</v>
      </c>
      <c r="EO271" t="s">
        <v>3</v>
      </c>
      <c r="EQ271">
        <v>131072</v>
      </c>
      <c r="ER271">
        <v>23966.9</v>
      </c>
      <c r="ES271">
        <v>20488.849999999999</v>
      </c>
      <c r="ET271">
        <v>1123.06</v>
      </c>
      <c r="EU271">
        <v>471.72</v>
      </c>
      <c r="EV271">
        <v>2354.9899999999998</v>
      </c>
      <c r="EW271">
        <v>10.3</v>
      </c>
      <c r="EX271">
        <v>0</v>
      </c>
      <c r="EY271">
        <v>0</v>
      </c>
      <c r="FQ271">
        <v>0</v>
      </c>
      <c r="FR271">
        <f t="shared" si="255"/>
        <v>0</v>
      </c>
      <c r="FS271">
        <v>0</v>
      </c>
      <c r="FX271">
        <v>70</v>
      </c>
      <c r="FY271">
        <v>10</v>
      </c>
      <c r="GA271" t="s">
        <v>3</v>
      </c>
      <c r="GD271">
        <v>0</v>
      </c>
      <c r="GF271">
        <v>280582152</v>
      </c>
      <c r="GG271">
        <v>2</v>
      </c>
      <c r="GH271">
        <v>1</v>
      </c>
      <c r="GI271">
        <v>-2</v>
      </c>
      <c r="GJ271">
        <v>0</v>
      </c>
      <c r="GK271">
        <f>ROUND(R271*(R12)/100,2)</f>
        <v>515.57000000000005</v>
      </c>
      <c r="GL271">
        <f t="shared" si="256"/>
        <v>0</v>
      </c>
      <c r="GM271">
        <f t="shared" si="257"/>
        <v>26676.69</v>
      </c>
      <c r="GN271">
        <f t="shared" si="258"/>
        <v>0</v>
      </c>
      <c r="GO271">
        <f t="shared" si="259"/>
        <v>0</v>
      </c>
      <c r="GP271">
        <f t="shared" si="260"/>
        <v>26676.69</v>
      </c>
      <c r="GR271">
        <v>0</v>
      </c>
      <c r="GS271">
        <v>3</v>
      </c>
      <c r="GT271">
        <v>0</v>
      </c>
      <c r="GU271" t="s">
        <v>3</v>
      </c>
      <c r="GV271">
        <f t="shared" si="261"/>
        <v>0</v>
      </c>
      <c r="GW271">
        <v>1</v>
      </c>
      <c r="GX271">
        <f t="shared" si="262"/>
        <v>0</v>
      </c>
      <c r="HA271">
        <v>0</v>
      </c>
      <c r="HB271">
        <v>0</v>
      </c>
      <c r="HC271">
        <f t="shared" si="263"/>
        <v>0</v>
      </c>
      <c r="HE271" t="s">
        <v>3</v>
      </c>
      <c r="HF271" t="s">
        <v>3</v>
      </c>
      <c r="IK271">
        <v>0</v>
      </c>
    </row>
    <row r="272" spans="1:245" x14ac:dyDescent="0.2">
      <c r="A272">
        <v>17</v>
      </c>
      <c r="B272">
        <v>1</v>
      </c>
      <c r="C272">
        <f>ROW(SmtRes!A285)</f>
        <v>285</v>
      </c>
      <c r="D272">
        <f>ROW(EtalonRes!A273)</f>
        <v>273</v>
      </c>
      <c r="E272" t="s">
        <v>278</v>
      </c>
      <c r="F272" t="s">
        <v>53</v>
      </c>
      <c r="G272" t="s">
        <v>54</v>
      </c>
      <c r="H272" t="s">
        <v>38</v>
      </c>
      <c r="I272">
        <f>ROUND(101.2/100,9)</f>
        <v>1.012</v>
      </c>
      <c r="J272">
        <v>0</v>
      </c>
      <c r="O272">
        <f t="shared" si="224"/>
        <v>110362.15</v>
      </c>
      <c r="P272">
        <f t="shared" si="225"/>
        <v>103587.94</v>
      </c>
      <c r="Q272">
        <f t="shared" si="226"/>
        <v>2648.66</v>
      </c>
      <c r="R272">
        <f t="shared" si="227"/>
        <v>2088.2199999999998</v>
      </c>
      <c r="S272">
        <f t="shared" si="228"/>
        <v>4125.55</v>
      </c>
      <c r="T272">
        <f t="shared" si="229"/>
        <v>0</v>
      </c>
      <c r="U272">
        <f t="shared" si="230"/>
        <v>18.661280000000001</v>
      </c>
      <c r="V272">
        <f t="shared" si="231"/>
        <v>0</v>
      </c>
      <c r="W272">
        <f t="shared" si="232"/>
        <v>0</v>
      </c>
      <c r="X272">
        <f t="shared" si="233"/>
        <v>2887.89</v>
      </c>
      <c r="Y272">
        <f t="shared" si="234"/>
        <v>412.56</v>
      </c>
      <c r="AA272">
        <v>52430918</v>
      </c>
      <c r="AB272">
        <f t="shared" si="235"/>
        <v>109053.5</v>
      </c>
      <c r="AC272">
        <f t="shared" si="236"/>
        <v>102359.62</v>
      </c>
      <c r="AD272">
        <f t="shared" si="237"/>
        <v>2617.25</v>
      </c>
      <c r="AE272">
        <f t="shared" si="238"/>
        <v>2063.46</v>
      </c>
      <c r="AF272">
        <f t="shared" si="239"/>
        <v>4076.63</v>
      </c>
      <c r="AG272">
        <f t="shared" si="240"/>
        <v>0</v>
      </c>
      <c r="AH272">
        <f t="shared" si="241"/>
        <v>18.440000000000001</v>
      </c>
      <c r="AI272">
        <f t="shared" si="242"/>
        <v>0</v>
      </c>
      <c r="AJ272">
        <f t="shared" si="243"/>
        <v>0</v>
      </c>
      <c r="AK272">
        <v>109053.5</v>
      </c>
      <c r="AL272">
        <v>102359.62</v>
      </c>
      <c r="AM272">
        <v>2617.25</v>
      </c>
      <c r="AN272">
        <v>2063.46</v>
      </c>
      <c r="AO272">
        <v>4076.63</v>
      </c>
      <c r="AP272">
        <v>0</v>
      </c>
      <c r="AQ272">
        <v>18.440000000000001</v>
      </c>
      <c r="AR272">
        <v>0</v>
      </c>
      <c r="AS272">
        <v>0</v>
      </c>
      <c r="AT272">
        <v>70</v>
      </c>
      <c r="AU272">
        <v>10</v>
      </c>
      <c r="AV272">
        <v>1</v>
      </c>
      <c r="AW272">
        <v>1</v>
      </c>
      <c r="AZ272">
        <v>1</v>
      </c>
      <c r="BA272">
        <v>1</v>
      </c>
      <c r="BB272">
        <v>1</v>
      </c>
      <c r="BC272">
        <v>1</v>
      </c>
      <c r="BD272" t="s">
        <v>3</v>
      </c>
      <c r="BE272" t="s">
        <v>3</v>
      </c>
      <c r="BF272" t="s">
        <v>3</v>
      </c>
      <c r="BG272" t="s">
        <v>3</v>
      </c>
      <c r="BH272">
        <v>0</v>
      </c>
      <c r="BI272">
        <v>4</v>
      </c>
      <c r="BJ272" t="s">
        <v>55</v>
      </c>
      <c r="BM272">
        <v>0</v>
      </c>
      <c r="BN272">
        <v>0</v>
      </c>
      <c r="BO272" t="s">
        <v>3</v>
      </c>
      <c r="BP272">
        <v>0</v>
      </c>
      <c r="BQ272">
        <v>1</v>
      </c>
      <c r="BR272">
        <v>0</v>
      </c>
      <c r="BS272">
        <v>1</v>
      </c>
      <c r="BT272">
        <v>1</v>
      </c>
      <c r="BU272">
        <v>1</v>
      </c>
      <c r="BV272">
        <v>1</v>
      </c>
      <c r="BW272">
        <v>1</v>
      </c>
      <c r="BX272">
        <v>1</v>
      </c>
      <c r="BY272" t="s">
        <v>3</v>
      </c>
      <c r="BZ272">
        <v>70</v>
      </c>
      <c r="CA272">
        <v>10</v>
      </c>
      <c r="CE272">
        <v>0</v>
      </c>
      <c r="CF272">
        <v>0</v>
      </c>
      <c r="CG272">
        <v>0</v>
      </c>
      <c r="CM272">
        <v>0</v>
      </c>
      <c r="CN272" t="s">
        <v>3</v>
      </c>
      <c r="CO272">
        <v>0</v>
      </c>
      <c r="CP272">
        <f t="shared" si="244"/>
        <v>110362.15000000001</v>
      </c>
      <c r="CQ272">
        <f t="shared" si="245"/>
        <v>102359.62</v>
      </c>
      <c r="CR272">
        <f t="shared" si="246"/>
        <v>2617.25</v>
      </c>
      <c r="CS272">
        <f t="shared" si="247"/>
        <v>2063.46</v>
      </c>
      <c r="CT272">
        <f t="shared" si="248"/>
        <v>4076.63</v>
      </c>
      <c r="CU272">
        <f t="shared" si="249"/>
        <v>0</v>
      </c>
      <c r="CV272">
        <f t="shared" si="250"/>
        <v>18.440000000000001</v>
      </c>
      <c r="CW272">
        <f t="shared" si="251"/>
        <v>0</v>
      </c>
      <c r="CX272">
        <f t="shared" si="252"/>
        <v>0</v>
      </c>
      <c r="CY272">
        <f t="shared" si="253"/>
        <v>2887.8850000000002</v>
      </c>
      <c r="CZ272">
        <f t="shared" si="254"/>
        <v>412.55500000000001</v>
      </c>
      <c r="DC272" t="s">
        <v>3</v>
      </c>
      <c r="DD272" t="s">
        <v>3</v>
      </c>
      <c r="DE272" t="s">
        <v>3</v>
      </c>
      <c r="DF272" t="s">
        <v>3</v>
      </c>
      <c r="DG272" t="s">
        <v>3</v>
      </c>
      <c r="DH272" t="s">
        <v>3</v>
      </c>
      <c r="DI272" t="s">
        <v>3</v>
      </c>
      <c r="DJ272" t="s">
        <v>3</v>
      </c>
      <c r="DK272" t="s">
        <v>3</v>
      </c>
      <c r="DL272" t="s">
        <v>3</v>
      </c>
      <c r="DM272" t="s">
        <v>3</v>
      </c>
      <c r="DN272">
        <v>0</v>
      </c>
      <c r="DO272">
        <v>0</v>
      </c>
      <c r="DP272">
        <v>1</v>
      </c>
      <c r="DQ272">
        <v>1</v>
      </c>
      <c r="DU272">
        <v>1005</v>
      </c>
      <c r="DV272" t="s">
        <v>38</v>
      </c>
      <c r="DW272" t="s">
        <v>38</v>
      </c>
      <c r="DX272">
        <v>100</v>
      </c>
      <c r="EE272">
        <v>52362078</v>
      </c>
      <c r="EF272">
        <v>1</v>
      </c>
      <c r="EG272" t="s">
        <v>22</v>
      </c>
      <c r="EH272">
        <v>0</v>
      </c>
      <c r="EI272" t="s">
        <v>3</v>
      </c>
      <c r="EJ272">
        <v>4</v>
      </c>
      <c r="EK272">
        <v>0</v>
      </c>
      <c r="EL272" t="s">
        <v>23</v>
      </c>
      <c r="EM272" t="s">
        <v>24</v>
      </c>
      <c r="EO272" t="s">
        <v>3</v>
      </c>
      <c r="EQ272">
        <v>131072</v>
      </c>
      <c r="ER272">
        <v>109053.5</v>
      </c>
      <c r="ES272">
        <v>102359.62</v>
      </c>
      <c r="ET272">
        <v>2617.25</v>
      </c>
      <c r="EU272">
        <v>2063.46</v>
      </c>
      <c r="EV272">
        <v>4076.63</v>
      </c>
      <c r="EW272">
        <v>18.440000000000001</v>
      </c>
      <c r="EX272">
        <v>0</v>
      </c>
      <c r="EY272">
        <v>0</v>
      </c>
      <c r="FQ272">
        <v>0</v>
      </c>
      <c r="FR272">
        <f t="shared" si="255"/>
        <v>0</v>
      </c>
      <c r="FS272">
        <v>0</v>
      </c>
      <c r="FX272">
        <v>70</v>
      </c>
      <c r="FY272">
        <v>10</v>
      </c>
      <c r="GA272" t="s">
        <v>3</v>
      </c>
      <c r="GD272">
        <v>0</v>
      </c>
      <c r="GF272">
        <v>-2129199936</v>
      </c>
      <c r="GG272">
        <v>2</v>
      </c>
      <c r="GH272">
        <v>1</v>
      </c>
      <c r="GI272">
        <v>-2</v>
      </c>
      <c r="GJ272">
        <v>0</v>
      </c>
      <c r="GK272">
        <f>ROUND(R272*(R12)/100,2)</f>
        <v>2255.2800000000002</v>
      </c>
      <c r="GL272">
        <f t="shared" si="256"/>
        <v>0</v>
      </c>
      <c r="GM272">
        <f t="shared" si="257"/>
        <v>115917.88</v>
      </c>
      <c r="GN272">
        <f t="shared" si="258"/>
        <v>0</v>
      </c>
      <c r="GO272">
        <f t="shared" si="259"/>
        <v>0</v>
      </c>
      <c r="GP272">
        <f t="shared" si="260"/>
        <v>115917.88</v>
      </c>
      <c r="GR272">
        <v>0</v>
      </c>
      <c r="GS272">
        <v>3</v>
      </c>
      <c r="GT272">
        <v>0</v>
      </c>
      <c r="GU272" t="s">
        <v>3</v>
      </c>
      <c r="GV272">
        <f t="shared" si="261"/>
        <v>0</v>
      </c>
      <c r="GW272">
        <v>1</v>
      </c>
      <c r="GX272">
        <f t="shared" si="262"/>
        <v>0</v>
      </c>
      <c r="HA272">
        <v>0</v>
      </c>
      <c r="HB272">
        <v>0</v>
      </c>
      <c r="HC272">
        <f t="shared" si="263"/>
        <v>0</v>
      </c>
      <c r="HE272" t="s">
        <v>3</v>
      </c>
      <c r="HF272" t="s">
        <v>3</v>
      </c>
      <c r="IK272">
        <v>0</v>
      </c>
    </row>
    <row r="273" spans="1:245" x14ac:dyDescent="0.2">
      <c r="A273">
        <v>17</v>
      </c>
      <c r="B273">
        <v>1</v>
      </c>
      <c r="C273">
        <f>ROW(SmtRes!A291)</f>
        <v>291</v>
      </c>
      <c r="D273">
        <f>ROW(EtalonRes!A279)</f>
        <v>279</v>
      </c>
      <c r="E273" t="s">
        <v>279</v>
      </c>
      <c r="F273" t="s">
        <v>57</v>
      </c>
      <c r="G273" t="s">
        <v>58</v>
      </c>
      <c r="H273" t="s">
        <v>38</v>
      </c>
      <c r="I273">
        <f>ROUND(101.2/100,9)</f>
        <v>1.012</v>
      </c>
      <c r="J273">
        <v>0</v>
      </c>
      <c r="O273">
        <f t="shared" si="224"/>
        <v>20303.87</v>
      </c>
      <c r="P273">
        <f t="shared" si="225"/>
        <v>19195.23</v>
      </c>
      <c r="Q273">
        <f t="shared" si="226"/>
        <v>498.77</v>
      </c>
      <c r="R273">
        <f t="shared" si="227"/>
        <v>394.3</v>
      </c>
      <c r="S273">
        <f t="shared" si="228"/>
        <v>609.87</v>
      </c>
      <c r="T273">
        <f t="shared" si="229"/>
        <v>0</v>
      </c>
      <c r="U273">
        <f t="shared" si="230"/>
        <v>2.6818</v>
      </c>
      <c r="V273">
        <f t="shared" si="231"/>
        <v>0</v>
      </c>
      <c r="W273">
        <f t="shared" si="232"/>
        <v>0</v>
      </c>
      <c r="X273">
        <f t="shared" si="233"/>
        <v>426.91</v>
      </c>
      <c r="Y273">
        <f t="shared" si="234"/>
        <v>60.99</v>
      </c>
      <c r="AA273">
        <v>52430918</v>
      </c>
      <c r="AB273">
        <f t="shared" si="235"/>
        <v>20063.12</v>
      </c>
      <c r="AC273">
        <f t="shared" si="236"/>
        <v>18967.62</v>
      </c>
      <c r="AD273">
        <f t="shared" si="237"/>
        <v>492.86</v>
      </c>
      <c r="AE273">
        <f t="shared" si="238"/>
        <v>389.62</v>
      </c>
      <c r="AF273">
        <f t="shared" si="239"/>
        <v>602.64</v>
      </c>
      <c r="AG273">
        <f t="shared" si="240"/>
        <v>0</v>
      </c>
      <c r="AH273">
        <f t="shared" si="241"/>
        <v>2.65</v>
      </c>
      <c r="AI273">
        <f t="shared" si="242"/>
        <v>0</v>
      </c>
      <c r="AJ273">
        <f t="shared" si="243"/>
        <v>0</v>
      </c>
      <c r="AK273">
        <v>20063.12</v>
      </c>
      <c r="AL273">
        <v>18967.62</v>
      </c>
      <c r="AM273">
        <v>492.86</v>
      </c>
      <c r="AN273">
        <v>389.62</v>
      </c>
      <c r="AO273">
        <v>602.64</v>
      </c>
      <c r="AP273">
        <v>0</v>
      </c>
      <c r="AQ273">
        <v>2.65</v>
      </c>
      <c r="AR273">
        <v>0</v>
      </c>
      <c r="AS273">
        <v>0</v>
      </c>
      <c r="AT273">
        <v>70</v>
      </c>
      <c r="AU273">
        <v>10</v>
      </c>
      <c r="AV273">
        <v>1</v>
      </c>
      <c r="AW273">
        <v>1</v>
      </c>
      <c r="AZ273">
        <v>1</v>
      </c>
      <c r="BA273">
        <v>1</v>
      </c>
      <c r="BB273">
        <v>1</v>
      </c>
      <c r="BC273">
        <v>1</v>
      </c>
      <c r="BD273" t="s">
        <v>3</v>
      </c>
      <c r="BE273" t="s">
        <v>3</v>
      </c>
      <c r="BF273" t="s">
        <v>3</v>
      </c>
      <c r="BG273" t="s">
        <v>3</v>
      </c>
      <c r="BH273">
        <v>0</v>
      </c>
      <c r="BI273">
        <v>4</v>
      </c>
      <c r="BJ273" t="s">
        <v>59</v>
      </c>
      <c r="BM273">
        <v>0</v>
      </c>
      <c r="BN273">
        <v>0</v>
      </c>
      <c r="BO273" t="s">
        <v>3</v>
      </c>
      <c r="BP273">
        <v>0</v>
      </c>
      <c r="BQ273">
        <v>1</v>
      </c>
      <c r="BR273">
        <v>0</v>
      </c>
      <c r="BS273">
        <v>1</v>
      </c>
      <c r="BT273">
        <v>1</v>
      </c>
      <c r="BU273">
        <v>1</v>
      </c>
      <c r="BV273">
        <v>1</v>
      </c>
      <c r="BW273">
        <v>1</v>
      </c>
      <c r="BX273">
        <v>1</v>
      </c>
      <c r="BY273" t="s">
        <v>3</v>
      </c>
      <c r="BZ273">
        <v>70</v>
      </c>
      <c r="CA273">
        <v>10</v>
      </c>
      <c r="CE273">
        <v>0</v>
      </c>
      <c r="CF273">
        <v>0</v>
      </c>
      <c r="CG273">
        <v>0</v>
      </c>
      <c r="CM273">
        <v>0</v>
      </c>
      <c r="CN273" t="s">
        <v>3</v>
      </c>
      <c r="CO273">
        <v>0</v>
      </c>
      <c r="CP273">
        <f t="shared" si="244"/>
        <v>20303.87</v>
      </c>
      <c r="CQ273">
        <f t="shared" si="245"/>
        <v>18967.62</v>
      </c>
      <c r="CR273">
        <f t="shared" si="246"/>
        <v>492.86</v>
      </c>
      <c r="CS273">
        <f t="shared" si="247"/>
        <v>389.62</v>
      </c>
      <c r="CT273">
        <f t="shared" si="248"/>
        <v>602.64</v>
      </c>
      <c r="CU273">
        <f t="shared" si="249"/>
        <v>0</v>
      </c>
      <c r="CV273">
        <f t="shared" si="250"/>
        <v>2.65</v>
      </c>
      <c r="CW273">
        <f t="shared" si="251"/>
        <v>0</v>
      </c>
      <c r="CX273">
        <f t="shared" si="252"/>
        <v>0</v>
      </c>
      <c r="CY273">
        <f t="shared" si="253"/>
        <v>426.90899999999999</v>
      </c>
      <c r="CZ273">
        <f t="shared" si="254"/>
        <v>60.986999999999995</v>
      </c>
      <c r="DC273" t="s">
        <v>3</v>
      </c>
      <c r="DD273" t="s">
        <v>3</v>
      </c>
      <c r="DE273" t="s">
        <v>3</v>
      </c>
      <c r="DF273" t="s">
        <v>3</v>
      </c>
      <c r="DG273" t="s">
        <v>3</v>
      </c>
      <c r="DH273" t="s">
        <v>3</v>
      </c>
      <c r="DI273" t="s">
        <v>3</v>
      </c>
      <c r="DJ273" t="s">
        <v>3</v>
      </c>
      <c r="DK273" t="s">
        <v>3</v>
      </c>
      <c r="DL273" t="s">
        <v>3</v>
      </c>
      <c r="DM273" t="s">
        <v>3</v>
      </c>
      <c r="DN273">
        <v>0</v>
      </c>
      <c r="DO273">
        <v>0</v>
      </c>
      <c r="DP273">
        <v>1</v>
      </c>
      <c r="DQ273">
        <v>1</v>
      </c>
      <c r="DU273">
        <v>1005</v>
      </c>
      <c r="DV273" t="s">
        <v>38</v>
      </c>
      <c r="DW273" t="s">
        <v>38</v>
      </c>
      <c r="DX273">
        <v>100</v>
      </c>
      <c r="EE273">
        <v>52362078</v>
      </c>
      <c r="EF273">
        <v>1</v>
      </c>
      <c r="EG273" t="s">
        <v>22</v>
      </c>
      <c r="EH273">
        <v>0</v>
      </c>
      <c r="EI273" t="s">
        <v>3</v>
      </c>
      <c r="EJ273">
        <v>4</v>
      </c>
      <c r="EK273">
        <v>0</v>
      </c>
      <c r="EL273" t="s">
        <v>23</v>
      </c>
      <c r="EM273" t="s">
        <v>24</v>
      </c>
      <c r="EO273" t="s">
        <v>3</v>
      </c>
      <c r="EQ273">
        <v>131072</v>
      </c>
      <c r="ER273">
        <v>20063.12</v>
      </c>
      <c r="ES273">
        <v>18967.62</v>
      </c>
      <c r="ET273">
        <v>492.86</v>
      </c>
      <c r="EU273">
        <v>389.62</v>
      </c>
      <c r="EV273">
        <v>602.64</v>
      </c>
      <c r="EW273">
        <v>2.65</v>
      </c>
      <c r="EX273">
        <v>0</v>
      </c>
      <c r="EY273">
        <v>0</v>
      </c>
      <c r="FQ273">
        <v>0</v>
      </c>
      <c r="FR273">
        <f t="shared" si="255"/>
        <v>0</v>
      </c>
      <c r="FS273">
        <v>0</v>
      </c>
      <c r="FX273">
        <v>70</v>
      </c>
      <c r="FY273">
        <v>10</v>
      </c>
      <c r="GA273" t="s">
        <v>3</v>
      </c>
      <c r="GD273">
        <v>0</v>
      </c>
      <c r="GF273">
        <v>-1181657983</v>
      </c>
      <c r="GG273">
        <v>2</v>
      </c>
      <c r="GH273">
        <v>1</v>
      </c>
      <c r="GI273">
        <v>-2</v>
      </c>
      <c r="GJ273">
        <v>0</v>
      </c>
      <c r="GK273">
        <f>ROUND(R273*(R12)/100,2)</f>
        <v>425.84</v>
      </c>
      <c r="GL273">
        <f t="shared" si="256"/>
        <v>0</v>
      </c>
      <c r="GM273">
        <f t="shared" si="257"/>
        <v>21217.61</v>
      </c>
      <c r="GN273">
        <f t="shared" si="258"/>
        <v>0</v>
      </c>
      <c r="GO273">
        <f t="shared" si="259"/>
        <v>0</v>
      </c>
      <c r="GP273">
        <f t="shared" si="260"/>
        <v>21217.61</v>
      </c>
      <c r="GR273">
        <v>0</v>
      </c>
      <c r="GS273">
        <v>3</v>
      </c>
      <c r="GT273">
        <v>0</v>
      </c>
      <c r="GU273" t="s">
        <v>3</v>
      </c>
      <c r="GV273">
        <f t="shared" si="261"/>
        <v>0</v>
      </c>
      <c r="GW273">
        <v>1</v>
      </c>
      <c r="GX273">
        <f t="shared" si="262"/>
        <v>0</v>
      </c>
      <c r="HA273">
        <v>0</v>
      </c>
      <c r="HB273">
        <v>0</v>
      </c>
      <c r="HC273">
        <f t="shared" si="263"/>
        <v>0</v>
      </c>
      <c r="HE273" t="s">
        <v>3</v>
      </c>
      <c r="HF273" t="s">
        <v>3</v>
      </c>
      <c r="IK273">
        <v>0</v>
      </c>
    </row>
    <row r="274" spans="1:245" x14ac:dyDescent="0.2">
      <c r="A274">
        <v>17</v>
      </c>
      <c r="B274">
        <v>1</v>
      </c>
      <c r="C274">
        <f>ROW(SmtRes!A292)</f>
        <v>292</v>
      </c>
      <c r="D274">
        <f>ROW(EtalonRes!A280)</f>
        <v>280</v>
      </c>
      <c r="E274" t="s">
        <v>280</v>
      </c>
      <c r="F274" t="s">
        <v>61</v>
      </c>
      <c r="G274" t="s">
        <v>62</v>
      </c>
      <c r="H274" t="s">
        <v>33</v>
      </c>
      <c r="I274">
        <v>0</v>
      </c>
      <c r="J274">
        <v>0</v>
      </c>
      <c r="O274">
        <f t="shared" si="224"/>
        <v>0</v>
      </c>
      <c r="P274">
        <f t="shared" si="225"/>
        <v>0</v>
      </c>
      <c r="Q274">
        <f t="shared" si="226"/>
        <v>0</v>
      </c>
      <c r="R274">
        <f t="shared" si="227"/>
        <v>0</v>
      </c>
      <c r="S274">
        <f t="shared" si="228"/>
        <v>0</v>
      </c>
      <c r="T274">
        <f t="shared" si="229"/>
        <v>0</v>
      </c>
      <c r="U274">
        <f t="shared" si="230"/>
        <v>0</v>
      </c>
      <c r="V274">
        <f t="shared" si="231"/>
        <v>0</v>
      </c>
      <c r="W274">
        <f t="shared" si="232"/>
        <v>0</v>
      </c>
      <c r="X274">
        <f t="shared" si="233"/>
        <v>0</v>
      </c>
      <c r="Y274">
        <f t="shared" si="234"/>
        <v>0</v>
      </c>
      <c r="AA274">
        <v>52430918</v>
      </c>
      <c r="AB274">
        <f t="shared" si="235"/>
        <v>41951.1</v>
      </c>
      <c r="AC274">
        <f t="shared" si="236"/>
        <v>0</v>
      </c>
      <c r="AD274">
        <f t="shared" si="237"/>
        <v>0</v>
      </c>
      <c r="AE274">
        <f t="shared" si="238"/>
        <v>0</v>
      </c>
      <c r="AF274">
        <f t="shared" si="239"/>
        <v>41951.1</v>
      </c>
      <c r="AG274">
        <f t="shared" si="240"/>
        <v>0</v>
      </c>
      <c r="AH274">
        <f t="shared" si="241"/>
        <v>221.6</v>
      </c>
      <c r="AI274">
        <f t="shared" si="242"/>
        <v>0</v>
      </c>
      <c r="AJ274">
        <f t="shared" si="243"/>
        <v>0</v>
      </c>
      <c r="AK274">
        <v>41951.1</v>
      </c>
      <c r="AL274">
        <v>0</v>
      </c>
      <c r="AM274">
        <v>0</v>
      </c>
      <c r="AN274">
        <v>0</v>
      </c>
      <c r="AO274">
        <v>41951.1</v>
      </c>
      <c r="AP274">
        <v>0</v>
      </c>
      <c r="AQ274">
        <v>221.6</v>
      </c>
      <c r="AR274">
        <v>0</v>
      </c>
      <c r="AS274">
        <v>0</v>
      </c>
      <c r="AT274">
        <v>70</v>
      </c>
      <c r="AU274">
        <v>10</v>
      </c>
      <c r="AV274">
        <v>1</v>
      </c>
      <c r="AW274">
        <v>1</v>
      </c>
      <c r="AZ274">
        <v>1</v>
      </c>
      <c r="BA274">
        <v>1</v>
      </c>
      <c r="BB274">
        <v>1</v>
      </c>
      <c r="BC274">
        <v>1</v>
      </c>
      <c r="BD274" t="s">
        <v>3</v>
      </c>
      <c r="BE274" t="s">
        <v>3</v>
      </c>
      <c r="BF274" t="s">
        <v>3</v>
      </c>
      <c r="BG274" t="s">
        <v>3</v>
      </c>
      <c r="BH274">
        <v>0</v>
      </c>
      <c r="BI274">
        <v>4</v>
      </c>
      <c r="BJ274" t="s">
        <v>63</v>
      </c>
      <c r="BM274">
        <v>0</v>
      </c>
      <c r="BN274">
        <v>0</v>
      </c>
      <c r="BO274" t="s">
        <v>3</v>
      </c>
      <c r="BP274">
        <v>0</v>
      </c>
      <c r="BQ274">
        <v>1</v>
      </c>
      <c r="BR274">
        <v>0</v>
      </c>
      <c r="BS274">
        <v>1</v>
      </c>
      <c r="BT274">
        <v>1</v>
      </c>
      <c r="BU274">
        <v>1</v>
      </c>
      <c r="BV274">
        <v>1</v>
      </c>
      <c r="BW274">
        <v>1</v>
      </c>
      <c r="BX274">
        <v>1</v>
      </c>
      <c r="BY274" t="s">
        <v>3</v>
      </c>
      <c r="BZ274">
        <v>70</v>
      </c>
      <c r="CA274">
        <v>10</v>
      </c>
      <c r="CE274">
        <v>0</v>
      </c>
      <c r="CF274">
        <v>0</v>
      </c>
      <c r="CG274">
        <v>0</v>
      </c>
      <c r="CM274">
        <v>0</v>
      </c>
      <c r="CN274" t="s">
        <v>3</v>
      </c>
      <c r="CO274">
        <v>0</v>
      </c>
      <c r="CP274">
        <f t="shared" si="244"/>
        <v>0</v>
      </c>
      <c r="CQ274">
        <f t="shared" si="245"/>
        <v>0</v>
      </c>
      <c r="CR274">
        <f t="shared" si="246"/>
        <v>0</v>
      </c>
      <c r="CS274">
        <f t="shared" si="247"/>
        <v>0</v>
      </c>
      <c r="CT274">
        <f t="shared" si="248"/>
        <v>41951.1</v>
      </c>
      <c r="CU274">
        <f t="shared" si="249"/>
        <v>0</v>
      </c>
      <c r="CV274">
        <f t="shared" si="250"/>
        <v>221.6</v>
      </c>
      <c r="CW274">
        <f t="shared" si="251"/>
        <v>0</v>
      </c>
      <c r="CX274">
        <f t="shared" si="252"/>
        <v>0</v>
      </c>
      <c r="CY274">
        <f t="shared" si="253"/>
        <v>0</v>
      </c>
      <c r="CZ274">
        <f t="shared" si="254"/>
        <v>0</v>
      </c>
      <c r="DC274" t="s">
        <v>3</v>
      </c>
      <c r="DD274" t="s">
        <v>3</v>
      </c>
      <c r="DE274" t="s">
        <v>3</v>
      </c>
      <c r="DF274" t="s">
        <v>3</v>
      </c>
      <c r="DG274" t="s">
        <v>3</v>
      </c>
      <c r="DH274" t="s">
        <v>3</v>
      </c>
      <c r="DI274" t="s">
        <v>3</v>
      </c>
      <c r="DJ274" t="s">
        <v>3</v>
      </c>
      <c r="DK274" t="s">
        <v>3</v>
      </c>
      <c r="DL274" t="s">
        <v>3</v>
      </c>
      <c r="DM274" t="s">
        <v>3</v>
      </c>
      <c r="DN274">
        <v>0</v>
      </c>
      <c r="DO274">
        <v>0</v>
      </c>
      <c r="DP274">
        <v>1</v>
      </c>
      <c r="DQ274">
        <v>1</v>
      </c>
      <c r="DU274">
        <v>1007</v>
      </c>
      <c r="DV274" t="s">
        <v>33</v>
      </c>
      <c r="DW274" t="s">
        <v>33</v>
      </c>
      <c r="DX274">
        <v>100</v>
      </c>
      <c r="EE274">
        <v>52362078</v>
      </c>
      <c r="EF274">
        <v>1</v>
      </c>
      <c r="EG274" t="s">
        <v>22</v>
      </c>
      <c r="EH274">
        <v>0</v>
      </c>
      <c r="EI274" t="s">
        <v>3</v>
      </c>
      <c r="EJ274">
        <v>4</v>
      </c>
      <c r="EK274">
        <v>0</v>
      </c>
      <c r="EL274" t="s">
        <v>23</v>
      </c>
      <c r="EM274" t="s">
        <v>24</v>
      </c>
      <c r="EO274" t="s">
        <v>3</v>
      </c>
      <c r="EQ274">
        <v>131072</v>
      </c>
      <c r="ER274">
        <v>41951.1</v>
      </c>
      <c r="ES274">
        <v>0</v>
      </c>
      <c r="ET274">
        <v>0</v>
      </c>
      <c r="EU274">
        <v>0</v>
      </c>
      <c r="EV274">
        <v>41951.1</v>
      </c>
      <c r="EW274">
        <v>221.6</v>
      </c>
      <c r="EX274">
        <v>0</v>
      </c>
      <c r="EY274">
        <v>0</v>
      </c>
      <c r="FQ274">
        <v>0</v>
      </c>
      <c r="FR274">
        <f t="shared" si="255"/>
        <v>0</v>
      </c>
      <c r="FS274">
        <v>0</v>
      </c>
      <c r="FX274">
        <v>70</v>
      </c>
      <c r="FY274">
        <v>10</v>
      </c>
      <c r="GA274" t="s">
        <v>3</v>
      </c>
      <c r="GD274">
        <v>0</v>
      </c>
      <c r="GF274">
        <v>-1535592702</v>
      </c>
      <c r="GG274">
        <v>2</v>
      </c>
      <c r="GH274">
        <v>1</v>
      </c>
      <c r="GI274">
        <v>-2</v>
      </c>
      <c r="GJ274">
        <v>0</v>
      </c>
      <c r="GK274">
        <f>ROUND(R274*(R12)/100,2)</f>
        <v>0</v>
      </c>
      <c r="GL274">
        <f t="shared" si="256"/>
        <v>0</v>
      </c>
      <c r="GM274">
        <f t="shared" si="257"/>
        <v>0</v>
      </c>
      <c r="GN274">
        <f t="shared" si="258"/>
        <v>0</v>
      </c>
      <c r="GO274">
        <f t="shared" si="259"/>
        <v>0</v>
      </c>
      <c r="GP274">
        <f t="shared" si="260"/>
        <v>0</v>
      </c>
      <c r="GR274">
        <v>0</v>
      </c>
      <c r="GS274">
        <v>3</v>
      </c>
      <c r="GT274">
        <v>0</v>
      </c>
      <c r="GU274" t="s">
        <v>3</v>
      </c>
      <c r="GV274">
        <f t="shared" si="261"/>
        <v>0</v>
      </c>
      <c r="GW274">
        <v>1</v>
      </c>
      <c r="GX274">
        <f t="shared" si="262"/>
        <v>0</v>
      </c>
      <c r="HA274">
        <v>0</v>
      </c>
      <c r="HB274">
        <v>0</v>
      </c>
      <c r="HC274">
        <f t="shared" si="263"/>
        <v>0</v>
      </c>
      <c r="HE274" t="s">
        <v>3</v>
      </c>
      <c r="HF274" t="s">
        <v>3</v>
      </c>
      <c r="IK274">
        <v>0</v>
      </c>
    </row>
    <row r="275" spans="1:245" x14ac:dyDescent="0.2">
      <c r="A275">
        <v>17</v>
      </c>
      <c r="B275">
        <v>1</v>
      </c>
      <c r="C275">
        <f>ROW(SmtRes!A300)</f>
        <v>300</v>
      </c>
      <c r="D275">
        <f>ROW(EtalonRes!A288)</f>
        <v>288</v>
      </c>
      <c r="E275" t="s">
        <v>281</v>
      </c>
      <c r="F275" t="s">
        <v>31</v>
      </c>
      <c r="G275" t="s">
        <v>65</v>
      </c>
      <c r="H275" t="s">
        <v>33</v>
      </c>
      <c r="I275">
        <v>0</v>
      </c>
      <c r="J275">
        <v>0</v>
      </c>
      <c r="O275">
        <f t="shared" si="224"/>
        <v>0</v>
      </c>
      <c r="P275">
        <f t="shared" si="225"/>
        <v>0</v>
      </c>
      <c r="Q275">
        <f t="shared" si="226"/>
        <v>0</v>
      </c>
      <c r="R275">
        <f t="shared" si="227"/>
        <v>0</v>
      </c>
      <c r="S275">
        <f t="shared" si="228"/>
        <v>0</v>
      </c>
      <c r="T275">
        <f t="shared" si="229"/>
        <v>0</v>
      </c>
      <c r="U275">
        <f t="shared" si="230"/>
        <v>0</v>
      </c>
      <c r="V275">
        <f t="shared" si="231"/>
        <v>0</v>
      </c>
      <c r="W275">
        <f t="shared" si="232"/>
        <v>0</v>
      </c>
      <c r="X275">
        <f t="shared" si="233"/>
        <v>0</v>
      </c>
      <c r="Y275">
        <f t="shared" si="234"/>
        <v>0</v>
      </c>
      <c r="AA275">
        <v>52430918</v>
      </c>
      <c r="AB275">
        <f t="shared" si="235"/>
        <v>75863.820000000007</v>
      </c>
      <c r="AC275">
        <f t="shared" si="236"/>
        <v>65162.05</v>
      </c>
      <c r="AD275">
        <f t="shared" si="237"/>
        <v>7602.23</v>
      </c>
      <c r="AE275">
        <f t="shared" si="238"/>
        <v>3222.98</v>
      </c>
      <c r="AF275">
        <f t="shared" si="239"/>
        <v>3099.54</v>
      </c>
      <c r="AG275">
        <f t="shared" si="240"/>
        <v>0</v>
      </c>
      <c r="AH275">
        <f t="shared" si="241"/>
        <v>16.559999999999999</v>
      </c>
      <c r="AI275">
        <f t="shared" si="242"/>
        <v>0</v>
      </c>
      <c r="AJ275">
        <f t="shared" si="243"/>
        <v>0</v>
      </c>
      <c r="AK275">
        <v>75863.820000000007</v>
      </c>
      <c r="AL275">
        <v>65162.05</v>
      </c>
      <c r="AM275">
        <v>7602.23</v>
      </c>
      <c r="AN275">
        <v>3222.98</v>
      </c>
      <c r="AO275">
        <v>3099.54</v>
      </c>
      <c r="AP275">
        <v>0</v>
      </c>
      <c r="AQ275">
        <v>16.559999999999999</v>
      </c>
      <c r="AR275">
        <v>0</v>
      </c>
      <c r="AS275">
        <v>0</v>
      </c>
      <c r="AT275">
        <v>70</v>
      </c>
      <c r="AU275">
        <v>10</v>
      </c>
      <c r="AV275">
        <v>1</v>
      </c>
      <c r="AW275">
        <v>1</v>
      </c>
      <c r="AZ275">
        <v>1</v>
      </c>
      <c r="BA275">
        <v>1</v>
      </c>
      <c r="BB275">
        <v>1</v>
      </c>
      <c r="BC275">
        <v>1</v>
      </c>
      <c r="BD275" t="s">
        <v>3</v>
      </c>
      <c r="BE275" t="s">
        <v>3</v>
      </c>
      <c r="BF275" t="s">
        <v>3</v>
      </c>
      <c r="BG275" t="s">
        <v>3</v>
      </c>
      <c r="BH275">
        <v>0</v>
      </c>
      <c r="BI275">
        <v>4</v>
      </c>
      <c r="BJ275" t="s">
        <v>34</v>
      </c>
      <c r="BM275">
        <v>0</v>
      </c>
      <c r="BN275">
        <v>0</v>
      </c>
      <c r="BO275" t="s">
        <v>3</v>
      </c>
      <c r="BP275">
        <v>0</v>
      </c>
      <c r="BQ275">
        <v>1</v>
      </c>
      <c r="BR275">
        <v>0</v>
      </c>
      <c r="BS275">
        <v>1</v>
      </c>
      <c r="BT275">
        <v>1</v>
      </c>
      <c r="BU275">
        <v>1</v>
      </c>
      <c r="BV275">
        <v>1</v>
      </c>
      <c r="BW275">
        <v>1</v>
      </c>
      <c r="BX275">
        <v>1</v>
      </c>
      <c r="BY275" t="s">
        <v>3</v>
      </c>
      <c r="BZ275">
        <v>70</v>
      </c>
      <c r="CA275">
        <v>10</v>
      </c>
      <c r="CE275">
        <v>0</v>
      </c>
      <c r="CF275">
        <v>0</v>
      </c>
      <c r="CG275">
        <v>0</v>
      </c>
      <c r="CM275">
        <v>0</v>
      </c>
      <c r="CN275" t="s">
        <v>3</v>
      </c>
      <c r="CO275">
        <v>0</v>
      </c>
      <c r="CP275">
        <f t="shared" si="244"/>
        <v>0</v>
      </c>
      <c r="CQ275">
        <f t="shared" si="245"/>
        <v>65162.05</v>
      </c>
      <c r="CR275">
        <f t="shared" si="246"/>
        <v>7602.23</v>
      </c>
      <c r="CS275">
        <f t="shared" si="247"/>
        <v>3222.98</v>
      </c>
      <c r="CT275">
        <f t="shared" si="248"/>
        <v>3099.54</v>
      </c>
      <c r="CU275">
        <f t="shared" si="249"/>
        <v>0</v>
      </c>
      <c r="CV275">
        <f t="shared" si="250"/>
        <v>16.559999999999999</v>
      </c>
      <c r="CW275">
        <f t="shared" si="251"/>
        <v>0</v>
      </c>
      <c r="CX275">
        <f t="shared" si="252"/>
        <v>0</v>
      </c>
      <c r="CY275">
        <f t="shared" si="253"/>
        <v>0</v>
      </c>
      <c r="CZ275">
        <f t="shared" si="254"/>
        <v>0</v>
      </c>
      <c r="DC275" t="s">
        <v>3</v>
      </c>
      <c r="DD275" t="s">
        <v>3</v>
      </c>
      <c r="DE275" t="s">
        <v>3</v>
      </c>
      <c r="DF275" t="s">
        <v>3</v>
      </c>
      <c r="DG275" t="s">
        <v>3</v>
      </c>
      <c r="DH275" t="s">
        <v>3</v>
      </c>
      <c r="DI275" t="s">
        <v>3</v>
      </c>
      <c r="DJ275" t="s">
        <v>3</v>
      </c>
      <c r="DK275" t="s">
        <v>3</v>
      </c>
      <c r="DL275" t="s">
        <v>3</v>
      </c>
      <c r="DM275" t="s">
        <v>3</v>
      </c>
      <c r="DN275">
        <v>0</v>
      </c>
      <c r="DO275">
        <v>0</v>
      </c>
      <c r="DP275">
        <v>1</v>
      </c>
      <c r="DQ275">
        <v>1</v>
      </c>
      <c r="DU275">
        <v>1007</v>
      </c>
      <c r="DV275" t="s">
        <v>33</v>
      </c>
      <c r="DW275" t="s">
        <v>33</v>
      </c>
      <c r="DX275">
        <v>100</v>
      </c>
      <c r="EE275">
        <v>52362078</v>
      </c>
      <c r="EF275">
        <v>1</v>
      </c>
      <c r="EG275" t="s">
        <v>22</v>
      </c>
      <c r="EH275">
        <v>0</v>
      </c>
      <c r="EI275" t="s">
        <v>3</v>
      </c>
      <c r="EJ275">
        <v>4</v>
      </c>
      <c r="EK275">
        <v>0</v>
      </c>
      <c r="EL275" t="s">
        <v>23</v>
      </c>
      <c r="EM275" t="s">
        <v>24</v>
      </c>
      <c r="EO275" t="s">
        <v>3</v>
      </c>
      <c r="EQ275">
        <v>131072</v>
      </c>
      <c r="ER275">
        <v>75863.820000000007</v>
      </c>
      <c r="ES275">
        <v>65162.05</v>
      </c>
      <c r="ET275">
        <v>7602.23</v>
      </c>
      <c r="EU275">
        <v>3222.98</v>
      </c>
      <c r="EV275">
        <v>3099.54</v>
      </c>
      <c r="EW275">
        <v>16.559999999999999</v>
      </c>
      <c r="EX275">
        <v>0</v>
      </c>
      <c r="EY275">
        <v>0</v>
      </c>
      <c r="FQ275">
        <v>0</v>
      </c>
      <c r="FR275">
        <f t="shared" si="255"/>
        <v>0</v>
      </c>
      <c r="FS275">
        <v>0</v>
      </c>
      <c r="FX275">
        <v>70</v>
      </c>
      <c r="FY275">
        <v>10</v>
      </c>
      <c r="GA275" t="s">
        <v>3</v>
      </c>
      <c r="GD275">
        <v>0</v>
      </c>
      <c r="GF275">
        <v>-1374033590</v>
      </c>
      <c r="GG275">
        <v>2</v>
      </c>
      <c r="GH275">
        <v>1</v>
      </c>
      <c r="GI275">
        <v>-2</v>
      </c>
      <c r="GJ275">
        <v>0</v>
      </c>
      <c r="GK275">
        <f>ROUND(R275*(R12)/100,2)</f>
        <v>0</v>
      </c>
      <c r="GL275">
        <f t="shared" si="256"/>
        <v>0</v>
      </c>
      <c r="GM275">
        <f t="shared" si="257"/>
        <v>0</v>
      </c>
      <c r="GN275">
        <f t="shared" si="258"/>
        <v>0</v>
      </c>
      <c r="GO275">
        <f t="shared" si="259"/>
        <v>0</v>
      </c>
      <c r="GP275">
        <f t="shared" si="260"/>
        <v>0</v>
      </c>
      <c r="GR275">
        <v>0</v>
      </c>
      <c r="GS275">
        <v>3</v>
      </c>
      <c r="GT275">
        <v>0</v>
      </c>
      <c r="GU275" t="s">
        <v>3</v>
      </c>
      <c r="GV275">
        <f t="shared" si="261"/>
        <v>0</v>
      </c>
      <c r="GW275">
        <v>1</v>
      </c>
      <c r="GX275">
        <f t="shared" si="262"/>
        <v>0</v>
      </c>
      <c r="HA275">
        <v>0</v>
      </c>
      <c r="HB275">
        <v>0</v>
      </c>
      <c r="HC275">
        <f t="shared" si="263"/>
        <v>0</v>
      </c>
      <c r="HE275" t="s">
        <v>3</v>
      </c>
      <c r="HF275" t="s">
        <v>3</v>
      </c>
      <c r="IK275">
        <v>0</v>
      </c>
    </row>
    <row r="276" spans="1:245" x14ac:dyDescent="0.2">
      <c r="A276">
        <v>17</v>
      </c>
      <c r="B276">
        <v>1</v>
      </c>
      <c r="C276">
        <f>ROW(SmtRes!A305)</f>
        <v>305</v>
      </c>
      <c r="D276">
        <f>ROW(EtalonRes!A293)</f>
        <v>293</v>
      </c>
      <c r="E276" t="s">
        <v>282</v>
      </c>
      <c r="F276" t="s">
        <v>67</v>
      </c>
      <c r="G276" t="s">
        <v>68</v>
      </c>
      <c r="H276" t="s">
        <v>69</v>
      </c>
      <c r="I276">
        <f>ROUND(40.4/100,9)</f>
        <v>0.40400000000000003</v>
      </c>
      <c r="J276">
        <v>0</v>
      </c>
      <c r="O276">
        <f t="shared" si="224"/>
        <v>20001.37</v>
      </c>
      <c r="P276">
        <f t="shared" si="225"/>
        <v>13957.27</v>
      </c>
      <c r="Q276">
        <f t="shared" si="226"/>
        <v>71.84</v>
      </c>
      <c r="R276">
        <f t="shared" si="227"/>
        <v>39</v>
      </c>
      <c r="S276">
        <f t="shared" si="228"/>
        <v>5972.26</v>
      </c>
      <c r="T276">
        <f t="shared" si="229"/>
        <v>0</v>
      </c>
      <c r="U276">
        <f t="shared" si="230"/>
        <v>29.471800000000002</v>
      </c>
      <c r="V276">
        <f t="shared" si="231"/>
        <v>0</v>
      </c>
      <c r="W276">
        <f t="shared" si="232"/>
        <v>0</v>
      </c>
      <c r="X276">
        <f t="shared" si="233"/>
        <v>4180.58</v>
      </c>
      <c r="Y276">
        <f t="shared" si="234"/>
        <v>597.23</v>
      </c>
      <c r="AA276">
        <v>52430918</v>
      </c>
      <c r="AB276">
        <f t="shared" si="235"/>
        <v>49508.32</v>
      </c>
      <c r="AC276">
        <f t="shared" si="236"/>
        <v>34547.699999999997</v>
      </c>
      <c r="AD276">
        <f t="shared" si="237"/>
        <v>177.81</v>
      </c>
      <c r="AE276">
        <f t="shared" si="238"/>
        <v>96.53</v>
      </c>
      <c r="AF276">
        <f t="shared" si="239"/>
        <v>14782.81</v>
      </c>
      <c r="AG276">
        <f t="shared" si="240"/>
        <v>0</v>
      </c>
      <c r="AH276">
        <f t="shared" si="241"/>
        <v>72.95</v>
      </c>
      <c r="AI276">
        <f t="shared" si="242"/>
        <v>0</v>
      </c>
      <c r="AJ276">
        <f t="shared" si="243"/>
        <v>0</v>
      </c>
      <c r="AK276">
        <v>49508.32</v>
      </c>
      <c r="AL276">
        <v>34547.699999999997</v>
      </c>
      <c r="AM276">
        <v>177.81</v>
      </c>
      <c r="AN276">
        <v>96.53</v>
      </c>
      <c r="AO276">
        <v>14782.81</v>
      </c>
      <c r="AP276">
        <v>0</v>
      </c>
      <c r="AQ276">
        <v>72.95</v>
      </c>
      <c r="AR276">
        <v>0</v>
      </c>
      <c r="AS276">
        <v>0</v>
      </c>
      <c r="AT276">
        <v>70</v>
      </c>
      <c r="AU276">
        <v>10</v>
      </c>
      <c r="AV276">
        <v>1</v>
      </c>
      <c r="AW276">
        <v>1</v>
      </c>
      <c r="AZ276">
        <v>1</v>
      </c>
      <c r="BA276">
        <v>1</v>
      </c>
      <c r="BB276">
        <v>1</v>
      </c>
      <c r="BC276">
        <v>1</v>
      </c>
      <c r="BD276" t="s">
        <v>3</v>
      </c>
      <c r="BE276" t="s">
        <v>3</v>
      </c>
      <c r="BF276" t="s">
        <v>3</v>
      </c>
      <c r="BG276" t="s">
        <v>3</v>
      </c>
      <c r="BH276">
        <v>0</v>
      </c>
      <c r="BI276">
        <v>4</v>
      </c>
      <c r="BJ276" t="s">
        <v>70</v>
      </c>
      <c r="BM276">
        <v>0</v>
      </c>
      <c r="BN276">
        <v>0</v>
      </c>
      <c r="BO276" t="s">
        <v>3</v>
      </c>
      <c r="BP276">
        <v>0</v>
      </c>
      <c r="BQ276">
        <v>1</v>
      </c>
      <c r="BR276">
        <v>0</v>
      </c>
      <c r="BS276">
        <v>1</v>
      </c>
      <c r="BT276">
        <v>1</v>
      </c>
      <c r="BU276">
        <v>1</v>
      </c>
      <c r="BV276">
        <v>1</v>
      </c>
      <c r="BW276">
        <v>1</v>
      </c>
      <c r="BX276">
        <v>1</v>
      </c>
      <c r="BY276" t="s">
        <v>3</v>
      </c>
      <c r="BZ276">
        <v>70</v>
      </c>
      <c r="CA276">
        <v>10</v>
      </c>
      <c r="CE276">
        <v>0</v>
      </c>
      <c r="CF276">
        <v>0</v>
      </c>
      <c r="CG276">
        <v>0</v>
      </c>
      <c r="CM276">
        <v>0</v>
      </c>
      <c r="CN276" t="s">
        <v>3</v>
      </c>
      <c r="CO276">
        <v>0</v>
      </c>
      <c r="CP276">
        <f t="shared" si="244"/>
        <v>20001.370000000003</v>
      </c>
      <c r="CQ276">
        <f t="shared" si="245"/>
        <v>34547.699999999997</v>
      </c>
      <c r="CR276">
        <f t="shared" si="246"/>
        <v>177.81</v>
      </c>
      <c r="CS276">
        <f t="shared" si="247"/>
        <v>96.53</v>
      </c>
      <c r="CT276">
        <f t="shared" si="248"/>
        <v>14782.81</v>
      </c>
      <c r="CU276">
        <f t="shared" si="249"/>
        <v>0</v>
      </c>
      <c r="CV276">
        <f t="shared" si="250"/>
        <v>72.95</v>
      </c>
      <c r="CW276">
        <f t="shared" si="251"/>
        <v>0</v>
      </c>
      <c r="CX276">
        <f t="shared" si="252"/>
        <v>0</v>
      </c>
      <c r="CY276">
        <f t="shared" si="253"/>
        <v>4180.5820000000003</v>
      </c>
      <c r="CZ276">
        <f t="shared" si="254"/>
        <v>597.22600000000011</v>
      </c>
      <c r="DC276" t="s">
        <v>3</v>
      </c>
      <c r="DD276" t="s">
        <v>3</v>
      </c>
      <c r="DE276" t="s">
        <v>3</v>
      </c>
      <c r="DF276" t="s">
        <v>3</v>
      </c>
      <c r="DG276" t="s">
        <v>3</v>
      </c>
      <c r="DH276" t="s">
        <v>3</v>
      </c>
      <c r="DI276" t="s">
        <v>3</v>
      </c>
      <c r="DJ276" t="s">
        <v>3</v>
      </c>
      <c r="DK276" t="s">
        <v>3</v>
      </c>
      <c r="DL276" t="s">
        <v>3</v>
      </c>
      <c r="DM276" t="s">
        <v>3</v>
      </c>
      <c r="DN276">
        <v>0</v>
      </c>
      <c r="DO276">
        <v>0</v>
      </c>
      <c r="DP276">
        <v>1</v>
      </c>
      <c r="DQ276">
        <v>1</v>
      </c>
      <c r="DU276">
        <v>1003</v>
      </c>
      <c r="DV276" t="s">
        <v>69</v>
      </c>
      <c r="DW276" t="s">
        <v>69</v>
      </c>
      <c r="DX276">
        <v>100</v>
      </c>
      <c r="EE276">
        <v>52362078</v>
      </c>
      <c r="EF276">
        <v>1</v>
      </c>
      <c r="EG276" t="s">
        <v>22</v>
      </c>
      <c r="EH276">
        <v>0</v>
      </c>
      <c r="EI276" t="s">
        <v>3</v>
      </c>
      <c r="EJ276">
        <v>4</v>
      </c>
      <c r="EK276">
        <v>0</v>
      </c>
      <c r="EL276" t="s">
        <v>23</v>
      </c>
      <c r="EM276" t="s">
        <v>24</v>
      </c>
      <c r="EO276" t="s">
        <v>3</v>
      </c>
      <c r="EQ276">
        <v>131072</v>
      </c>
      <c r="ER276">
        <v>49508.32</v>
      </c>
      <c r="ES276">
        <v>34547.699999999997</v>
      </c>
      <c r="ET276">
        <v>177.81</v>
      </c>
      <c r="EU276">
        <v>96.53</v>
      </c>
      <c r="EV276">
        <v>14782.81</v>
      </c>
      <c r="EW276">
        <v>72.95</v>
      </c>
      <c r="EX276">
        <v>0</v>
      </c>
      <c r="EY276">
        <v>0</v>
      </c>
      <c r="FQ276">
        <v>0</v>
      </c>
      <c r="FR276">
        <f t="shared" si="255"/>
        <v>0</v>
      </c>
      <c r="FS276">
        <v>0</v>
      </c>
      <c r="FX276">
        <v>70</v>
      </c>
      <c r="FY276">
        <v>10</v>
      </c>
      <c r="GA276" t="s">
        <v>3</v>
      </c>
      <c r="GD276">
        <v>0</v>
      </c>
      <c r="GF276">
        <v>-280608707</v>
      </c>
      <c r="GG276">
        <v>2</v>
      </c>
      <c r="GH276">
        <v>1</v>
      </c>
      <c r="GI276">
        <v>-2</v>
      </c>
      <c r="GJ276">
        <v>0</v>
      </c>
      <c r="GK276">
        <f>ROUND(R276*(R12)/100,2)</f>
        <v>42.12</v>
      </c>
      <c r="GL276">
        <f t="shared" si="256"/>
        <v>0</v>
      </c>
      <c r="GM276">
        <f t="shared" si="257"/>
        <v>24821.3</v>
      </c>
      <c r="GN276">
        <f t="shared" si="258"/>
        <v>0</v>
      </c>
      <c r="GO276">
        <f t="shared" si="259"/>
        <v>0</v>
      </c>
      <c r="GP276">
        <f t="shared" si="260"/>
        <v>24821.3</v>
      </c>
      <c r="GR276">
        <v>0</v>
      </c>
      <c r="GS276">
        <v>3</v>
      </c>
      <c r="GT276">
        <v>0</v>
      </c>
      <c r="GU276" t="s">
        <v>3</v>
      </c>
      <c r="GV276">
        <f t="shared" si="261"/>
        <v>0</v>
      </c>
      <c r="GW276">
        <v>1</v>
      </c>
      <c r="GX276">
        <f t="shared" si="262"/>
        <v>0</v>
      </c>
      <c r="HA276">
        <v>0</v>
      </c>
      <c r="HB276">
        <v>0</v>
      </c>
      <c r="HC276">
        <f t="shared" si="263"/>
        <v>0</v>
      </c>
      <c r="HE276" t="s">
        <v>3</v>
      </c>
      <c r="HF276" t="s">
        <v>3</v>
      </c>
      <c r="IK276">
        <v>0</v>
      </c>
    </row>
    <row r="277" spans="1:245" x14ac:dyDescent="0.2">
      <c r="A277">
        <v>17</v>
      </c>
      <c r="B277">
        <v>1</v>
      </c>
      <c r="C277">
        <f>ROW(SmtRes!A317)</f>
        <v>317</v>
      </c>
      <c r="D277">
        <f>ROW(EtalonRes!A303)</f>
        <v>303</v>
      </c>
      <c r="E277" t="s">
        <v>283</v>
      </c>
      <c r="F277" t="s">
        <v>72</v>
      </c>
      <c r="G277" t="s">
        <v>246</v>
      </c>
      <c r="H277" t="s">
        <v>74</v>
      </c>
      <c r="I277">
        <f>ROUND(4/100,9)</f>
        <v>0.04</v>
      </c>
      <c r="J277">
        <v>0</v>
      </c>
      <c r="O277">
        <f t="shared" si="224"/>
        <v>9895.19</v>
      </c>
      <c r="P277">
        <f t="shared" si="225"/>
        <v>714.12</v>
      </c>
      <c r="Q277">
        <f t="shared" si="226"/>
        <v>21.77</v>
      </c>
      <c r="R277">
        <f t="shared" si="227"/>
        <v>2.72</v>
      </c>
      <c r="S277">
        <f t="shared" si="228"/>
        <v>9159.2999999999993</v>
      </c>
      <c r="T277">
        <f t="shared" si="229"/>
        <v>0</v>
      </c>
      <c r="U277">
        <f t="shared" si="230"/>
        <v>36.11</v>
      </c>
      <c r="V277">
        <f t="shared" si="231"/>
        <v>0</v>
      </c>
      <c r="W277">
        <f t="shared" si="232"/>
        <v>0</v>
      </c>
      <c r="X277">
        <f t="shared" si="233"/>
        <v>6411.51</v>
      </c>
      <c r="Y277">
        <f t="shared" si="234"/>
        <v>915.93</v>
      </c>
      <c r="AA277">
        <v>52430918</v>
      </c>
      <c r="AB277">
        <f t="shared" si="235"/>
        <v>247379.69</v>
      </c>
      <c r="AC277">
        <f t="shared" si="236"/>
        <v>17852.89</v>
      </c>
      <c r="AD277">
        <f t="shared" si="237"/>
        <v>544.27</v>
      </c>
      <c r="AE277">
        <f t="shared" si="238"/>
        <v>67.94</v>
      </c>
      <c r="AF277">
        <f t="shared" si="239"/>
        <v>228982.53</v>
      </c>
      <c r="AG277">
        <f t="shared" si="240"/>
        <v>0</v>
      </c>
      <c r="AH277">
        <f t="shared" si="241"/>
        <v>902.75</v>
      </c>
      <c r="AI277">
        <f t="shared" si="242"/>
        <v>0</v>
      </c>
      <c r="AJ277">
        <f t="shared" si="243"/>
        <v>0</v>
      </c>
      <c r="AK277">
        <v>247379.69</v>
      </c>
      <c r="AL277">
        <v>17852.89</v>
      </c>
      <c r="AM277">
        <v>544.27</v>
      </c>
      <c r="AN277">
        <v>67.94</v>
      </c>
      <c r="AO277">
        <v>228982.53</v>
      </c>
      <c r="AP277">
        <v>0</v>
      </c>
      <c r="AQ277">
        <v>902.75</v>
      </c>
      <c r="AR277">
        <v>0</v>
      </c>
      <c r="AS277">
        <v>0</v>
      </c>
      <c r="AT277">
        <v>70</v>
      </c>
      <c r="AU277">
        <v>10</v>
      </c>
      <c r="AV277">
        <v>1</v>
      </c>
      <c r="AW277">
        <v>1</v>
      </c>
      <c r="AZ277">
        <v>1</v>
      </c>
      <c r="BA277">
        <v>1</v>
      </c>
      <c r="BB277">
        <v>1</v>
      </c>
      <c r="BC277">
        <v>1</v>
      </c>
      <c r="BD277" t="s">
        <v>3</v>
      </c>
      <c r="BE277" t="s">
        <v>3</v>
      </c>
      <c r="BF277" t="s">
        <v>3</v>
      </c>
      <c r="BG277" t="s">
        <v>3</v>
      </c>
      <c r="BH277">
        <v>0</v>
      </c>
      <c r="BI277">
        <v>4</v>
      </c>
      <c r="BJ277" t="s">
        <v>75</v>
      </c>
      <c r="BM277">
        <v>0</v>
      </c>
      <c r="BN277">
        <v>0</v>
      </c>
      <c r="BO277" t="s">
        <v>3</v>
      </c>
      <c r="BP277">
        <v>0</v>
      </c>
      <c r="BQ277">
        <v>1</v>
      </c>
      <c r="BR277">
        <v>0</v>
      </c>
      <c r="BS277">
        <v>1</v>
      </c>
      <c r="BT277">
        <v>1</v>
      </c>
      <c r="BU277">
        <v>1</v>
      </c>
      <c r="BV277">
        <v>1</v>
      </c>
      <c r="BW277">
        <v>1</v>
      </c>
      <c r="BX277">
        <v>1</v>
      </c>
      <c r="BY277" t="s">
        <v>3</v>
      </c>
      <c r="BZ277">
        <v>70</v>
      </c>
      <c r="CA277">
        <v>10</v>
      </c>
      <c r="CE277">
        <v>0</v>
      </c>
      <c r="CF277">
        <v>0</v>
      </c>
      <c r="CG277">
        <v>0</v>
      </c>
      <c r="CM277">
        <v>0</v>
      </c>
      <c r="CN277" t="s">
        <v>3</v>
      </c>
      <c r="CO277">
        <v>0</v>
      </c>
      <c r="CP277">
        <f t="shared" si="244"/>
        <v>9895.1899999999987</v>
      </c>
      <c r="CQ277">
        <f t="shared" si="245"/>
        <v>17852.89</v>
      </c>
      <c r="CR277">
        <f t="shared" si="246"/>
        <v>544.27</v>
      </c>
      <c r="CS277">
        <f t="shared" si="247"/>
        <v>67.94</v>
      </c>
      <c r="CT277">
        <f t="shared" si="248"/>
        <v>228982.53</v>
      </c>
      <c r="CU277">
        <f t="shared" si="249"/>
        <v>0</v>
      </c>
      <c r="CV277">
        <f t="shared" si="250"/>
        <v>902.75</v>
      </c>
      <c r="CW277">
        <f t="shared" si="251"/>
        <v>0</v>
      </c>
      <c r="CX277">
        <f t="shared" si="252"/>
        <v>0</v>
      </c>
      <c r="CY277">
        <f t="shared" si="253"/>
        <v>6411.51</v>
      </c>
      <c r="CZ277">
        <f t="shared" si="254"/>
        <v>915.93</v>
      </c>
      <c r="DC277" t="s">
        <v>3</v>
      </c>
      <c r="DD277" t="s">
        <v>3</v>
      </c>
      <c r="DE277" t="s">
        <v>3</v>
      </c>
      <c r="DF277" t="s">
        <v>3</v>
      </c>
      <c r="DG277" t="s">
        <v>3</v>
      </c>
      <c r="DH277" t="s">
        <v>3</v>
      </c>
      <c r="DI277" t="s">
        <v>3</v>
      </c>
      <c r="DJ277" t="s">
        <v>3</v>
      </c>
      <c r="DK277" t="s">
        <v>3</v>
      </c>
      <c r="DL277" t="s">
        <v>3</v>
      </c>
      <c r="DM277" t="s">
        <v>3</v>
      </c>
      <c r="DN277">
        <v>0</v>
      </c>
      <c r="DO277">
        <v>0</v>
      </c>
      <c r="DP277">
        <v>1</v>
      </c>
      <c r="DQ277">
        <v>1</v>
      </c>
      <c r="DU277">
        <v>1010</v>
      </c>
      <c r="DV277" t="s">
        <v>74</v>
      </c>
      <c r="DW277" t="s">
        <v>74</v>
      </c>
      <c r="DX277">
        <v>100</v>
      </c>
      <c r="EE277">
        <v>52362078</v>
      </c>
      <c r="EF277">
        <v>1</v>
      </c>
      <c r="EG277" t="s">
        <v>22</v>
      </c>
      <c r="EH277">
        <v>0</v>
      </c>
      <c r="EI277" t="s">
        <v>3</v>
      </c>
      <c r="EJ277">
        <v>4</v>
      </c>
      <c r="EK277">
        <v>0</v>
      </c>
      <c r="EL277" t="s">
        <v>23</v>
      </c>
      <c r="EM277" t="s">
        <v>24</v>
      </c>
      <c r="EO277" t="s">
        <v>3</v>
      </c>
      <c r="EQ277">
        <v>131072</v>
      </c>
      <c r="ER277">
        <v>247379.69</v>
      </c>
      <c r="ES277">
        <v>17852.89</v>
      </c>
      <c r="ET277">
        <v>544.27</v>
      </c>
      <c r="EU277">
        <v>67.94</v>
      </c>
      <c r="EV277">
        <v>228982.53</v>
      </c>
      <c r="EW277">
        <v>902.75</v>
      </c>
      <c r="EX277">
        <v>0</v>
      </c>
      <c r="EY277">
        <v>0</v>
      </c>
      <c r="FQ277">
        <v>0</v>
      </c>
      <c r="FR277">
        <f t="shared" si="255"/>
        <v>0</v>
      </c>
      <c r="FS277">
        <v>0</v>
      </c>
      <c r="FX277">
        <v>70</v>
      </c>
      <c r="FY277">
        <v>10</v>
      </c>
      <c r="GA277" t="s">
        <v>3</v>
      </c>
      <c r="GD277">
        <v>0</v>
      </c>
      <c r="GF277">
        <v>1660792619</v>
      </c>
      <c r="GG277">
        <v>2</v>
      </c>
      <c r="GH277">
        <v>1</v>
      </c>
      <c r="GI277">
        <v>-2</v>
      </c>
      <c r="GJ277">
        <v>0</v>
      </c>
      <c r="GK277">
        <f>ROUND(R277*(R12)/100,2)</f>
        <v>2.94</v>
      </c>
      <c r="GL277">
        <f t="shared" si="256"/>
        <v>0</v>
      </c>
      <c r="GM277">
        <f t="shared" si="257"/>
        <v>17225.57</v>
      </c>
      <c r="GN277">
        <f t="shared" si="258"/>
        <v>0</v>
      </c>
      <c r="GO277">
        <f t="shared" si="259"/>
        <v>0</v>
      </c>
      <c r="GP277">
        <f t="shared" si="260"/>
        <v>17225.57</v>
      </c>
      <c r="GR277">
        <v>0</v>
      </c>
      <c r="GS277">
        <v>3</v>
      </c>
      <c r="GT277">
        <v>0</v>
      </c>
      <c r="GU277" t="s">
        <v>3</v>
      </c>
      <c r="GV277">
        <f t="shared" si="261"/>
        <v>0</v>
      </c>
      <c r="GW277">
        <v>1</v>
      </c>
      <c r="GX277">
        <f t="shared" si="262"/>
        <v>0</v>
      </c>
      <c r="HA277">
        <v>0</v>
      </c>
      <c r="HB277">
        <v>0</v>
      </c>
      <c r="HC277">
        <f t="shared" si="263"/>
        <v>0</v>
      </c>
      <c r="HE277" t="s">
        <v>3</v>
      </c>
      <c r="HF277" t="s">
        <v>3</v>
      </c>
      <c r="IK277">
        <v>0</v>
      </c>
    </row>
    <row r="278" spans="1:245" x14ac:dyDescent="0.2">
      <c r="A278">
        <v>18</v>
      </c>
      <c r="B278">
        <v>1</v>
      </c>
      <c r="C278">
        <v>311</v>
      </c>
      <c r="E278" t="s">
        <v>284</v>
      </c>
      <c r="F278" t="s">
        <v>77</v>
      </c>
      <c r="G278" t="s">
        <v>78</v>
      </c>
      <c r="H278" t="s">
        <v>79</v>
      </c>
      <c r="I278">
        <f>I277*J278</f>
        <v>-1.48E-3</v>
      </c>
      <c r="J278">
        <v>-3.6999999999999998E-2</v>
      </c>
      <c r="O278">
        <f t="shared" si="224"/>
        <v>-15.42</v>
      </c>
      <c r="P278">
        <f t="shared" si="225"/>
        <v>-15.42</v>
      </c>
      <c r="Q278">
        <f t="shared" si="226"/>
        <v>0</v>
      </c>
      <c r="R278">
        <f t="shared" si="227"/>
        <v>0</v>
      </c>
      <c r="S278">
        <f t="shared" si="228"/>
        <v>0</v>
      </c>
      <c r="T278">
        <f t="shared" si="229"/>
        <v>0</v>
      </c>
      <c r="U278">
        <f t="shared" si="230"/>
        <v>0</v>
      </c>
      <c r="V278">
        <f t="shared" si="231"/>
        <v>0</v>
      </c>
      <c r="W278">
        <f t="shared" si="232"/>
        <v>0</v>
      </c>
      <c r="X278">
        <f t="shared" si="233"/>
        <v>0</v>
      </c>
      <c r="Y278">
        <f t="shared" si="234"/>
        <v>0</v>
      </c>
      <c r="AA278">
        <v>52430918</v>
      </c>
      <c r="AB278">
        <f t="shared" si="235"/>
        <v>10419.43</v>
      </c>
      <c r="AC278">
        <f t="shared" si="236"/>
        <v>10419.43</v>
      </c>
      <c r="AD278">
        <f t="shared" si="237"/>
        <v>0</v>
      </c>
      <c r="AE278">
        <f t="shared" si="238"/>
        <v>0</v>
      </c>
      <c r="AF278">
        <f t="shared" si="239"/>
        <v>0</v>
      </c>
      <c r="AG278">
        <f t="shared" si="240"/>
        <v>0</v>
      </c>
      <c r="AH278">
        <f t="shared" si="241"/>
        <v>0</v>
      </c>
      <c r="AI278">
        <f t="shared" si="242"/>
        <v>0</v>
      </c>
      <c r="AJ278">
        <f t="shared" si="243"/>
        <v>0</v>
      </c>
      <c r="AK278">
        <v>10419.43</v>
      </c>
      <c r="AL278">
        <v>10419.43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70</v>
      </c>
      <c r="AU278">
        <v>10</v>
      </c>
      <c r="AV278">
        <v>1</v>
      </c>
      <c r="AW278">
        <v>1</v>
      </c>
      <c r="AZ278">
        <v>1</v>
      </c>
      <c r="BA278">
        <v>1</v>
      </c>
      <c r="BB278">
        <v>1</v>
      </c>
      <c r="BC278">
        <v>1</v>
      </c>
      <c r="BD278" t="s">
        <v>3</v>
      </c>
      <c r="BE278" t="s">
        <v>3</v>
      </c>
      <c r="BF278" t="s">
        <v>3</v>
      </c>
      <c r="BG278" t="s">
        <v>3</v>
      </c>
      <c r="BH278">
        <v>3</v>
      </c>
      <c r="BI278">
        <v>4</v>
      </c>
      <c r="BJ278" t="s">
        <v>80</v>
      </c>
      <c r="BM278">
        <v>0</v>
      </c>
      <c r="BN278">
        <v>0</v>
      </c>
      <c r="BO278" t="s">
        <v>3</v>
      </c>
      <c r="BP278">
        <v>0</v>
      </c>
      <c r="BQ278">
        <v>1</v>
      </c>
      <c r="BR278">
        <v>1</v>
      </c>
      <c r="BS278">
        <v>1</v>
      </c>
      <c r="BT278">
        <v>1</v>
      </c>
      <c r="BU278">
        <v>1</v>
      </c>
      <c r="BV278">
        <v>1</v>
      </c>
      <c r="BW278">
        <v>1</v>
      </c>
      <c r="BX278">
        <v>1</v>
      </c>
      <c r="BY278" t="s">
        <v>3</v>
      </c>
      <c r="BZ278">
        <v>70</v>
      </c>
      <c r="CA278">
        <v>10</v>
      </c>
      <c r="CE278">
        <v>0</v>
      </c>
      <c r="CF278">
        <v>0</v>
      </c>
      <c r="CG278">
        <v>0</v>
      </c>
      <c r="CM278">
        <v>0</v>
      </c>
      <c r="CN278" t="s">
        <v>3</v>
      </c>
      <c r="CO278">
        <v>0</v>
      </c>
      <c r="CP278">
        <f t="shared" si="244"/>
        <v>-15.42</v>
      </c>
      <c r="CQ278">
        <f t="shared" si="245"/>
        <v>10419.43</v>
      </c>
      <c r="CR278">
        <f t="shared" si="246"/>
        <v>0</v>
      </c>
      <c r="CS278">
        <f t="shared" si="247"/>
        <v>0</v>
      </c>
      <c r="CT278">
        <f t="shared" si="248"/>
        <v>0</v>
      </c>
      <c r="CU278">
        <f t="shared" si="249"/>
        <v>0</v>
      </c>
      <c r="CV278">
        <f t="shared" si="250"/>
        <v>0</v>
      </c>
      <c r="CW278">
        <f t="shared" si="251"/>
        <v>0</v>
      </c>
      <c r="CX278">
        <f t="shared" si="252"/>
        <v>0</v>
      </c>
      <c r="CY278">
        <f t="shared" si="253"/>
        <v>0</v>
      </c>
      <c r="CZ278">
        <f t="shared" si="254"/>
        <v>0</v>
      </c>
      <c r="DC278" t="s">
        <v>3</v>
      </c>
      <c r="DD278" t="s">
        <v>3</v>
      </c>
      <c r="DE278" t="s">
        <v>3</v>
      </c>
      <c r="DF278" t="s">
        <v>3</v>
      </c>
      <c r="DG278" t="s">
        <v>3</v>
      </c>
      <c r="DH278" t="s">
        <v>3</v>
      </c>
      <c r="DI278" t="s">
        <v>3</v>
      </c>
      <c r="DJ278" t="s">
        <v>3</v>
      </c>
      <c r="DK278" t="s">
        <v>3</v>
      </c>
      <c r="DL278" t="s">
        <v>3</v>
      </c>
      <c r="DM278" t="s">
        <v>3</v>
      </c>
      <c r="DN278">
        <v>0</v>
      </c>
      <c r="DO278">
        <v>0</v>
      </c>
      <c r="DP278">
        <v>1</v>
      </c>
      <c r="DQ278">
        <v>1</v>
      </c>
      <c r="DU278">
        <v>1010</v>
      </c>
      <c r="DV278" t="s">
        <v>79</v>
      </c>
      <c r="DW278" t="s">
        <v>79</v>
      </c>
      <c r="DX278">
        <v>1000</v>
      </c>
      <c r="EE278">
        <v>52362078</v>
      </c>
      <c r="EF278">
        <v>1</v>
      </c>
      <c r="EG278" t="s">
        <v>22</v>
      </c>
      <c r="EH278">
        <v>0</v>
      </c>
      <c r="EI278" t="s">
        <v>3</v>
      </c>
      <c r="EJ278">
        <v>4</v>
      </c>
      <c r="EK278">
        <v>0</v>
      </c>
      <c r="EL278" t="s">
        <v>23</v>
      </c>
      <c r="EM278" t="s">
        <v>24</v>
      </c>
      <c r="EO278" t="s">
        <v>3</v>
      </c>
      <c r="EQ278">
        <v>32768</v>
      </c>
      <c r="ER278">
        <v>10419.43</v>
      </c>
      <c r="ES278">
        <v>10419.43</v>
      </c>
      <c r="ET278">
        <v>0</v>
      </c>
      <c r="EU278">
        <v>0</v>
      </c>
      <c r="EV278">
        <v>0</v>
      </c>
      <c r="EW278">
        <v>0</v>
      </c>
      <c r="EX278">
        <v>0</v>
      </c>
      <c r="FQ278">
        <v>0</v>
      </c>
      <c r="FR278">
        <f t="shared" si="255"/>
        <v>0</v>
      </c>
      <c r="FS278">
        <v>0</v>
      </c>
      <c r="FX278">
        <v>70</v>
      </c>
      <c r="FY278">
        <v>10</v>
      </c>
      <c r="GA278" t="s">
        <v>3</v>
      </c>
      <c r="GD278">
        <v>0</v>
      </c>
      <c r="GF278">
        <v>-477329452</v>
      </c>
      <c r="GG278">
        <v>2</v>
      </c>
      <c r="GH278">
        <v>1</v>
      </c>
      <c r="GI278">
        <v>-2</v>
      </c>
      <c r="GJ278">
        <v>0</v>
      </c>
      <c r="GK278">
        <f>ROUND(R278*(R12)/100,2)</f>
        <v>0</v>
      </c>
      <c r="GL278">
        <f t="shared" si="256"/>
        <v>0</v>
      </c>
      <c r="GM278">
        <f t="shared" si="257"/>
        <v>-15.42</v>
      </c>
      <c r="GN278">
        <f t="shared" si="258"/>
        <v>0</v>
      </c>
      <c r="GO278">
        <f t="shared" si="259"/>
        <v>0</v>
      </c>
      <c r="GP278">
        <f t="shared" si="260"/>
        <v>-15.42</v>
      </c>
      <c r="GR278">
        <v>0</v>
      </c>
      <c r="GS278">
        <v>3</v>
      </c>
      <c r="GT278">
        <v>0</v>
      </c>
      <c r="GU278" t="s">
        <v>3</v>
      </c>
      <c r="GV278">
        <f t="shared" si="261"/>
        <v>0</v>
      </c>
      <c r="GW278">
        <v>1</v>
      </c>
      <c r="GX278">
        <f t="shared" si="262"/>
        <v>0</v>
      </c>
      <c r="HA278">
        <v>0</v>
      </c>
      <c r="HB278">
        <v>0</v>
      </c>
      <c r="HC278">
        <f t="shared" si="263"/>
        <v>0</v>
      </c>
      <c r="HE278" t="s">
        <v>3</v>
      </c>
      <c r="HF278" t="s">
        <v>3</v>
      </c>
      <c r="IK278">
        <v>0</v>
      </c>
    </row>
    <row r="279" spans="1:245" x14ac:dyDescent="0.2">
      <c r="A279">
        <v>18</v>
      </c>
      <c r="B279">
        <v>1</v>
      </c>
      <c r="C279">
        <v>309</v>
      </c>
      <c r="E279" t="s">
        <v>285</v>
      </c>
      <c r="F279" t="s">
        <v>82</v>
      </c>
      <c r="G279" t="s">
        <v>83</v>
      </c>
      <c r="H279" t="s">
        <v>84</v>
      </c>
      <c r="I279">
        <f>I277*J279</f>
        <v>-0.21759999999999999</v>
      </c>
      <c r="J279">
        <v>-5.4399999999999995</v>
      </c>
      <c r="O279">
        <f t="shared" si="224"/>
        <v>-2.35</v>
      </c>
      <c r="P279">
        <f t="shared" si="225"/>
        <v>0</v>
      </c>
      <c r="Q279">
        <f t="shared" si="226"/>
        <v>-2.35</v>
      </c>
      <c r="R279">
        <f t="shared" si="227"/>
        <v>-0.65</v>
      </c>
      <c r="S279">
        <f t="shared" si="228"/>
        <v>0</v>
      </c>
      <c r="T279">
        <f t="shared" si="229"/>
        <v>0</v>
      </c>
      <c r="U279">
        <f t="shared" si="230"/>
        <v>0</v>
      </c>
      <c r="V279">
        <f t="shared" si="231"/>
        <v>0</v>
      </c>
      <c r="W279">
        <f t="shared" si="232"/>
        <v>0</v>
      </c>
      <c r="X279">
        <f t="shared" si="233"/>
        <v>0</v>
      </c>
      <c r="Y279">
        <f t="shared" si="234"/>
        <v>0</v>
      </c>
      <c r="AA279">
        <v>52430918</v>
      </c>
      <c r="AB279">
        <f t="shared" si="235"/>
        <v>10.82</v>
      </c>
      <c r="AC279">
        <f t="shared" si="236"/>
        <v>0</v>
      </c>
      <c r="AD279">
        <f t="shared" si="237"/>
        <v>10.82</v>
      </c>
      <c r="AE279">
        <f t="shared" si="238"/>
        <v>2.97</v>
      </c>
      <c r="AF279">
        <f t="shared" si="239"/>
        <v>0</v>
      </c>
      <c r="AG279">
        <f t="shared" si="240"/>
        <v>0</v>
      </c>
      <c r="AH279">
        <f t="shared" si="241"/>
        <v>0</v>
      </c>
      <c r="AI279">
        <f t="shared" si="242"/>
        <v>0</v>
      </c>
      <c r="AJ279">
        <f t="shared" si="243"/>
        <v>0</v>
      </c>
      <c r="AK279">
        <v>10.82</v>
      </c>
      <c r="AL279">
        <v>0</v>
      </c>
      <c r="AM279">
        <v>10.82</v>
      </c>
      <c r="AN279">
        <v>2.97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70</v>
      </c>
      <c r="AU279">
        <v>10</v>
      </c>
      <c r="AV279">
        <v>1</v>
      </c>
      <c r="AW279">
        <v>1</v>
      </c>
      <c r="AZ279">
        <v>1</v>
      </c>
      <c r="BA279">
        <v>1</v>
      </c>
      <c r="BB279">
        <v>1</v>
      </c>
      <c r="BC279">
        <v>1</v>
      </c>
      <c r="BD279" t="s">
        <v>3</v>
      </c>
      <c r="BE279" t="s">
        <v>3</v>
      </c>
      <c r="BF279" t="s">
        <v>3</v>
      </c>
      <c r="BG279" t="s">
        <v>3</v>
      </c>
      <c r="BH279">
        <v>2</v>
      </c>
      <c r="BI279">
        <v>4</v>
      </c>
      <c r="BJ279" t="s">
        <v>85</v>
      </c>
      <c r="BM279">
        <v>0</v>
      </c>
      <c r="BN279">
        <v>0</v>
      </c>
      <c r="BO279" t="s">
        <v>3</v>
      </c>
      <c r="BP279">
        <v>0</v>
      </c>
      <c r="BQ279">
        <v>1</v>
      </c>
      <c r="BR279">
        <v>1</v>
      </c>
      <c r="BS279">
        <v>1</v>
      </c>
      <c r="BT279">
        <v>1</v>
      </c>
      <c r="BU279">
        <v>1</v>
      </c>
      <c r="BV279">
        <v>1</v>
      </c>
      <c r="BW279">
        <v>1</v>
      </c>
      <c r="BX279">
        <v>1</v>
      </c>
      <c r="BY279" t="s">
        <v>3</v>
      </c>
      <c r="BZ279">
        <v>70</v>
      </c>
      <c r="CA279">
        <v>10</v>
      </c>
      <c r="CE279">
        <v>0</v>
      </c>
      <c r="CF279">
        <v>0</v>
      </c>
      <c r="CG279">
        <v>0</v>
      </c>
      <c r="CM279">
        <v>0</v>
      </c>
      <c r="CN279" t="s">
        <v>3</v>
      </c>
      <c r="CO279">
        <v>0</v>
      </c>
      <c r="CP279">
        <f t="shared" si="244"/>
        <v>-2.35</v>
      </c>
      <c r="CQ279">
        <f t="shared" si="245"/>
        <v>0</v>
      </c>
      <c r="CR279">
        <f t="shared" si="246"/>
        <v>10.82</v>
      </c>
      <c r="CS279">
        <f t="shared" si="247"/>
        <v>2.97</v>
      </c>
      <c r="CT279">
        <f t="shared" si="248"/>
        <v>0</v>
      </c>
      <c r="CU279">
        <f t="shared" si="249"/>
        <v>0</v>
      </c>
      <c r="CV279">
        <f t="shared" si="250"/>
        <v>0</v>
      </c>
      <c r="CW279">
        <f t="shared" si="251"/>
        <v>0</v>
      </c>
      <c r="CX279">
        <f t="shared" si="252"/>
        <v>0</v>
      </c>
      <c r="CY279">
        <f t="shared" si="253"/>
        <v>0</v>
      </c>
      <c r="CZ279">
        <f t="shared" si="254"/>
        <v>0</v>
      </c>
      <c r="DC279" t="s">
        <v>3</v>
      </c>
      <c r="DD279" t="s">
        <v>3</v>
      </c>
      <c r="DE279" t="s">
        <v>3</v>
      </c>
      <c r="DF279" t="s">
        <v>3</v>
      </c>
      <c r="DG279" t="s">
        <v>3</v>
      </c>
      <c r="DH279" t="s">
        <v>3</v>
      </c>
      <c r="DI279" t="s">
        <v>3</v>
      </c>
      <c r="DJ279" t="s">
        <v>3</v>
      </c>
      <c r="DK279" t="s">
        <v>3</v>
      </c>
      <c r="DL279" t="s">
        <v>3</v>
      </c>
      <c r="DM279" t="s">
        <v>3</v>
      </c>
      <c r="DN279">
        <v>0</v>
      </c>
      <c r="DO279">
        <v>0</v>
      </c>
      <c r="DP279">
        <v>1</v>
      </c>
      <c r="DQ279">
        <v>1</v>
      </c>
      <c r="DU279">
        <v>1011</v>
      </c>
      <c r="DV279" t="s">
        <v>84</v>
      </c>
      <c r="DW279" t="s">
        <v>84</v>
      </c>
      <c r="DX279">
        <v>1</v>
      </c>
      <c r="EE279">
        <v>52362078</v>
      </c>
      <c r="EF279">
        <v>1</v>
      </c>
      <c r="EG279" t="s">
        <v>22</v>
      </c>
      <c r="EH279">
        <v>0</v>
      </c>
      <c r="EI279" t="s">
        <v>3</v>
      </c>
      <c r="EJ279">
        <v>4</v>
      </c>
      <c r="EK279">
        <v>0</v>
      </c>
      <c r="EL279" t="s">
        <v>23</v>
      </c>
      <c r="EM279" t="s">
        <v>24</v>
      </c>
      <c r="EO279" t="s">
        <v>3</v>
      </c>
      <c r="EQ279">
        <v>32768</v>
      </c>
      <c r="ER279">
        <v>10.82</v>
      </c>
      <c r="ES279">
        <v>0</v>
      </c>
      <c r="ET279">
        <v>10.82</v>
      </c>
      <c r="EU279">
        <v>2.97</v>
      </c>
      <c r="EV279">
        <v>0</v>
      </c>
      <c r="EW279">
        <v>0</v>
      </c>
      <c r="EX279">
        <v>0</v>
      </c>
      <c r="FQ279">
        <v>0</v>
      </c>
      <c r="FR279">
        <f t="shared" si="255"/>
        <v>0</v>
      </c>
      <c r="FS279">
        <v>0</v>
      </c>
      <c r="FX279">
        <v>70</v>
      </c>
      <c r="FY279">
        <v>10</v>
      </c>
      <c r="GA279" t="s">
        <v>3</v>
      </c>
      <c r="GD279">
        <v>0</v>
      </c>
      <c r="GF279">
        <v>1349119844</v>
      </c>
      <c r="GG279">
        <v>2</v>
      </c>
      <c r="GH279">
        <v>1</v>
      </c>
      <c r="GI279">
        <v>-2</v>
      </c>
      <c r="GJ279">
        <v>0</v>
      </c>
      <c r="GK279">
        <f>ROUND(R279*(R12)/100,2)</f>
        <v>-0.7</v>
      </c>
      <c r="GL279">
        <f t="shared" si="256"/>
        <v>0</v>
      </c>
      <c r="GM279">
        <f t="shared" si="257"/>
        <v>-3.05</v>
      </c>
      <c r="GN279">
        <f t="shared" si="258"/>
        <v>0</v>
      </c>
      <c r="GO279">
        <f t="shared" si="259"/>
        <v>0</v>
      </c>
      <c r="GP279">
        <f t="shared" si="260"/>
        <v>-3.05</v>
      </c>
      <c r="GR279">
        <v>0</v>
      </c>
      <c r="GS279">
        <v>7</v>
      </c>
      <c r="GT279">
        <v>0</v>
      </c>
      <c r="GU279" t="s">
        <v>3</v>
      </c>
      <c r="GV279">
        <f t="shared" si="261"/>
        <v>0</v>
      </c>
      <c r="GW279">
        <v>1</v>
      </c>
      <c r="GX279">
        <f t="shared" si="262"/>
        <v>0</v>
      </c>
      <c r="HA279">
        <v>0</v>
      </c>
      <c r="HB279">
        <v>0</v>
      </c>
      <c r="HC279">
        <f t="shared" si="263"/>
        <v>0</v>
      </c>
      <c r="HE279" t="s">
        <v>3</v>
      </c>
      <c r="HF279" t="s">
        <v>3</v>
      </c>
      <c r="IK279">
        <v>0</v>
      </c>
    </row>
    <row r="280" spans="1:245" x14ac:dyDescent="0.2">
      <c r="A280">
        <v>18</v>
      </c>
      <c r="B280">
        <v>1</v>
      </c>
      <c r="C280">
        <v>308</v>
      </c>
      <c r="E280" t="s">
        <v>286</v>
      </c>
      <c r="F280" t="s">
        <v>87</v>
      </c>
      <c r="G280" t="s">
        <v>88</v>
      </c>
      <c r="H280" t="s">
        <v>84</v>
      </c>
      <c r="I280">
        <f>I277*J280</f>
        <v>-0.57999999999999996</v>
      </c>
      <c r="J280">
        <v>-14.499999999999998</v>
      </c>
      <c r="O280">
        <f t="shared" si="224"/>
        <v>-15.78</v>
      </c>
      <c r="P280">
        <f t="shared" si="225"/>
        <v>0</v>
      </c>
      <c r="Q280">
        <f t="shared" si="226"/>
        <v>-15.78</v>
      </c>
      <c r="R280">
        <f t="shared" si="227"/>
        <v>-0.08</v>
      </c>
      <c r="S280">
        <f t="shared" si="228"/>
        <v>0</v>
      </c>
      <c r="T280">
        <f t="shared" si="229"/>
        <v>0</v>
      </c>
      <c r="U280">
        <f t="shared" si="230"/>
        <v>0</v>
      </c>
      <c r="V280">
        <f t="shared" si="231"/>
        <v>0</v>
      </c>
      <c r="W280">
        <f t="shared" si="232"/>
        <v>0</v>
      </c>
      <c r="X280">
        <f t="shared" si="233"/>
        <v>0</v>
      </c>
      <c r="Y280">
        <f t="shared" si="234"/>
        <v>0</v>
      </c>
      <c r="AA280">
        <v>52430918</v>
      </c>
      <c r="AB280">
        <f t="shared" si="235"/>
        <v>27.21</v>
      </c>
      <c r="AC280">
        <f t="shared" si="236"/>
        <v>0</v>
      </c>
      <c r="AD280">
        <f t="shared" si="237"/>
        <v>27.21</v>
      </c>
      <c r="AE280">
        <f t="shared" si="238"/>
        <v>0.13</v>
      </c>
      <c r="AF280">
        <f t="shared" si="239"/>
        <v>0</v>
      </c>
      <c r="AG280">
        <f t="shared" si="240"/>
        <v>0</v>
      </c>
      <c r="AH280">
        <f t="shared" si="241"/>
        <v>0</v>
      </c>
      <c r="AI280">
        <f t="shared" si="242"/>
        <v>0</v>
      </c>
      <c r="AJ280">
        <f t="shared" si="243"/>
        <v>0</v>
      </c>
      <c r="AK280">
        <v>27.21</v>
      </c>
      <c r="AL280">
        <v>0</v>
      </c>
      <c r="AM280">
        <v>27.21</v>
      </c>
      <c r="AN280">
        <v>0.13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70</v>
      </c>
      <c r="AU280">
        <v>10</v>
      </c>
      <c r="AV280">
        <v>1</v>
      </c>
      <c r="AW280">
        <v>1</v>
      </c>
      <c r="AZ280">
        <v>1</v>
      </c>
      <c r="BA280">
        <v>1</v>
      </c>
      <c r="BB280">
        <v>1</v>
      </c>
      <c r="BC280">
        <v>1</v>
      </c>
      <c r="BD280" t="s">
        <v>3</v>
      </c>
      <c r="BE280" t="s">
        <v>3</v>
      </c>
      <c r="BF280" t="s">
        <v>3</v>
      </c>
      <c r="BG280" t="s">
        <v>3</v>
      </c>
      <c r="BH280">
        <v>2</v>
      </c>
      <c r="BI280">
        <v>4</v>
      </c>
      <c r="BJ280" t="s">
        <v>89</v>
      </c>
      <c r="BM280">
        <v>0</v>
      </c>
      <c r="BN280">
        <v>0</v>
      </c>
      <c r="BO280" t="s">
        <v>3</v>
      </c>
      <c r="BP280">
        <v>0</v>
      </c>
      <c r="BQ280">
        <v>1</v>
      </c>
      <c r="BR280">
        <v>1</v>
      </c>
      <c r="BS280">
        <v>1</v>
      </c>
      <c r="BT280">
        <v>1</v>
      </c>
      <c r="BU280">
        <v>1</v>
      </c>
      <c r="BV280">
        <v>1</v>
      </c>
      <c r="BW280">
        <v>1</v>
      </c>
      <c r="BX280">
        <v>1</v>
      </c>
      <c r="BY280" t="s">
        <v>3</v>
      </c>
      <c r="BZ280">
        <v>70</v>
      </c>
      <c r="CA280">
        <v>10</v>
      </c>
      <c r="CE280">
        <v>0</v>
      </c>
      <c r="CF280">
        <v>0</v>
      </c>
      <c r="CG280">
        <v>0</v>
      </c>
      <c r="CM280">
        <v>0</v>
      </c>
      <c r="CN280" t="s">
        <v>3</v>
      </c>
      <c r="CO280">
        <v>0</v>
      </c>
      <c r="CP280">
        <f t="shared" si="244"/>
        <v>-15.78</v>
      </c>
      <c r="CQ280">
        <f t="shared" si="245"/>
        <v>0</v>
      </c>
      <c r="CR280">
        <f t="shared" si="246"/>
        <v>27.21</v>
      </c>
      <c r="CS280">
        <f t="shared" si="247"/>
        <v>0.13</v>
      </c>
      <c r="CT280">
        <f t="shared" si="248"/>
        <v>0</v>
      </c>
      <c r="CU280">
        <f t="shared" si="249"/>
        <v>0</v>
      </c>
      <c r="CV280">
        <f t="shared" si="250"/>
        <v>0</v>
      </c>
      <c r="CW280">
        <f t="shared" si="251"/>
        <v>0</v>
      </c>
      <c r="CX280">
        <f t="shared" si="252"/>
        <v>0</v>
      </c>
      <c r="CY280">
        <f t="shared" si="253"/>
        <v>0</v>
      </c>
      <c r="CZ280">
        <f t="shared" si="254"/>
        <v>0</v>
      </c>
      <c r="DC280" t="s">
        <v>3</v>
      </c>
      <c r="DD280" t="s">
        <v>3</v>
      </c>
      <c r="DE280" t="s">
        <v>3</v>
      </c>
      <c r="DF280" t="s">
        <v>3</v>
      </c>
      <c r="DG280" t="s">
        <v>3</v>
      </c>
      <c r="DH280" t="s">
        <v>3</v>
      </c>
      <c r="DI280" t="s">
        <v>3</v>
      </c>
      <c r="DJ280" t="s">
        <v>3</v>
      </c>
      <c r="DK280" t="s">
        <v>3</v>
      </c>
      <c r="DL280" t="s">
        <v>3</v>
      </c>
      <c r="DM280" t="s">
        <v>3</v>
      </c>
      <c r="DN280">
        <v>0</v>
      </c>
      <c r="DO280">
        <v>0</v>
      </c>
      <c r="DP280">
        <v>1</v>
      </c>
      <c r="DQ280">
        <v>1</v>
      </c>
      <c r="DU280">
        <v>1011</v>
      </c>
      <c r="DV280" t="s">
        <v>84</v>
      </c>
      <c r="DW280" t="s">
        <v>84</v>
      </c>
      <c r="DX280">
        <v>1</v>
      </c>
      <c r="EE280">
        <v>52362078</v>
      </c>
      <c r="EF280">
        <v>1</v>
      </c>
      <c r="EG280" t="s">
        <v>22</v>
      </c>
      <c r="EH280">
        <v>0</v>
      </c>
      <c r="EI280" t="s">
        <v>3</v>
      </c>
      <c r="EJ280">
        <v>4</v>
      </c>
      <c r="EK280">
        <v>0</v>
      </c>
      <c r="EL280" t="s">
        <v>23</v>
      </c>
      <c r="EM280" t="s">
        <v>24</v>
      </c>
      <c r="EO280" t="s">
        <v>3</v>
      </c>
      <c r="EQ280">
        <v>32768</v>
      </c>
      <c r="ER280">
        <v>27.21</v>
      </c>
      <c r="ES280">
        <v>0</v>
      </c>
      <c r="ET280">
        <v>27.21</v>
      </c>
      <c r="EU280">
        <v>0.13</v>
      </c>
      <c r="EV280">
        <v>0</v>
      </c>
      <c r="EW280">
        <v>0</v>
      </c>
      <c r="EX280">
        <v>0</v>
      </c>
      <c r="FQ280">
        <v>0</v>
      </c>
      <c r="FR280">
        <f t="shared" si="255"/>
        <v>0</v>
      </c>
      <c r="FS280">
        <v>0</v>
      </c>
      <c r="FX280">
        <v>70</v>
      </c>
      <c r="FY280">
        <v>10</v>
      </c>
      <c r="GA280" t="s">
        <v>3</v>
      </c>
      <c r="GD280">
        <v>0</v>
      </c>
      <c r="GF280">
        <v>-1757825014</v>
      </c>
      <c r="GG280">
        <v>2</v>
      </c>
      <c r="GH280">
        <v>1</v>
      </c>
      <c r="GI280">
        <v>-2</v>
      </c>
      <c r="GJ280">
        <v>0</v>
      </c>
      <c r="GK280">
        <f>ROUND(R280*(R12)/100,2)</f>
        <v>-0.09</v>
      </c>
      <c r="GL280">
        <f t="shared" si="256"/>
        <v>0</v>
      </c>
      <c r="GM280">
        <f t="shared" si="257"/>
        <v>-15.87</v>
      </c>
      <c r="GN280">
        <f t="shared" si="258"/>
        <v>0</v>
      </c>
      <c r="GO280">
        <f t="shared" si="259"/>
        <v>0</v>
      </c>
      <c r="GP280">
        <f t="shared" si="260"/>
        <v>-15.87</v>
      </c>
      <c r="GR280">
        <v>0</v>
      </c>
      <c r="GS280">
        <v>7</v>
      </c>
      <c r="GT280">
        <v>0</v>
      </c>
      <c r="GU280" t="s">
        <v>3</v>
      </c>
      <c r="GV280">
        <f t="shared" si="261"/>
        <v>0</v>
      </c>
      <c r="GW280">
        <v>1</v>
      </c>
      <c r="GX280">
        <f t="shared" si="262"/>
        <v>0</v>
      </c>
      <c r="HA280">
        <v>0</v>
      </c>
      <c r="HB280">
        <v>0</v>
      </c>
      <c r="HC280">
        <f t="shared" si="263"/>
        <v>0</v>
      </c>
      <c r="HE280" t="s">
        <v>3</v>
      </c>
      <c r="HF280" t="s">
        <v>3</v>
      </c>
      <c r="IK280">
        <v>0</v>
      </c>
    </row>
    <row r="281" spans="1:245" x14ac:dyDescent="0.2">
      <c r="A281">
        <v>18</v>
      </c>
      <c r="B281">
        <v>1</v>
      </c>
      <c r="C281">
        <v>307</v>
      </c>
      <c r="E281" t="s">
        <v>287</v>
      </c>
      <c r="F281" t="s">
        <v>91</v>
      </c>
      <c r="G281" t="s">
        <v>92</v>
      </c>
      <c r="H281" t="s">
        <v>84</v>
      </c>
      <c r="I281">
        <f>I277*J281</f>
        <v>-3.5999999999999999E-3</v>
      </c>
      <c r="J281">
        <v>-0.09</v>
      </c>
      <c r="O281">
        <f t="shared" si="224"/>
        <v>-3.63</v>
      </c>
      <c r="P281">
        <f t="shared" si="225"/>
        <v>0</v>
      </c>
      <c r="Q281">
        <f t="shared" si="226"/>
        <v>-3.63</v>
      </c>
      <c r="R281">
        <f t="shared" si="227"/>
        <v>-2</v>
      </c>
      <c r="S281">
        <f t="shared" si="228"/>
        <v>0</v>
      </c>
      <c r="T281">
        <f t="shared" si="229"/>
        <v>0</v>
      </c>
      <c r="U281">
        <f t="shared" si="230"/>
        <v>0</v>
      </c>
      <c r="V281">
        <f t="shared" si="231"/>
        <v>0</v>
      </c>
      <c r="W281">
        <f t="shared" si="232"/>
        <v>0</v>
      </c>
      <c r="X281">
        <f t="shared" si="233"/>
        <v>0</v>
      </c>
      <c r="Y281">
        <f t="shared" si="234"/>
        <v>0</v>
      </c>
      <c r="AA281">
        <v>52430918</v>
      </c>
      <c r="AB281">
        <f t="shared" si="235"/>
        <v>1009.65</v>
      </c>
      <c r="AC281">
        <f t="shared" si="236"/>
        <v>0</v>
      </c>
      <c r="AD281">
        <f t="shared" si="237"/>
        <v>1009.65</v>
      </c>
      <c r="AE281">
        <f t="shared" si="238"/>
        <v>554.42999999999995</v>
      </c>
      <c r="AF281">
        <f t="shared" si="239"/>
        <v>0</v>
      </c>
      <c r="AG281">
        <f t="shared" si="240"/>
        <v>0</v>
      </c>
      <c r="AH281">
        <f t="shared" si="241"/>
        <v>0</v>
      </c>
      <c r="AI281">
        <f t="shared" si="242"/>
        <v>0</v>
      </c>
      <c r="AJ281">
        <f t="shared" si="243"/>
        <v>0</v>
      </c>
      <c r="AK281">
        <v>1009.65</v>
      </c>
      <c r="AL281">
        <v>0</v>
      </c>
      <c r="AM281">
        <v>1009.65</v>
      </c>
      <c r="AN281">
        <v>554.42999999999995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70</v>
      </c>
      <c r="AU281">
        <v>10</v>
      </c>
      <c r="AV281">
        <v>1</v>
      </c>
      <c r="AW281">
        <v>1</v>
      </c>
      <c r="AZ281">
        <v>1</v>
      </c>
      <c r="BA281">
        <v>1</v>
      </c>
      <c r="BB281">
        <v>1</v>
      </c>
      <c r="BC281">
        <v>1</v>
      </c>
      <c r="BD281" t="s">
        <v>3</v>
      </c>
      <c r="BE281" t="s">
        <v>3</v>
      </c>
      <c r="BF281" t="s">
        <v>3</v>
      </c>
      <c r="BG281" t="s">
        <v>3</v>
      </c>
      <c r="BH281">
        <v>2</v>
      </c>
      <c r="BI281">
        <v>4</v>
      </c>
      <c r="BJ281" t="s">
        <v>93</v>
      </c>
      <c r="BM281">
        <v>0</v>
      </c>
      <c r="BN281">
        <v>0</v>
      </c>
      <c r="BO281" t="s">
        <v>3</v>
      </c>
      <c r="BP281">
        <v>0</v>
      </c>
      <c r="BQ281">
        <v>1</v>
      </c>
      <c r="BR281">
        <v>1</v>
      </c>
      <c r="BS281">
        <v>1</v>
      </c>
      <c r="BT281">
        <v>1</v>
      </c>
      <c r="BU281">
        <v>1</v>
      </c>
      <c r="BV281">
        <v>1</v>
      </c>
      <c r="BW281">
        <v>1</v>
      </c>
      <c r="BX281">
        <v>1</v>
      </c>
      <c r="BY281" t="s">
        <v>3</v>
      </c>
      <c r="BZ281">
        <v>70</v>
      </c>
      <c r="CA281">
        <v>10</v>
      </c>
      <c r="CE281">
        <v>0</v>
      </c>
      <c r="CF281">
        <v>0</v>
      </c>
      <c r="CG281">
        <v>0</v>
      </c>
      <c r="CM281">
        <v>0</v>
      </c>
      <c r="CN281" t="s">
        <v>3</v>
      </c>
      <c r="CO281">
        <v>0</v>
      </c>
      <c r="CP281">
        <f t="shared" si="244"/>
        <v>-3.63</v>
      </c>
      <c r="CQ281">
        <f t="shared" si="245"/>
        <v>0</v>
      </c>
      <c r="CR281">
        <f t="shared" si="246"/>
        <v>1009.65</v>
      </c>
      <c r="CS281">
        <f t="shared" si="247"/>
        <v>554.42999999999995</v>
      </c>
      <c r="CT281">
        <f t="shared" si="248"/>
        <v>0</v>
      </c>
      <c r="CU281">
        <f t="shared" si="249"/>
        <v>0</v>
      </c>
      <c r="CV281">
        <f t="shared" si="250"/>
        <v>0</v>
      </c>
      <c r="CW281">
        <f t="shared" si="251"/>
        <v>0</v>
      </c>
      <c r="CX281">
        <f t="shared" si="252"/>
        <v>0</v>
      </c>
      <c r="CY281">
        <f t="shared" si="253"/>
        <v>0</v>
      </c>
      <c r="CZ281">
        <f t="shared" si="254"/>
        <v>0</v>
      </c>
      <c r="DC281" t="s">
        <v>3</v>
      </c>
      <c r="DD281" t="s">
        <v>3</v>
      </c>
      <c r="DE281" t="s">
        <v>3</v>
      </c>
      <c r="DF281" t="s">
        <v>3</v>
      </c>
      <c r="DG281" t="s">
        <v>3</v>
      </c>
      <c r="DH281" t="s">
        <v>3</v>
      </c>
      <c r="DI281" t="s">
        <v>3</v>
      </c>
      <c r="DJ281" t="s">
        <v>3</v>
      </c>
      <c r="DK281" t="s">
        <v>3</v>
      </c>
      <c r="DL281" t="s">
        <v>3</v>
      </c>
      <c r="DM281" t="s">
        <v>3</v>
      </c>
      <c r="DN281">
        <v>0</v>
      </c>
      <c r="DO281">
        <v>0</v>
      </c>
      <c r="DP281">
        <v>1</v>
      </c>
      <c r="DQ281">
        <v>1</v>
      </c>
      <c r="DU281">
        <v>1011</v>
      </c>
      <c r="DV281" t="s">
        <v>84</v>
      </c>
      <c r="DW281" t="s">
        <v>84</v>
      </c>
      <c r="DX281">
        <v>1</v>
      </c>
      <c r="EE281">
        <v>52362078</v>
      </c>
      <c r="EF281">
        <v>1</v>
      </c>
      <c r="EG281" t="s">
        <v>22</v>
      </c>
      <c r="EH281">
        <v>0</v>
      </c>
      <c r="EI281" t="s">
        <v>3</v>
      </c>
      <c r="EJ281">
        <v>4</v>
      </c>
      <c r="EK281">
        <v>0</v>
      </c>
      <c r="EL281" t="s">
        <v>23</v>
      </c>
      <c r="EM281" t="s">
        <v>24</v>
      </c>
      <c r="EO281" t="s">
        <v>3</v>
      </c>
      <c r="EQ281">
        <v>32768</v>
      </c>
      <c r="ER281">
        <v>1009.65</v>
      </c>
      <c r="ES281">
        <v>0</v>
      </c>
      <c r="ET281">
        <v>1009.65</v>
      </c>
      <c r="EU281">
        <v>554.42999999999995</v>
      </c>
      <c r="EV281">
        <v>0</v>
      </c>
      <c r="EW281">
        <v>0</v>
      </c>
      <c r="EX281">
        <v>0</v>
      </c>
      <c r="FQ281">
        <v>0</v>
      </c>
      <c r="FR281">
        <f t="shared" si="255"/>
        <v>0</v>
      </c>
      <c r="FS281">
        <v>0</v>
      </c>
      <c r="FX281">
        <v>70</v>
      </c>
      <c r="FY281">
        <v>10</v>
      </c>
      <c r="GA281" t="s">
        <v>3</v>
      </c>
      <c r="GD281">
        <v>0</v>
      </c>
      <c r="GF281">
        <v>-1957514721</v>
      </c>
      <c r="GG281">
        <v>2</v>
      </c>
      <c r="GH281">
        <v>1</v>
      </c>
      <c r="GI281">
        <v>-2</v>
      </c>
      <c r="GJ281">
        <v>0</v>
      </c>
      <c r="GK281">
        <f>ROUND(R281*(R12)/100,2)</f>
        <v>-2.16</v>
      </c>
      <c r="GL281">
        <f t="shared" si="256"/>
        <v>0</v>
      </c>
      <c r="GM281">
        <f t="shared" si="257"/>
        <v>-5.79</v>
      </c>
      <c r="GN281">
        <f t="shared" si="258"/>
        <v>0</v>
      </c>
      <c r="GO281">
        <f t="shared" si="259"/>
        <v>0</v>
      </c>
      <c r="GP281">
        <f t="shared" si="260"/>
        <v>-5.79</v>
      </c>
      <c r="GR281">
        <v>0</v>
      </c>
      <c r="GS281">
        <v>7</v>
      </c>
      <c r="GT281">
        <v>0</v>
      </c>
      <c r="GU281" t="s">
        <v>3</v>
      </c>
      <c r="GV281">
        <f t="shared" si="261"/>
        <v>0</v>
      </c>
      <c r="GW281">
        <v>1</v>
      </c>
      <c r="GX281">
        <f t="shared" si="262"/>
        <v>0</v>
      </c>
      <c r="HA281">
        <v>0</v>
      </c>
      <c r="HB281">
        <v>0</v>
      </c>
      <c r="HC281">
        <f t="shared" si="263"/>
        <v>0</v>
      </c>
      <c r="HE281" t="s">
        <v>3</v>
      </c>
      <c r="HF281" t="s">
        <v>3</v>
      </c>
      <c r="IK281">
        <v>0</v>
      </c>
    </row>
    <row r="282" spans="1:245" x14ac:dyDescent="0.2">
      <c r="A282">
        <v>18</v>
      </c>
      <c r="B282">
        <v>1</v>
      </c>
      <c r="C282">
        <v>312</v>
      </c>
      <c r="E282" t="s">
        <v>288</v>
      </c>
      <c r="F282" t="s">
        <v>95</v>
      </c>
      <c r="G282" t="s">
        <v>96</v>
      </c>
      <c r="H282" t="s">
        <v>28</v>
      </c>
      <c r="I282">
        <f>I277*J282</f>
        <v>-0.2</v>
      </c>
      <c r="J282">
        <v>-5</v>
      </c>
      <c r="O282">
        <f t="shared" si="224"/>
        <v>-608.08000000000004</v>
      </c>
      <c r="P282">
        <f t="shared" si="225"/>
        <v>-608.08000000000004</v>
      </c>
      <c r="Q282">
        <f t="shared" si="226"/>
        <v>0</v>
      </c>
      <c r="R282">
        <f t="shared" si="227"/>
        <v>0</v>
      </c>
      <c r="S282">
        <f t="shared" si="228"/>
        <v>0</v>
      </c>
      <c r="T282">
        <f t="shared" si="229"/>
        <v>0</v>
      </c>
      <c r="U282">
        <f t="shared" si="230"/>
        <v>0</v>
      </c>
      <c r="V282">
        <f t="shared" si="231"/>
        <v>0</v>
      </c>
      <c r="W282">
        <f t="shared" si="232"/>
        <v>0</v>
      </c>
      <c r="X282">
        <f t="shared" si="233"/>
        <v>0</v>
      </c>
      <c r="Y282">
        <f t="shared" si="234"/>
        <v>0</v>
      </c>
      <c r="AA282">
        <v>52430918</v>
      </c>
      <c r="AB282">
        <f t="shared" si="235"/>
        <v>3040.38</v>
      </c>
      <c r="AC282">
        <f t="shared" si="236"/>
        <v>3040.38</v>
      </c>
      <c r="AD282">
        <f t="shared" si="237"/>
        <v>0</v>
      </c>
      <c r="AE282">
        <f t="shared" si="238"/>
        <v>0</v>
      </c>
      <c r="AF282">
        <f t="shared" si="239"/>
        <v>0</v>
      </c>
      <c r="AG282">
        <f t="shared" si="240"/>
        <v>0</v>
      </c>
      <c r="AH282">
        <f t="shared" si="241"/>
        <v>0</v>
      </c>
      <c r="AI282">
        <f t="shared" si="242"/>
        <v>0</v>
      </c>
      <c r="AJ282">
        <f t="shared" si="243"/>
        <v>0</v>
      </c>
      <c r="AK282">
        <v>3040.38</v>
      </c>
      <c r="AL282">
        <v>3040.38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70</v>
      </c>
      <c r="AU282">
        <v>10</v>
      </c>
      <c r="AV282">
        <v>1</v>
      </c>
      <c r="AW282">
        <v>1</v>
      </c>
      <c r="AZ282">
        <v>1</v>
      </c>
      <c r="BA282">
        <v>1</v>
      </c>
      <c r="BB282">
        <v>1</v>
      </c>
      <c r="BC282">
        <v>1</v>
      </c>
      <c r="BD282" t="s">
        <v>3</v>
      </c>
      <c r="BE282" t="s">
        <v>3</v>
      </c>
      <c r="BF282" t="s">
        <v>3</v>
      </c>
      <c r="BG282" t="s">
        <v>3</v>
      </c>
      <c r="BH282">
        <v>3</v>
      </c>
      <c r="BI282">
        <v>4</v>
      </c>
      <c r="BJ282" t="s">
        <v>97</v>
      </c>
      <c r="BM282">
        <v>0</v>
      </c>
      <c r="BN282">
        <v>0</v>
      </c>
      <c r="BO282" t="s">
        <v>3</v>
      </c>
      <c r="BP282">
        <v>0</v>
      </c>
      <c r="BQ282">
        <v>1</v>
      </c>
      <c r="BR282">
        <v>1</v>
      </c>
      <c r="BS282">
        <v>1</v>
      </c>
      <c r="BT282">
        <v>1</v>
      </c>
      <c r="BU282">
        <v>1</v>
      </c>
      <c r="BV282">
        <v>1</v>
      </c>
      <c r="BW282">
        <v>1</v>
      </c>
      <c r="BX282">
        <v>1</v>
      </c>
      <c r="BY282" t="s">
        <v>3</v>
      </c>
      <c r="BZ282">
        <v>70</v>
      </c>
      <c r="CA282">
        <v>10</v>
      </c>
      <c r="CE282">
        <v>0</v>
      </c>
      <c r="CF282">
        <v>0</v>
      </c>
      <c r="CG282">
        <v>0</v>
      </c>
      <c r="CM282">
        <v>0</v>
      </c>
      <c r="CN282" t="s">
        <v>3</v>
      </c>
      <c r="CO282">
        <v>0</v>
      </c>
      <c r="CP282">
        <f t="shared" si="244"/>
        <v>-608.08000000000004</v>
      </c>
      <c r="CQ282">
        <f t="shared" si="245"/>
        <v>3040.38</v>
      </c>
      <c r="CR282">
        <f t="shared" si="246"/>
        <v>0</v>
      </c>
      <c r="CS282">
        <f t="shared" si="247"/>
        <v>0</v>
      </c>
      <c r="CT282">
        <f t="shared" si="248"/>
        <v>0</v>
      </c>
      <c r="CU282">
        <f t="shared" si="249"/>
        <v>0</v>
      </c>
      <c r="CV282">
        <f t="shared" si="250"/>
        <v>0</v>
      </c>
      <c r="CW282">
        <f t="shared" si="251"/>
        <v>0</v>
      </c>
      <c r="CX282">
        <f t="shared" si="252"/>
        <v>0</v>
      </c>
      <c r="CY282">
        <f t="shared" si="253"/>
        <v>0</v>
      </c>
      <c r="CZ282">
        <f t="shared" si="254"/>
        <v>0</v>
      </c>
      <c r="DC282" t="s">
        <v>3</v>
      </c>
      <c r="DD282" t="s">
        <v>3</v>
      </c>
      <c r="DE282" t="s">
        <v>3</v>
      </c>
      <c r="DF282" t="s">
        <v>3</v>
      </c>
      <c r="DG282" t="s">
        <v>3</v>
      </c>
      <c r="DH282" t="s">
        <v>3</v>
      </c>
      <c r="DI282" t="s">
        <v>3</v>
      </c>
      <c r="DJ282" t="s">
        <v>3</v>
      </c>
      <c r="DK282" t="s">
        <v>3</v>
      </c>
      <c r="DL282" t="s">
        <v>3</v>
      </c>
      <c r="DM282" t="s">
        <v>3</v>
      </c>
      <c r="DN282">
        <v>0</v>
      </c>
      <c r="DO282">
        <v>0</v>
      </c>
      <c r="DP282">
        <v>1</v>
      </c>
      <c r="DQ282">
        <v>1</v>
      </c>
      <c r="DU282">
        <v>1007</v>
      </c>
      <c r="DV282" t="s">
        <v>28</v>
      </c>
      <c r="DW282" t="s">
        <v>28</v>
      </c>
      <c r="DX282">
        <v>1</v>
      </c>
      <c r="EE282">
        <v>52362078</v>
      </c>
      <c r="EF282">
        <v>1</v>
      </c>
      <c r="EG282" t="s">
        <v>22</v>
      </c>
      <c r="EH282">
        <v>0</v>
      </c>
      <c r="EI282" t="s">
        <v>3</v>
      </c>
      <c r="EJ282">
        <v>4</v>
      </c>
      <c r="EK282">
        <v>0</v>
      </c>
      <c r="EL282" t="s">
        <v>23</v>
      </c>
      <c r="EM282" t="s">
        <v>24</v>
      </c>
      <c r="EO282" t="s">
        <v>3</v>
      </c>
      <c r="EQ282">
        <v>32768</v>
      </c>
      <c r="ER282">
        <v>3040.38</v>
      </c>
      <c r="ES282">
        <v>3040.38</v>
      </c>
      <c r="ET282">
        <v>0</v>
      </c>
      <c r="EU282">
        <v>0</v>
      </c>
      <c r="EV282">
        <v>0</v>
      </c>
      <c r="EW282">
        <v>0</v>
      </c>
      <c r="EX282">
        <v>0</v>
      </c>
      <c r="FQ282">
        <v>0</v>
      </c>
      <c r="FR282">
        <f t="shared" si="255"/>
        <v>0</v>
      </c>
      <c r="FS282">
        <v>0</v>
      </c>
      <c r="FX282">
        <v>70</v>
      </c>
      <c r="FY282">
        <v>10</v>
      </c>
      <c r="GA282" t="s">
        <v>3</v>
      </c>
      <c r="GD282">
        <v>0</v>
      </c>
      <c r="GF282">
        <v>395141172</v>
      </c>
      <c r="GG282">
        <v>2</v>
      </c>
      <c r="GH282">
        <v>1</v>
      </c>
      <c r="GI282">
        <v>-2</v>
      </c>
      <c r="GJ282">
        <v>0</v>
      </c>
      <c r="GK282">
        <f>ROUND(R282*(R12)/100,2)</f>
        <v>0</v>
      </c>
      <c r="GL282">
        <f t="shared" si="256"/>
        <v>0</v>
      </c>
      <c r="GM282">
        <f t="shared" si="257"/>
        <v>-608.08000000000004</v>
      </c>
      <c r="GN282">
        <f t="shared" si="258"/>
        <v>0</v>
      </c>
      <c r="GO282">
        <f t="shared" si="259"/>
        <v>0</v>
      </c>
      <c r="GP282">
        <f t="shared" si="260"/>
        <v>-608.08000000000004</v>
      </c>
      <c r="GR282">
        <v>0</v>
      </c>
      <c r="GS282">
        <v>3</v>
      </c>
      <c r="GT282">
        <v>0</v>
      </c>
      <c r="GU282" t="s">
        <v>3</v>
      </c>
      <c r="GV282">
        <f t="shared" si="261"/>
        <v>0</v>
      </c>
      <c r="GW282">
        <v>1</v>
      </c>
      <c r="GX282">
        <f t="shared" si="262"/>
        <v>0</v>
      </c>
      <c r="HA282">
        <v>0</v>
      </c>
      <c r="HB282">
        <v>0</v>
      </c>
      <c r="HC282">
        <f t="shared" si="263"/>
        <v>0</v>
      </c>
      <c r="HE282" t="s">
        <v>3</v>
      </c>
      <c r="HF282" t="s">
        <v>3</v>
      </c>
      <c r="IK282">
        <v>0</v>
      </c>
    </row>
    <row r="283" spans="1:245" x14ac:dyDescent="0.2">
      <c r="A283">
        <v>18</v>
      </c>
      <c r="B283">
        <v>1</v>
      </c>
      <c r="C283">
        <v>310</v>
      </c>
      <c r="E283" t="s">
        <v>289</v>
      </c>
      <c r="F283" t="s">
        <v>99</v>
      </c>
      <c r="G283" t="s">
        <v>100</v>
      </c>
      <c r="H283" t="s">
        <v>101</v>
      </c>
      <c r="I283">
        <f>I277*J283</f>
        <v>-8.0000000000000004E-4</v>
      </c>
      <c r="J283">
        <v>-0.02</v>
      </c>
      <c r="O283">
        <f t="shared" si="224"/>
        <v>-88.62</v>
      </c>
      <c r="P283">
        <f t="shared" si="225"/>
        <v>-88.62</v>
      </c>
      <c r="Q283">
        <f t="shared" si="226"/>
        <v>0</v>
      </c>
      <c r="R283">
        <f t="shared" si="227"/>
        <v>0</v>
      </c>
      <c r="S283">
        <f t="shared" si="228"/>
        <v>0</v>
      </c>
      <c r="T283">
        <f t="shared" si="229"/>
        <v>0</v>
      </c>
      <c r="U283">
        <f t="shared" si="230"/>
        <v>0</v>
      </c>
      <c r="V283">
        <f t="shared" si="231"/>
        <v>0</v>
      </c>
      <c r="W283">
        <f t="shared" si="232"/>
        <v>0</v>
      </c>
      <c r="X283">
        <f t="shared" si="233"/>
        <v>0</v>
      </c>
      <c r="Y283">
        <f t="shared" si="234"/>
        <v>0</v>
      </c>
      <c r="AA283">
        <v>52430918</v>
      </c>
      <c r="AB283">
        <f t="shared" si="235"/>
        <v>110781.14</v>
      </c>
      <c r="AC283">
        <f t="shared" si="236"/>
        <v>110781.14</v>
      </c>
      <c r="AD283">
        <f t="shared" si="237"/>
        <v>0</v>
      </c>
      <c r="AE283">
        <f t="shared" si="238"/>
        <v>0</v>
      </c>
      <c r="AF283">
        <f t="shared" si="239"/>
        <v>0</v>
      </c>
      <c r="AG283">
        <f t="shared" si="240"/>
        <v>0</v>
      </c>
      <c r="AH283">
        <f t="shared" si="241"/>
        <v>0</v>
      </c>
      <c r="AI283">
        <f t="shared" si="242"/>
        <v>0</v>
      </c>
      <c r="AJ283">
        <f t="shared" si="243"/>
        <v>0</v>
      </c>
      <c r="AK283">
        <v>110781.14</v>
      </c>
      <c r="AL283">
        <v>110781.14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70</v>
      </c>
      <c r="AU283">
        <v>10</v>
      </c>
      <c r="AV283">
        <v>1</v>
      </c>
      <c r="AW283">
        <v>1</v>
      </c>
      <c r="AZ283">
        <v>1</v>
      </c>
      <c r="BA283">
        <v>1</v>
      </c>
      <c r="BB283">
        <v>1</v>
      </c>
      <c r="BC283">
        <v>1</v>
      </c>
      <c r="BD283" t="s">
        <v>3</v>
      </c>
      <c r="BE283" t="s">
        <v>3</v>
      </c>
      <c r="BF283" t="s">
        <v>3</v>
      </c>
      <c r="BG283" t="s">
        <v>3</v>
      </c>
      <c r="BH283">
        <v>3</v>
      </c>
      <c r="BI283">
        <v>4</v>
      </c>
      <c r="BJ283" t="s">
        <v>102</v>
      </c>
      <c r="BM283">
        <v>0</v>
      </c>
      <c r="BN283">
        <v>0</v>
      </c>
      <c r="BO283" t="s">
        <v>3</v>
      </c>
      <c r="BP283">
        <v>0</v>
      </c>
      <c r="BQ283">
        <v>1</v>
      </c>
      <c r="BR283">
        <v>1</v>
      </c>
      <c r="BS283">
        <v>1</v>
      </c>
      <c r="BT283">
        <v>1</v>
      </c>
      <c r="BU283">
        <v>1</v>
      </c>
      <c r="BV283">
        <v>1</v>
      </c>
      <c r="BW283">
        <v>1</v>
      </c>
      <c r="BX283">
        <v>1</v>
      </c>
      <c r="BY283" t="s">
        <v>3</v>
      </c>
      <c r="BZ283">
        <v>70</v>
      </c>
      <c r="CA283">
        <v>10</v>
      </c>
      <c r="CE283">
        <v>0</v>
      </c>
      <c r="CF283">
        <v>0</v>
      </c>
      <c r="CG283">
        <v>0</v>
      </c>
      <c r="CM283">
        <v>0</v>
      </c>
      <c r="CN283" t="s">
        <v>3</v>
      </c>
      <c r="CO283">
        <v>0</v>
      </c>
      <c r="CP283">
        <f t="shared" si="244"/>
        <v>-88.62</v>
      </c>
      <c r="CQ283">
        <f t="shared" si="245"/>
        <v>110781.14</v>
      </c>
      <c r="CR283">
        <f t="shared" si="246"/>
        <v>0</v>
      </c>
      <c r="CS283">
        <f t="shared" si="247"/>
        <v>0</v>
      </c>
      <c r="CT283">
        <f t="shared" si="248"/>
        <v>0</v>
      </c>
      <c r="CU283">
        <f t="shared" si="249"/>
        <v>0</v>
      </c>
      <c r="CV283">
        <f t="shared" si="250"/>
        <v>0</v>
      </c>
      <c r="CW283">
        <f t="shared" si="251"/>
        <v>0</v>
      </c>
      <c r="CX283">
        <f t="shared" si="252"/>
        <v>0</v>
      </c>
      <c r="CY283">
        <f t="shared" si="253"/>
        <v>0</v>
      </c>
      <c r="CZ283">
        <f t="shared" si="254"/>
        <v>0</v>
      </c>
      <c r="DC283" t="s">
        <v>3</v>
      </c>
      <c r="DD283" t="s">
        <v>3</v>
      </c>
      <c r="DE283" t="s">
        <v>3</v>
      </c>
      <c r="DF283" t="s">
        <v>3</v>
      </c>
      <c r="DG283" t="s">
        <v>3</v>
      </c>
      <c r="DH283" t="s">
        <v>3</v>
      </c>
      <c r="DI283" t="s">
        <v>3</v>
      </c>
      <c r="DJ283" t="s">
        <v>3</v>
      </c>
      <c r="DK283" t="s">
        <v>3</v>
      </c>
      <c r="DL283" t="s">
        <v>3</v>
      </c>
      <c r="DM283" t="s">
        <v>3</v>
      </c>
      <c r="DN283">
        <v>0</v>
      </c>
      <c r="DO283">
        <v>0</v>
      </c>
      <c r="DP283">
        <v>1</v>
      </c>
      <c r="DQ283">
        <v>1</v>
      </c>
      <c r="DU283">
        <v>1009</v>
      </c>
      <c r="DV283" t="s">
        <v>101</v>
      </c>
      <c r="DW283" t="s">
        <v>101</v>
      </c>
      <c r="DX283">
        <v>1000</v>
      </c>
      <c r="EE283">
        <v>52362078</v>
      </c>
      <c r="EF283">
        <v>1</v>
      </c>
      <c r="EG283" t="s">
        <v>22</v>
      </c>
      <c r="EH283">
        <v>0</v>
      </c>
      <c r="EI283" t="s">
        <v>3</v>
      </c>
      <c r="EJ283">
        <v>4</v>
      </c>
      <c r="EK283">
        <v>0</v>
      </c>
      <c r="EL283" t="s">
        <v>23</v>
      </c>
      <c r="EM283" t="s">
        <v>24</v>
      </c>
      <c r="EO283" t="s">
        <v>3</v>
      </c>
      <c r="EQ283">
        <v>32768</v>
      </c>
      <c r="ER283">
        <v>110781.14</v>
      </c>
      <c r="ES283">
        <v>110781.14</v>
      </c>
      <c r="ET283">
        <v>0</v>
      </c>
      <c r="EU283">
        <v>0</v>
      </c>
      <c r="EV283">
        <v>0</v>
      </c>
      <c r="EW283">
        <v>0</v>
      </c>
      <c r="EX283">
        <v>0</v>
      </c>
      <c r="FQ283">
        <v>0</v>
      </c>
      <c r="FR283">
        <f t="shared" si="255"/>
        <v>0</v>
      </c>
      <c r="FS283">
        <v>0</v>
      </c>
      <c r="FX283">
        <v>70</v>
      </c>
      <c r="FY283">
        <v>10</v>
      </c>
      <c r="GA283" t="s">
        <v>3</v>
      </c>
      <c r="GD283">
        <v>0</v>
      </c>
      <c r="GF283">
        <v>-672771621</v>
      </c>
      <c r="GG283">
        <v>2</v>
      </c>
      <c r="GH283">
        <v>1</v>
      </c>
      <c r="GI283">
        <v>-2</v>
      </c>
      <c r="GJ283">
        <v>0</v>
      </c>
      <c r="GK283">
        <f>ROUND(R283*(R12)/100,2)</f>
        <v>0</v>
      </c>
      <c r="GL283">
        <f t="shared" si="256"/>
        <v>0</v>
      </c>
      <c r="GM283">
        <f t="shared" si="257"/>
        <v>-88.62</v>
      </c>
      <c r="GN283">
        <f t="shared" si="258"/>
        <v>0</v>
      </c>
      <c r="GO283">
        <f t="shared" si="259"/>
        <v>0</v>
      </c>
      <c r="GP283">
        <f t="shared" si="260"/>
        <v>-88.62</v>
      </c>
      <c r="GR283">
        <v>0</v>
      </c>
      <c r="GS283">
        <v>3</v>
      </c>
      <c r="GT283">
        <v>0</v>
      </c>
      <c r="GU283" t="s">
        <v>3</v>
      </c>
      <c r="GV283">
        <f t="shared" si="261"/>
        <v>0</v>
      </c>
      <c r="GW283">
        <v>1</v>
      </c>
      <c r="GX283">
        <f t="shared" si="262"/>
        <v>0</v>
      </c>
      <c r="HA283">
        <v>0</v>
      </c>
      <c r="HB283">
        <v>0</v>
      </c>
      <c r="HC283">
        <f t="shared" si="263"/>
        <v>0</v>
      </c>
      <c r="HE283" t="s">
        <v>3</v>
      </c>
      <c r="HF283" t="s">
        <v>3</v>
      </c>
      <c r="IK283">
        <v>0</v>
      </c>
    </row>
    <row r="284" spans="1:245" x14ac:dyDescent="0.2">
      <c r="A284">
        <v>18</v>
      </c>
      <c r="B284">
        <v>1</v>
      </c>
      <c r="C284">
        <v>314</v>
      </c>
      <c r="E284" t="s">
        <v>290</v>
      </c>
      <c r="F284" t="s">
        <v>104</v>
      </c>
      <c r="G284" t="s">
        <v>105</v>
      </c>
      <c r="H284" t="s">
        <v>106</v>
      </c>
      <c r="I284">
        <f>I277*J284</f>
        <v>1</v>
      </c>
      <c r="J284">
        <v>25</v>
      </c>
      <c r="O284">
        <f t="shared" si="224"/>
        <v>17250</v>
      </c>
      <c r="P284">
        <f t="shared" si="225"/>
        <v>17250</v>
      </c>
      <c r="Q284">
        <f t="shared" si="226"/>
        <v>0</v>
      </c>
      <c r="R284">
        <f t="shared" si="227"/>
        <v>0</v>
      </c>
      <c r="S284">
        <f t="shared" si="228"/>
        <v>0</v>
      </c>
      <c r="T284">
        <f t="shared" si="229"/>
        <v>0</v>
      </c>
      <c r="U284">
        <f t="shared" si="230"/>
        <v>0</v>
      </c>
      <c r="V284">
        <f t="shared" si="231"/>
        <v>0</v>
      </c>
      <c r="W284">
        <f t="shared" si="232"/>
        <v>0</v>
      </c>
      <c r="X284">
        <f t="shared" si="233"/>
        <v>0</v>
      </c>
      <c r="Y284">
        <f t="shared" si="234"/>
        <v>0</v>
      </c>
      <c r="AA284">
        <v>52430918</v>
      </c>
      <c r="AB284">
        <f t="shared" si="235"/>
        <v>17250</v>
      </c>
      <c r="AC284">
        <f t="shared" si="236"/>
        <v>17250</v>
      </c>
      <c r="AD284">
        <f t="shared" si="237"/>
        <v>0</v>
      </c>
      <c r="AE284">
        <f t="shared" si="238"/>
        <v>0</v>
      </c>
      <c r="AF284">
        <f t="shared" si="239"/>
        <v>0</v>
      </c>
      <c r="AG284">
        <f t="shared" si="240"/>
        <v>0</v>
      </c>
      <c r="AH284">
        <f t="shared" si="241"/>
        <v>0</v>
      </c>
      <c r="AI284">
        <f t="shared" si="242"/>
        <v>0</v>
      </c>
      <c r="AJ284">
        <f t="shared" si="243"/>
        <v>0</v>
      </c>
      <c r="AK284">
        <v>17250</v>
      </c>
      <c r="AL284">
        <v>17250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70</v>
      </c>
      <c r="AU284">
        <v>10</v>
      </c>
      <c r="AV284">
        <v>1</v>
      </c>
      <c r="AW284">
        <v>1</v>
      </c>
      <c r="AZ284">
        <v>1</v>
      </c>
      <c r="BA284">
        <v>1</v>
      </c>
      <c r="BB284">
        <v>1</v>
      </c>
      <c r="BC284">
        <v>1</v>
      </c>
      <c r="BD284" t="s">
        <v>3</v>
      </c>
      <c r="BE284" t="s">
        <v>3</v>
      </c>
      <c r="BF284" t="s">
        <v>3</v>
      </c>
      <c r="BG284" t="s">
        <v>3</v>
      </c>
      <c r="BH284">
        <v>3</v>
      </c>
      <c r="BI284">
        <v>4</v>
      </c>
      <c r="BJ284" t="s">
        <v>3</v>
      </c>
      <c r="BM284">
        <v>0</v>
      </c>
      <c r="BN284">
        <v>0</v>
      </c>
      <c r="BO284" t="s">
        <v>3</v>
      </c>
      <c r="BP284">
        <v>0</v>
      </c>
      <c r="BQ284">
        <v>1</v>
      </c>
      <c r="BR284">
        <v>0</v>
      </c>
      <c r="BS284">
        <v>1</v>
      </c>
      <c r="BT284">
        <v>1</v>
      </c>
      <c r="BU284">
        <v>1</v>
      </c>
      <c r="BV284">
        <v>1</v>
      </c>
      <c r="BW284">
        <v>1</v>
      </c>
      <c r="BX284">
        <v>1</v>
      </c>
      <c r="BY284" t="s">
        <v>3</v>
      </c>
      <c r="BZ284">
        <v>70</v>
      </c>
      <c r="CA284">
        <v>10</v>
      </c>
      <c r="CE284">
        <v>0</v>
      </c>
      <c r="CF284">
        <v>0</v>
      </c>
      <c r="CG284">
        <v>0</v>
      </c>
      <c r="CM284">
        <v>0</v>
      </c>
      <c r="CN284" t="s">
        <v>3</v>
      </c>
      <c r="CO284">
        <v>0</v>
      </c>
      <c r="CP284">
        <f t="shared" si="244"/>
        <v>17250</v>
      </c>
      <c r="CQ284">
        <f t="shared" si="245"/>
        <v>17250</v>
      </c>
      <c r="CR284">
        <f t="shared" si="246"/>
        <v>0</v>
      </c>
      <c r="CS284">
        <f t="shared" si="247"/>
        <v>0</v>
      </c>
      <c r="CT284">
        <f t="shared" si="248"/>
        <v>0</v>
      </c>
      <c r="CU284">
        <f t="shared" si="249"/>
        <v>0</v>
      </c>
      <c r="CV284">
        <f t="shared" si="250"/>
        <v>0</v>
      </c>
      <c r="CW284">
        <f t="shared" si="251"/>
        <v>0</v>
      </c>
      <c r="CX284">
        <f t="shared" si="252"/>
        <v>0</v>
      </c>
      <c r="CY284">
        <f t="shared" si="253"/>
        <v>0</v>
      </c>
      <c r="CZ284">
        <f t="shared" si="254"/>
        <v>0</v>
      </c>
      <c r="DC284" t="s">
        <v>3</v>
      </c>
      <c r="DD284" t="s">
        <v>3</v>
      </c>
      <c r="DE284" t="s">
        <v>3</v>
      </c>
      <c r="DF284" t="s">
        <v>3</v>
      </c>
      <c r="DG284" t="s">
        <v>3</v>
      </c>
      <c r="DH284" t="s">
        <v>3</v>
      </c>
      <c r="DI284" t="s">
        <v>3</v>
      </c>
      <c r="DJ284" t="s">
        <v>3</v>
      </c>
      <c r="DK284" t="s">
        <v>3</v>
      </c>
      <c r="DL284" t="s">
        <v>3</v>
      </c>
      <c r="DM284" t="s">
        <v>3</v>
      </c>
      <c r="DN284">
        <v>0</v>
      </c>
      <c r="DO284">
        <v>0</v>
      </c>
      <c r="DP284">
        <v>1</v>
      </c>
      <c r="DQ284">
        <v>1</v>
      </c>
      <c r="DU284">
        <v>1010</v>
      </c>
      <c r="DV284" t="s">
        <v>106</v>
      </c>
      <c r="DW284" t="s">
        <v>106</v>
      </c>
      <c r="DX284">
        <v>1</v>
      </c>
      <c r="EE284">
        <v>52362078</v>
      </c>
      <c r="EF284">
        <v>1</v>
      </c>
      <c r="EG284" t="s">
        <v>22</v>
      </c>
      <c r="EH284">
        <v>0</v>
      </c>
      <c r="EI284" t="s">
        <v>3</v>
      </c>
      <c r="EJ284">
        <v>4</v>
      </c>
      <c r="EK284">
        <v>0</v>
      </c>
      <c r="EL284" t="s">
        <v>23</v>
      </c>
      <c r="EM284" t="s">
        <v>24</v>
      </c>
      <c r="EO284" t="s">
        <v>3</v>
      </c>
      <c r="EQ284">
        <v>0</v>
      </c>
      <c r="ER284">
        <v>17250</v>
      </c>
      <c r="ES284">
        <v>17250</v>
      </c>
      <c r="ET284">
        <v>0</v>
      </c>
      <c r="EU284">
        <v>0</v>
      </c>
      <c r="EV284">
        <v>0</v>
      </c>
      <c r="EW284">
        <v>0</v>
      </c>
      <c r="EX284">
        <v>0</v>
      </c>
      <c r="EZ284">
        <v>5</v>
      </c>
      <c r="FC284">
        <v>1</v>
      </c>
      <c r="FD284">
        <v>18</v>
      </c>
      <c r="FF284">
        <v>20700</v>
      </c>
      <c r="FQ284">
        <v>0</v>
      </c>
      <c r="FR284">
        <f t="shared" si="255"/>
        <v>0</v>
      </c>
      <c r="FS284">
        <v>0</v>
      </c>
      <c r="FX284">
        <v>70</v>
      </c>
      <c r="FY284">
        <v>10</v>
      </c>
      <c r="GA284" t="s">
        <v>107</v>
      </c>
      <c r="GD284">
        <v>0</v>
      </c>
      <c r="GF284">
        <v>-292158938</v>
      </c>
      <c r="GG284">
        <v>2</v>
      </c>
      <c r="GH284">
        <v>3</v>
      </c>
      <c r="GI284">
        <v>-2</v>
      </c>
      <c r="GJ284">
        <v>0</v>
      </c>
      <c r="GK284">
        <f>ROUND(R284*(R12)/100,2)</f>
        <v>0</v>
      </c>
      <c r="GL284">
        <f t="shared" si="256"/>
        <v>0</v>
      </c>
      <c r="GM284">
        <f t="shared" si="257"/>
        <v>17250</v>
      </c>
      <c r="GN284">
        <f t="shared" si="258"/>
        <v>0</v>
      </c>
      <c r="GO284">
        <f t="shared" si="259"/>
        <v>0</v>
      </c>
      <c r="GP284">
        <f t="shared" si="260"/>
        <v>17250</v>
      </c>
      <c r="GR284">
        <v>1</v>
      </c>
      <c r="GS284">
        <v>1</v>
      </c>
      <c r="GT284">
        <v>0</v>
      </c>
      <c r="GU284" t="s">
        <v>3</v>
      </c>
      <c r="GV284">
        <f t="shared" si="261"/>
        <v>0</v>
      </c>
      <c r="GW284">
        <v>1</v>
      </c>
      <c r="GX284">
        <f t="shared" si="262"/>
        <v>0</v>
      </c>
      <c r="HA284">
        <v>0</v>
      </c>
      <c r="HB284">
        <v>0</v>
      </c>
      <c r="HC284">
        <f t="shared" si="263"/>
        <v>0</v>
      </c>
      <c r="HE284" t="s">
        <v>108</v>
      </c>
      <c r="HF284" t="s">
        <v>108</v>
      </c>
      <c r="IK284">
        <v>0</v>
      </c>
    </row>
    <row r="285" spans="1:245" x14ac:dyDescent="0.2">
      <c r="A285">
        <v>18</v>
      </c>
      <c r="B285">
        <v>1</v>
      </c>
      <c r="C285">
        <v>315</v>
      </c>
      <c r="E285" t="s">
        <v>291</v>
      </c>
      <c r="F285" t="s">
        <v>104</v>
      </c>
      <c r="G285" t="s">
        <v>110</v>
      </c>
      <c r="H285" t="s">
        <v>106</v>
      </c>
      <c r="I285">
        <f>I277*J285</f>
        <v>1</v>
      </c>
      <c r="J285">
        <v>25</v>
      </c>
      <c r="O285">
        <f t="shared" si="224"/>
        <v>44166.67</v>
      </c>
      <c r="P285">
        <f t="shared" si="225"/>
        <v>44166.67</v>
      </c>
      <c r="Q285">
        <f t="shared" si="226"/>
        <v>0</v>
      </c>
      <c r="R285">
        <f t="shared" si="227"/>
        <v>0</v>
      </c>
      <c r="S285">
        <f t="shared" si="228"/>
        <v>0</v>
      </c>
      <c r="T285">
        <f t="shared" si="229"/>
        <v>0</v>
      </c>
      <c r="U285">
        <f t="shared" si="230"/>
        <v>0</v>
      </c>
      <c r="V285">
        <f t="shared" si="231"/>
        <v>0</v>
      </c>
      <c r="W285">
        <f t="shared" si="232"/>
        <v>0</v>
      </c>
      <c r="X285">
        <f t="shared" si="233"/>
        <v>0</v>
      </c>
      <c r="Y285">
        <f t="shared" si="234"/>
        <v>0</v>
      </c>
      <c r="AA285">
        <v>52430918</v>
      </c>
      <c r="AB285">
        <f t="shared" si="235"/>
        <v>44166.67</v>
      </c>
      <c r="AC285">
        <f t="shared" si="236"/>
        <v>44166.67</v>
      </c>
      <c r="AD285">
        <f t="shared" si="237"/>
        <v>0</v>
      </c>
      <c r="AE285">
        <f t="shared" si="238"/>
        <v>0</v>
      </c>
      <c r="AF285">
        <f t="shared" si="239"/>
        <v>0</v>
      </c>
      <c r="AG285">
        <f t="shared" si="240"/>
        <v>0</v>
      </c>
      <c r="AH285">
        <f t="shared" si="241"/>
        <v>0</v>
      </c>
      <c r="AI285">
        <f t="shared" si="242"/>
        <v>0</v>
      </c>
      <c r="AJ285">
        <f t="shared" si="243"/>
        <v>0</v>
      </c>
      <c r="AK285">
        <v>44166.67</v>
      </c>
      <c r="AL285">
        <v>44166.67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70</v>
      </c>
      <c r="AU285">
        <v>10</v>
      </c>
      <c r="AV285">
        <v>1</v>
      </c>
      <c r="AW285">
        <v>1</v>
      </c>
      <c r="AZ285">
        <v>1</v>
      </c>
      <c r="BA285">
        <v>1</v>
      </c>
      <c r="BB285">
        <v>1</v>
      </c>
      <c r="BC285">
        <v>1</v>
      </c>
      <c r="BD285" t="s">
        <v>3</v>
      </c>
      <c r="BE285" t="s">
        <v>3</v>
      </c>
      <c r="BF285" t="s">
        <v>3</v>
      </c>
      <c r="BG285" t="s">
        <v>3</v>
      </c>
      <c r="BH285">
        <v>3</v>
      </c>
      <c r="BI285">
        <v>4</v>
      </c>
      <c r="BJ285" t="s">
        <v>3</v>
      </c>
      <c r="BM285">
        <v>0</v>
      </c>
      <c r="BN285">
        <v>0</v>
      </c>
      <c r="BO285" t="s">
        <v>3</v>
      </c>
      <c r="BP285">
        <v>0</v>
      </c>
      <c r="BQ285">
        <v>1</v>
      </c>
      <c r="BR285">
        <v>0</v>
      </c>
      <c r="BS285">
        <v>1</v>
      </c>
      <c r="BT285">
        <v>1</v>
      </c>
      <c r="BU285">
        <v>1</v>
      </c>
      <c r="BV285">
        <v>1</v>
      </c>
      <c r="BW285">
        <v>1</v>
      </c>
      <c r="BX285">
        <v>1</v>
      </c>
      <c r="BY285" t="s">
        <v>3</v>
      </c>
      <c r="BZ285">
        <v>70</v>
      </c>
      <c r="CA285">
        <v>10</v>
      </c>
      <c r="CE285">
        <v>0</v>
      </c>
      <c r="CF285">
        <v>0</v>
      </c>
      <c r="CG285">
        <v>0</v>
      </c>
      <c r="CM285">
        <v>0</v>
      </c>
      <c r="CN285" t="s">
        <v>3</v>
      </c>
      <c r="CO285">
        <v>0</v>
      </c>
      <c r="CP285">
        <f t="shared" si="244"/>
        <v>44166.67</v>
      </c>
      <c r="CQ285">
        <f t="shared" si="245"/>
        <v>44166.67</v>
      </c>
      <c r="CR285">
        <f t="shared" si="246"/>
        <v>0</v>
      </c>
      <c r="CS285">
        <f t="shared" si="247"/>
        <v>0</v>
      </c>
      <c r="CT285">
        <f t="shared" si="248"/>
        <v>0</v>
      </c>
      <c r="CU285">
        <f t="shared" si="249"/>
        <v>0</v>
      </c>
      <c r="CV285">
        <f t="shared" si="250"/>
        <v>0</v>
      </c>
      <c r="CW285">
        <f t="shared" si="251"/>
        <v>0</v>
      </c>
      <c r="CX285">
        <f t="shared" si="252"/>
        <v>0</v>
      </c>
      <c r="CY285">
        <f t="shared" si="253"/>
        <v>0</v>
      </c>
      <c r="CZ285">
        <f t="shared" si="254"/>
        <v>0</v>
      </c>
      <c r="DC285" t="s">
        <v>3</v>
      </c>
      <c r="DD285" t="s">
        <v>3</v>
      </c>
      <c r="DE285" t="s">
        <v>3</v>
      </c>
      <c r="DF285" t="s">
        <v>3</v>
      </c>
      <c r="DG285" t="s">
        <v>3</v>
      </c>
      <c r="DH285" t="s">
        <v>3</v>
      </c>
      <c r="DI285" t="s">
        <v>3</v>
      </c>
      <c r="DJ285" t="s">
        <v>3</v>
      </c>
      <c r="DK285" t="s">
        <v>3</v>
      </c>
      <c r="DL285" t="s">
        <v>3</v>
      </c>
      <c r="DM285" t="s">
        <v>3</v>
      </c>
      <c r="DN285">
        <v>0</v>
      </c>
      <c r="DO285">
        <v>0</v>
      </c>
      <c r="DP285">
        <v>1</v>
      </c>
      <c r="DQ285">
        <v>1</v>
      </c>
      <c r="DU285">
        <v>1010</v>
      </c>
      <c r="DV285" t="s">
        <v>106</v>
      </c>
      <c r="DW285" t="s">
        <v>106</v>
      </c>
      <c r="DX285">
        <v>1</v>
      </c>
      <c r="EE285">
        <v>52362078</v>
      </c>
      <c r="EF285">
        <v>1</v>
      </c>
      <c r="EG285" t="s">
        <v>22</v>
      </c>
      <c r="EH285">
        <v>0</v>
      </c>
      <c r="EI285" t="s">
        <v>3</v>
      </c>
      <c r="EJ285">
        <v>4</v>
      </c>
      <c r="EK285">
        <v>0</v>
      </c>
      <c r="EL285" t="s">
        <v>23</v>
      </c>
      <c r="EM285" t="s">
        <v>24</v>
      </c>
      <c r="EO285" t="s">
        <v>3</v>
      </c>
      <c r="EQ285">
        <v>0</v>
      </c>
      <c r="ER285">
        <v>44166.67</v>
      </c>
      <c r="ES285">
        <v>44166.67</v>
      </c>
      <c r="ET285">
        <v>0</v>
      </c>
      <c r="EU285">
        <v>0</v>
      </c>
      <c r="EV285">
        <v>0</v>
      </c>
      <c r="EW285">
        <v>0</v>
      </c>
      <c r="EX285">
        <v>0</v>
      </c>
      <c r="EZ285">
        <v>5</v>
      </c>
      <c r="FC285">
        <v>1</v>
      </c>
      <c r="FD285">
        <v>18</v>
      </c>
      <c r="FF285">
        <v>53000</v>
      </c>
      <c r="FQ285">
        <v>0</v>
      </c>
      <c r="FR285">
        <f t="shared" si="255"/>
        <v>0</v>
      </c>
      <c r="FS285">
        <v>0</v>
      </c>
      <c r="FX285">
        <v>70</v>
      </c>
      <c r="FY285">
        <v>10</v>
      </c>
      <c r="GA285" t="s">
        <v>111</v>
      </c>
      <c r="GD285">
        <v>0</v>
      </c>
      <c r="GF285">
        <v>774189156</v>
      </c>
      <c r="GG285">
        <v>2</v>
      </c>
      <c r="GH285">
        <v>3</v>
      </c>
      <c r="GI285">
        <v>-2</v>
      </c>
      <c r="GJ285">
        <v>0</v>
      </c>
      <c r="GK285">
        <f>ROUND(R285*(R12)/100,2)</f>
        <v>0</v>
      </c>
      <c r="GL285">
        <f t="shared" si="256"/>
        <v>0</v>
      </c>
      <c r="GM285">
        <f t="shared" si="257"/>
        <v>44166.67</v>
      </c>
      <c r="GN285">
        <f t="shared" si="258"/>
        <v>0</v>
      </c>
      <c r="GO285">
        <f t="shared" si="259"/>
        <v>0</v>
      </c>
      <c r="GP285">
        <f t="shared" si="260"/>
        <v>44166.67</v>
      </c>
      <c r="GR285">
        <v>1</v>
      </c>
      <c r="GS285">
        <v>1</v>
      </c>
      <c r="GT285">
        <v>0</v>
      </c>
      <c r="GU285" t="s">
        <v>3</v>
      </c>
      <c r="GV285">
        <f t="shared" si="261"/>
        <v>0</v>
      </c>
      <c r="GW285">
        <v>1</v>
      </c>
      <c r="GX285">
        <f t="shared" si="262"/>
        <v>0</v>
      </c>
      <c r="HA285">
        <v>0</v>
      </c>
      <c r="HB285">
        <v>0</v>
      </c>
      <c r="HC285">
        <f t="shared" si="263"/>
        <v>0</v>
      </c>
      <c r="HE285" t="s">
        <v>108</v>
      </c>
      <c r="HF285" t="s">
        <v>108</v>
      </c>
      <c r="IK285">
        <v>0</v>
      </c>
    </row>
    <row r="286" spans="1:245" x14ac:dyDescent="0.2">
      <c r="A286">
        <v>18</v>
      </c>
      <c r="B286">
        <v>1</v>
      </c>
      <c r="C286">
        <v>316</v>
      </c>
      <c r="E286" t="s">
        <v>292</v>
      </c>
      <c r="F286" t="s">
        <v>104</v>
      </c>
      <c r="G286" t="s">
        <v>206</v>
      </c>
      <c r="H286" t="s">
        <v>106</v>
      </c>
      <c r="I286">
        <f>I277*J286</f>
        <v>1</v>
      </c>
      <c r="J286">
        <v>25</v>
      </c>
      <c r="O286">
        <f t="shared" si="224"/>
        <v>48916.67</v>
      </c>
      <c r="P286">
        <f t="shared" si="225"/>
        <v>48916.67</v>
      </c>
      <c r="Q286">
        <f t="shared" si="226"/>
        <v>0</v>
      </c>
      <c r="R286">
        <f t="shared" si="227"/>
        <v>0</v>
      </c>
      <c r="S286">
        <f t="shared" si="228"/>
        <v>0</v>
      </c>
      <c r="T286">
        <f t="shared" si="229"/>
        <v>0</v>
      </c>
      <c r="U286">
        <f t="shared" si="230"/>
        <v>0</v>
      </c>
      <c r="V286">
        <f t="shared" si="231"/>
        <v>0</v>
      </c>
      <c r="W286">
        <f t="shared" si="232"/>
        <v>0</v>
      </c>
      <c r="X286">
        <f t="shared" si="233"/>
        <v>0</v>
      </c>
      <c r="Y286">
        <f t="shared" si="234"/>
        <v>0</v>
      </c>
      <c r="AA286">
        <v>52430918</v>
      </c>
      <c r="AB286">
        <f t="shared" si="235"/>
        <v>48916.67</v>
      </c>
      <c r="AC286">
        <f t="shared" si="236"/>
        <v>48916.67</v>
      </c>
      <c r="AD286">
        <f t="shared" si="237"/>
        <v>0</v>
      </c>
      <c r="AE286">
        <f t="shared" si="238"/>
        <v>0</v>
      </c>
      <c r="AF286">
        <f t="shared" si="239"/>
        <v>0</v>
      </c>
      <c r="AG286">
        <f t="shared" si="240"/>
        <v>0</v>
      </c>
      <c r="AH286">
        <f t="shared" si="241"/>
        <v>0</v>
      </c>
      <c r="AI286">
        <f t="shared" si="242"/>
        <v>0</v>
      </c>
      <c r="AJ286">
        <f t="shared" si="243"/>
        <v>0</v>
      </c>
      <c r="AK286">
        <v>48916.67</v>
      </c>
      <c r="AL286">
        <v>48916.67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70</v>
      </c>
      <c r="AU286">
        <v>10</v>
      </c>
      <c r="AV286">
        <v>1</v>
      </c>
      <c r="AW286">
        <v>1</v>
      </c>
      <c r="AZ286">
        <v>1</v>
      </c>
      <c r="BA286">
        <v>1</v>
      </c>
      <c r="BB286">
        <v>1</v>
      </c>
      <c r="BC286">
        <v>1</v>
      </c>
      <c r="BD286" t="s">
        <v>3</v>
      </c>
      <c r="BE286" t="s">
        <v>3</v>
      </c>
      <c r="BF286" t="s">
        <v>3</v>
      </c>
      <c r="BG286" t="s">
        <v>3</v>
      </c>
      <c r="BH286">
        <v>3</v>
      </c>
      <c r="BI286">
        <v>4</v>
      </c>
      <c r="BJ286" t="s">
        <v>3</v>
      </c>
      <c r="BM286">
        <v>0</v>
      </c>
      <c r="BN286">
        <v>0</v>
      </c>
      <c r="BO286" t="s">
        <v>3</v>
      </c>
      <c r="BP286">
        <v>0</v>
      </c>
      <c r="BQ286">
        <v>1</v>
      </c>
      <c r="BR286">
        <v>0</v>
      </c>
      <c r="BS286">
        <v>1</v>
      </c>
      <c r="BT286">
        <v>1</v>
      </c>
      <c r="BU286">
        <v>1</v>
      </c>
      <c r="BV286">
        <v>1</v>
      </c>
      <c r="BW286">
        <v>1</v>
      </c>
      <c r="BX286">
        <v>1</v>
      </c>
      <c r="BY286" t="s">
        <v>3</v>
      </c>
      <c r="BZ286">
        <v>70</v>
      </c>
      <c r="CA286">
        <v>10</v>
      </c>
      <c r="CE286">
        <v>0</v>
      </c>
      <c r="CF286">
        <v>0</v>
      </c>
      <c r="CG286">
        <v>0</v>
      </c>
      <c r="CM286">
        <v>0</v>
      </c>
      <c r="CN286" t="s">
        <v>3</v>
      </c>
      <c r="CO286">
        <v>0</v>
      </c>
      <c r="CP286">
        <f t="shared" si="244"/>
        <v>48916.67</v>
      </c>
      <c r="CQ286">
        <f t="shared" si="245"/>
        <v>48916.67</v>
      </c>
      <c r="CR286">
        <f t="shared" si="246"/>
        <v>0</v>
      </c>
      <c r="CS286">
        <f t="shared" si="247"/>
        <v>0</v>
      </c>
      <c r="CT286">
        <f t="shared" si="248"/>
        <v>0</v>
      </c>
      <c r="CU286">
        <f t="shared" si="249"/>
        <v>0</v>
      </c>
      <c r="CV286">
        <f t="shared" si="250"/>
        <v>0</v>
      </c>
      <c r="CW286">
        <f t="shared" si="251"/>
        <v>0</v>
      </c>
      <c r="CX286">
        <f t="shared" si="252"/>
        <v>0</v>
      </c>
      <c r="CY286">
        <f t="shared" si="253"/>
        <v>0</v>
      </c>
      <c r="CZ286">
        <f t="shared" si="254"/>
        <v>0</v>
      </c>
      <c r="DC286" t="s">
        <v>3</v>
      </c>
      <c r="DD286" t="s">
        <v>3</v>
      </c>
      <c r="DE286" t="s">
        <v>3</v>
      </c>
      <c r="DF286" t="s">
        <v>3</v>
      </c>
      <c r="DG286" t="s">
        <v>3</v>
      </c>
      <c r="DH286" t="s">
        <v>3</v>
      </c>
      <c r="DI286" t="s">
        <v>3</v>
      </c>
      <c r="DJ286" t="s">
        <v>3</v>
      </c>
      <c r="DK286" t="s">
        <v>3</v>
      </c>
      <c r="DL286" t="s">
        <v>3</v>
      </c>
      <c r="DM286" t="s">
        <v>3</v>
      </c>
      <c r="DN286">
        <v>0</v>
      </c>
      <c r="DO286">
        <v>0</v>
      </c>
      <c r="DP286">
        <v>1</v>
      </c>
      <c r="DQ286">
        <v>1</v>
      </c>
      <c r="DU286">
        <v>1010</v>
      </c>
      <c r="DV286" t="s">
        <v>106</v>
      </c>
      <c r="DW286" t="s">
        <v>106</v>
      </c>
      <c r="DX286">
        <v>1</v>
      </c>
      <c r="EE286">
        <v>52362078</v>
      </c>
      <c r="EF286">
        <v>1</v>
      </c>
      <c r="EG286" t="s">
        <v>22</v>
      </c>
      <c r="EH286">
        <v>0</v>
      </c>
      <c r="EI286" t="s">
        <v>3</v>
      </c>
      <c r="EJ286">
        <v>4</v>
      </c>
      <c r="EK286">
        <v>0</v>
      </c>
      <c r="EL286" t="s">
        <v>23</v>
      </c>
      <c r="EM286" t="s">
        <v>24</v>
      </c>
      <c r="EO286" t="s">
        <v>3</v>
      </c>
      <c r="EQ286">
        <v>0</v>
      </c>
      <c r="ER286">
        <v>48916.67</v>
      </c>
      <c r="ES286">
        <v>48916.67</v>
      </c>
      <c r="ET286">
        <v>0</v>
      </c>
      <c r="EU286">
        <v>0</v>
      </c>
      <c r="EV286">
        <v>0</v>
      </c>
      <c r="EW286">
        <v>0</v>
      </c>
      <c r="EX286">
        <v>0</v>
      </c>
      <c r="EZ286">
        <v>5</v>
      </c>
      <c r="FC286">
        <v>1</v>
      </c>
      <c r="FD286">
        <v>18</v>
      </c>
      <c r="FF286">
        <v>58700</v>
      </c>
      <c r="FQ286">
        <v>0</v>
      </c>
      <c r="FR286">
        <f t="shared" si="255"/>
        <v>0</v>
      </c>
      <c r="FS286">
        <v>0</v>
      </c>
      <c r="FX286">
        <v>70</v>
      </c>
      <c r="FY286">
        <v>10</v>
      </c>
      <c r="GA286" t="s">
        <v>207</v>
      </c>
      <c r="GD286">
        <v>0</v>
      </c>
      <c r="GF286">
        <v>-696338570</v>
      </c>
      <c r="GG286">
        <v>2</v>
      </c>
      <c r="GH286">
        <v>3</v>
      </c>
      <c r="GI286">
        <v>-2</v>
      </c>
      <c r="GJ286">
        <v>0</v>
      </c>
      <c r="GK286">
        <f>ROUND(R286*(R12)/100,2)</f>
        <v>0</v>
      </c>
      <c r="GL286">
        <f t="shared" si="256"/>
        <v>0</v>
      </c>
      <c r="GM286">
        <f t="shared" si="257"/>
        <v>48916.67</v>
      </c>
      <c r="GN286">
        <f t="shared" si="258"/>
        <v>0</v>
      </c>
      <c r="GO286">
        <f t="shared" si="259"/>
        <v>0</v>
      </c>
      <c r="GP286">
        <f t="shared" si="260"/>
        <v>48916.67</v>
      </c>
      <c r="GR286">
        <v>1</v>
      </c>
      <c r="GS286">
        <v>1</v>
      </c>
      <c r="GT286">
        <v>0</v>
      </c>
      <c r="GU286" t="s">
        <v>3</v>
      </c>
      <c r="GV286">
        <f t="shared" si="261"/>
        <v>0</v>
      </c>
      <c r="GW286">
        <v>1</v>
      </c>
      <c r="GX286">
        <f t="shared" si="262"/>
        <v>0</v>
      </c>
      <c r="HA286">
        <v>0</v>
      </c>
      <c r="HB286">
        <v>0</v>
      </c>
      <c r="HC286">
        <f t="shared" si="263"/>
        <v>0</v>
      </c>
      <c r="HE286" t="s">
        <v>108</v>
      </c>
      <c r="HF286" t="s">
        <v>108</v>
      </c>
      <c r="IK286">
        <v>0</v>
      </c>
    </row>
    <row r="287" spans="1:245" x14ac:dyDescent="0.2">
      <c r="A287">
        <v>18</v>
      </c>
      <c r="B287">
        <v>1</v>
      </c>
      <c r="C287">
        <v>317</v>
      </c>
      <c r="E287" t="s">
        <v>293</v>
      </c>
      <c r="F287" t="s">
        <v>104</v>
      </c>
      <c r="G287" t="s">
        <v>209</v>
      </c>
      <c r="H287" t="s">
        <v>106</v>
      </c>
      <c r="I287">
        <f>I277*J287</f>
        <v>1</v>
      </c>
      <c r="J287">
        <v>25</v>
      </c>
      <c r="O287">
        <f t="shared" si="224"/>
        <v>10833.33</v>
      </c>
      <c r="P287">
        <f t="shared" si="225"/>
        <v>10833.33</v>
      </c>
      <c r="Q287">
        <f t="shared" si="226"/>
        <v>0</v>
      </c>
      <c r="R287">
        <f t="shared" si="227"/>
        <v>0</v>
      </c>
      <c r="S287">
        <f t="shared" si="228"/>
        <v>0</v>
      </c>
      <c r="T287">
        <f t="shared" si="229"/>
        <v>0</v>
      </c>
      <c r="U287">
        <f t="shared" si="230"/>
        <v>0</v>
      </c>
      <c r="V287">
        <f t="shared" si="231"/>
        <v>0</v>
      </c>
      <c r="W287">
        <f t="shared" si="232"/>
        <v>0</v>
      </c>
      <c r="X287">
        <f t="shared" si="233"/>
        <v>0</v>
      </c>
      <c r="Y287">
        <f t="shared" si="234"/>
        <v>0</v>
      </c>
      <c r="AA287">
        <v>52430918</v>
      </c>
      <c r="AB287">
        <f t="shared" si="235"/>
        <v>10833.33</v>
      </c>
      <c r="AC287">
        <f t="shared" si="236"/>
        <v>10833.33</v>
      </c>
      <c r="AD287">
        <f t="shared" si="237"/>
        <v>0</v>
      </c>
      <c r="AE287">
        <f t="shared" si="238"/>
        <v>0</v>
      </c>
      <c r="AF287">
        <f t="shared" si="239"/>
        <v>0</v>
      </c>
      <c r="AG287">
        <f t="shared" si="240"/>
        <v>0</v>
      </c>
      <c r="AH287">
        <f t="shared" si="241"/>
        <v>0</v>
      </c>
      <c r="AI287">
        <f t="shared" si="242"/>
        <v>0</v>
      </c>
      <c r="AJ287">
        <f t="shared" si="243"/>
        <v>0</v>
      </c>
      <c r="AK287">
        <v>10833.33</v>
      </c>
      <c r="AL287">
        <v>10833.33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70</v>
      </c>
      <c r="AU287">
        <v>10</v>
      </c>
      <c r="AV287">
        <v>1</v>
      </c>
      <c r="AW287">
        <v>1</v>
      </c>
      <c r="AZ287">
        <v>1</v>
      </c>
      <c r="BA287">
        <v>1</v>
      </c>
      <c r="BB287">
        <v>1</v>
      </c>
      <c r="BC287">
        <v>1</v>
      </c>
      <c r="BD287" t="s">
        <v>3</v>
      </c>
      <c r="BE287" t="s">
        <v>3</v>
      </c>
      <c r="BF287" t="s">
        <v>3</v>
      </c>
      <c r="BG287" t="s">
        <v>3</v>
      </c>
      <c r="BH287">
        <v>3</v>
      </c>
      <c r="BI287">
        <v>4</v>
      </c>
      <c r="BJ287" t="s">
        <v>3</v>
      </c>
      <c r="BM287">
        <v>0</v>
      </c>
      <c r="BN287">
        <v>0</v>
      </c>
      <c r="BO287" t="s">
        <v>3</v>
      </c>
      <c r="BP287">
        <v>0</v>
      </c>
      <c r="BQ287">
        <v>1</v>
      </c>
      <c r="BR287">
        <v>0</v>
      </c>
      <c r="BS287">
        <v>1</v>
      </c>
      <c r="BT287">
        <v>1</v>
      </c>
      <c r="BU287">
        <v>1</v>
      </c>
      <c r="BV287">
        <v>1</v>
      </c>
      <c r="BW287">
        <v>1</v>
      </c>
      <c r="BX287">
        <v>1</v>
      </c>
      <c r="BY287" t="s">
        <v>3</v>
      </c>
      <c r="BZ287">
        <v>70</v>
      </c>
      <c r="CA287">
        <v>10</v>
      </c>
      <c r="CE287">
        <v>0</v>
      </c>
      <c r="CF287">
        <v>0</v>
      </c>
      <c r="CG287">
        <v>0</v>
      </c>
      <c r="CM287">
        <v>0</v>
      </c>
      <c r="CN287" t="s">
        <v>3</v>
      </c>
      <c r="CO287">
        <v>0</v>
      </c>
      <c r="CP287">
        <f t="shared" si="244"/>
        <v>10833.33</v>
      </c>
      <c r="CQ287">
        <f t="shared" si="245"/>
        <v>10833.33</v>
      </c>
      <c r="CR287">
        <f t="shared" si="246"/>
        <v>0</v>
      </c>
      <c r="CS287">
        <f t="shared" si="247"/>
        <v>0</v>
      </c>
      <c r="CT287">
        <f t="shared" si="248"/>
        <v>0</v>
      </c>
      <c r="CU287">
        <f t="shared" si="249"/>
        <v>0</v>
      </c>
      <c r="CV287">
        <f t="shared" si="250"/>
        <v>0</v>
      </c>
      <c r="CW287">
        <f t="shared" si="251"/>
        <v>0</v>
      </c>
      <c r="CX287">
        <f t="shared" si="252"/>
        <v>0</v>
      </c>
      <c r="CY287">
        <f t="shared" si="253"/>
        <v>0</v>
      </c>
      <c r="CZ287">
        <f t="shared" si="254"/>
        <v>0</v>
      </c>
      <c r="DC287" t="s">
        <v>3</v>
      </c>
      <c r="DD287" t="s">
        <v>3</v>
      </c>
      <c r="DE287" t="s">
        <v>3</v>
      </c>
      <c r="DF287" t="s">
        <v>3</v>
      </c>
      <c r="DG287" t="s">
        <v>3</v>
      </c>
      <c r="DH287" t="s">
        <v>3</v>
      </c>
      <c r="DI287" t="s">
        <v>3</v>
      </c>
      <c r="DJ287" t="s">
        <v>3</v>
      </c>
      <c r="DK287" t="s">
        <v>3</v>
      </c>
      <c r="DL287" t="s">
        <v>3</v>
      </c>
      <c r="DM287" t="s">
        <v>3</v>
      </c>
      <c r="DN287">
        <v>0</v>
      </c>
      <c r="DO287">
        <v>0</v>
      </c>
      <c r="DP287">
        <v>1</v>
      </c>
      <c r="DQ287">
        <v>1</v>
      </c>
      <c r="DU287">
        <v>1010</v>
      </c>
      <c r="DV287" t="s">
        <v>106</v>
      </c>
      <c r="DW287" t="s">
        <v>106</v>
      </c>
      <c r="DX287">
        <v>1</v>
      </c>
      <c r="EE287">
        <v>52362078</v>
      </c>
      <c r="EF287">
        <v>1</v>
      </c>
      <c r="EG287" t="s">
        <v>22</v>
      </c>
      <c r="EH287">
        <v>0</v>
      </c>
      <c r="EI287" t="s">
        <v>3</v>
      </c>
      <c r="EJ287">
        <v>4</v>
      </c>
      <c r="EK287">
        <v>0</v>
      </c>
      <c r="EL287" t="s">
        <v>23</v>
      </c>
      <c r="EM287" t="s">
        <v>24</v>
      </c>
      <c r="EO287" t="s">
        <v>3</v>
      </c>
      <c r="EQ287">
        <v>0</v>
      </c>
      <c r="ER287">
        <v>10833.33</v>
      </c>
      <c r="ES287">
        <v>10833.33</v>
      </c>
      <c r="ET287">
        <v>0</v>
      </c>
      <c r="EU287">
        <v>0</v>
      </c>
      <c r="EV287">
        <v>0</v>
      </c>
      <c r="EW287">
        <v>0</v>
      </c>
      <c r="EX287">
        <v>0</v>
      </c>
      <c r="EZ287">
        <v>5</v>
      </c>
      <c r="FC287">
        <v>1</v>
      </c>
      <c r="FD287">
        <v>18</v>
      </c>
      <c r="FF287">
        <v>13000</v>
      </c>
      <c r="FQ287">
        <v>0</v>
      </c>
      <c r="FR287">
        <f t="shared" si="255"/>
        <v>0</v>
      </c>
      <c r="FS287">
        <v>0</v>
      </c>
      <c r="FX287">
        <v>70</v>
      </c>
      <c r="FY287">
        <v>10</v>
      </c>
      <c r="GA287" t="s">
        <v>210</v>
      </c>
      <c r="GD287">
        <v>0</v>
      </c>
      <c r="GF287">
        <v>1617365214</v>
      </c>
      <c r="GG287">
        <v>2</v>
      </c>
      <c r="GH287">
        <v>3</v>
      </c>
      <c r="GI287">
        <v>-2</v>
      </c>
      <c r="GJ287">
        <v>0</v>
      </c>
      <c r="GK287">
        <f>ROUND(R287*(R12)/100,2)</f>
        <v>0</v>
      </c>
      <c r="GL287">
        <f t="shared" si="256"/>
        <v>0</v>
      </c>
      <c r="GM287">
        <f t="shared" si="257"/>
        <v>10833.33</v>
      </c>
      <c r="GN287">
        <f t="shared" si="258"/>
        <v>0</v>
      </c>
      <c r="GO287">
        <f t="shared" si="259"/>
        <v>0</v>
      </c>
      <c r="GP287">
        <f t="shared" si="260"/>
        <v>10833.33</v>
      </c>
      <c r="GR287">
        <v>1</v>
      </c>
      <c r="GS287">
        <v>1</v>
      </c>
      <c r="GT287">
        <v>0</v>
      </c>
      <c r="GU287" t="s">
        <v>3</v>
      </c>
      <c r="GV287">
        <f t="shared" si="261"/>
        <v>0</v>
      </c>
      <c r="GW287">
        <v>1</v>
      </c>
      <c r="GX287">
        <f t="shared" si="262"/>
        <v>0</v>
      </c>
      <c r="HA287">
        <v>0</v>
      </c>
      <c r="HB287">
        <v>0</v>
      </c>
      <c r="HC287">
        <f t="shared" si="263"/>
        <v>0</v>
      </c>
      <c r="HE287" t="s">
        <v>108</v>
      </c>
      <c r="HF287" t="s">
        <v>108</v>
      </c>
      <c r="IK287">
        <v>0</v>
      </c>
    </row>
    <row r="289" spans="1:206" x14ac:dyDescent="0.2">
      <c r="A289" s="2">
        <v>51</v>
      </c>
      <c r="B289" s="2">
        <f>B259</f>
        <v>1</v>
      </c>
      <c r="C289" s="2">
        <f>A259</f>
        <v>5</v>
      </c>
      <c r="D289" s="2">
        <f>ROW(A259)</f>
        <v>259</v>
      </c>
      <c r="E289" s="2"/>
      <c r="F289" s="2" t="str">
        <f>IF(F259&lt;&gt;"",F259,"")</f>
        <v>Новый подраздел</v>
      </c>
      <c r="G289" s="2" t="str">
        <f>IF(G259&lt;&gt;"",G259,"")</f>
        <v>Игровая площадка группы № 10</v>
      </c>
      <c r="H289" s="2">
        <v>0</v>
      </c>
      <c r="I289" s="2"/>
      <c r="J289" s="2"/>
      <c r="K289" s="2"/>
      <c r="L289" s="2"/>
      <c r="M289" s="2"/>
      <c r="N289" s="2"/>
      <c r="O289" s="2">
        <f t="shared" ref="O289:T289" si="264">ROUND(AB289,2)</f>
        <v>357878.83</v>
      </c>
      <c r="P289" s="2">
        <f t="shared" si="264"/>
        <v>316365.69</v>
      </c>
      <c r="Q289" s="2">
        <f t="shared" si="264"/>
        <v>11808.58</v>
      </c>
      <c r="R289" s="2">
        <f t="shared" si="264"/>
        <v>6085.07</v>
      </c>
      <c r="S289" s="2">
        <f t="shared" si="264"/>
        <v>29704.560000000001</v>
      </c>
      <c r="T289" s="2">
        <f t="shared" si="264"/>
        <v>0</v>
      </c>
      <c r="U289" s="2">
        <f>AH289</f>
        <v>135.038702</v>
      </c>
      <c r="V289" s="2">
        <f>AI289</f>
        <v>0</v>
      </c>
      <c r="W289" s="2">
        <f>ROUND(AJ289,2)</f>
        <v>0</v>
      </c>
      <c r="X289" s="2">
        <f>ROUND(AK289,2)</f>
        <v>20793.21</v>
      </c>
      <c r="Y289" s="2">
        <f>ROUND(AL289,2)</f>
        <v>2970.46</v>
      </c>
      <c r="Z289" s="2"/>
      <c r="AA289" s="2"/>
      <c r="AB289" s="2">
        <f>ROUND(SUMIF(AA263:AA287,"=52430918",O263:O287),2)</f>
        <v>357878.83</v>
      </c>
      <c r="AC289" s="2">
        <f>ROUND(SUMIF(AA263:AA287,"=52430918",P263:P287),2)</f>
        <v>316365.69</v>
      </c>
      <c r="AD289" s="2">
        <f>ROUND(SUMIF(AA263:AA287,"=52430918",Q263:Q287),2)</f>
        <v>11808.58</v>
      </c>
      <c r="AE289" s="2">
        <f>ROUND(SUMIF(AA263:AA287,"=52430918",R263:R287),2)</f>
        <v>6085.07</v>
      </c>
      <c r="AF289" s="2">
        <f>ROUND(SUMIF(AA263:AA287,"=52430918",S263:S287),2)</f>
        <v>29704.560000000001</v>
      </c>
      <c r="AG289" s="2">
        <f>ROUND(SUMIF(AA263:AA287,"=52430918",T263:T287),2)</f>
        <v>0</v>
      </c>
      <c r="AH289" s="2">
        <f>SUMIF(AA263:AA287,"=52430918",U263:U287)</f>
        <v>135.038702</v>
      </c>
      <c r="AI289" s="2">
        <f>SUMIF(AA263:AA287,"=52430918",V263:V287)</f>
        <v>0</v>
      </c>
      <c r="AJ289" s="2">
        <f>ROUND(SUMIF(AA263:AA287,"=52430918",W263:W287),2)</f>
        <v>0</v>
      </c>
      <c r="AK289" s="2">
        <f>ROUND(SUMIF(AA263:AA287,"=52430918",X263:X287),2)</f>
        <v>20793.21</v>
      </c>
      <c r="AL289" s="2">
        <f>ROUND(SUMIF(AA263:AA287,"=52430918",Y263:Y287),2)</f>
        <v>2970.46</v>
      </c>
      <c r="AM289" s="2"/>
      <c r="AN289" s="2"/>
      <c r="AO289" s="2">
        <f t="shared" ref="AO289:BD289" si="265">ROUND(BX289,2)</f>
        <v>0</v>
      </c>
      <c r="AP289" s="2">
        <f t="shared" si="265"/>
        <v>0</v>
      </c>
      <c r="AQ289" s="2">
        <f t="shared" si="265"/>
        <v>0</v>
      </c>
      <c r="AR289" s="2">
        <f t="shared" si="265"/>
        <v>388214.38</v>
      </c>
      <c r="AS289" s="2">
        <f t="shared" si="265"/>
        <v>0</v>
      </c>
      <c r="AT289" s="2">
        <f t="shared" si="265"/>
        <v>0</v>
      </c>
      <c r="AU289" s="2">
        <f t="shared" si="265"/>
        <v>388214.38</v>
      </c>
      <c r="AV289" s="2">
        <f t="shared" si="265"/>
        <v>316365.69</v>
      </c>
      <c r="AW289" s="2">
        <f t="shared" si="265"/>
        <v>316365.69</v>
      </c>
      <c r="AX289" s="2">
        <f t="shared" si="265"/>
        <v>0</v>
      </c>
      <c r="AY289" s="2">
        <f t="shared" si="265"/>
        <v>316365.69</v>
      </c>
      <c r="AZ289" s="2">
        <f t="shared" si="265"/>
        <v>0</v>
      </c>
      <c r="BA289" s="2">
        <f t="shared" si="265"/>
        <v>0</v>
      </c>
      <c r="BB289" s="2">
        <f t="shared" si="265"/>
        <v>0</v>
      </c>
      <c r="BC289" s="2">
        <f t="shared" si="265"/>
        <v>0</v>
      </c>
      <c r="BD289" s="2">
        <f t="shared" si="265"/>
        <v>0</v>
      </c>
      <c r="BE289" s="2"/>
      <c r="BF289" s="2"/>
      <c r="BG289" s="2"/>
      <c r="BH289" s="2"/>
      <c r="BI289" s="2"/>
      <c r="BJ289" s="2"/>
      <c r="BK289" s="2"/>
      <c r="BL289" s="2"/>
      <c r="BM289" s="2"/>
      <c r="BN289" s="2"/>
      <c r="BO289" s="2"/>
      <c r="BP289" s="2"/>
      <c r="BQ289" s="2"/>
      <c r="BR289" s="2"/>
      <c r="BS289" s="2"/>
      <c r="BT289" s="2"/>
      <c r="BU289" s="2"/>
      <c r="BV289" s="2"/>
      <c r="BW289" s="2"/>
      <c r="BX289" s="2">
        <f>ROUND(SUMIF(AA263:AA287,"=52430918",FQ263:FQ287),2)</f>
        <v>0</v>
      </c>
      <c r="BY289" s="2">
        <f>ROUND(SUMIF(AA263:AA287,"=52430918",FR263:FR287),2)</f>
        <v>0</v>
      </c>
      <c r="BZ289" s="2">
        <f>ROUND(SUMIF(AA263:AA287,"=52430918",GL263:GL287),2)</f>
        <v>0</v>
      </c>
      <c r="CA289" s="2">
        <f>ROUND(SUMIF(AA263:AA287,"=52430918",GM263:GM287),2)</f>
        <v>388214.38</v>
      </c>
      <c r="CB289" s="2">
        <f>ROUND(SUMIF(AA263:AA287,"=52430918",GN263:GN287),2)</f>
        <v>0</v>
      </c>
      <c r="CC289" s="2">
        <f>ROUND(SUMIF(AA263:AA287,"=52430918",GO263:GO287),2)</f>
        <v>0</v>
      </c>
      <c r="CD289" s="2">
        <f>ROUND(SUMIF(AA263:AA287,"=52430918",GP263:GP287),2)</f>
        <v>388214.38</v>
      </c>
      <c r="CE289" s="2">
        <f>AC289-BX289</f>
        <v>316365.69</v>
      </c>
      <c r="CF289" s="2">
        <f>AC289-BY289</f>
        <v>316365.69</v>
      </c>
      <c r="CG289" s="2">
        <f>BX289-BZ289</f>
        <v>0</v>
      </c>
      <c r="CH289" s="2">
        <f>AC289-BX289-BY289+BZ289</f>
        <v>316365.69</v>
      </c>
      <c r="CI289" s="2">
        <f>BY289-BZ289</f>
        <v>0</v>
      </c>
      <c r="CJ289" s="2">
        <f>ROUND(SUMIF(AA263:AA287,"=52430918",GX263:GX287),2)</f>
        <v>0</v>
      </c>
      <c r="CK289" s="2">
        <f>ROUND(SUMIF(AA263:AA287,"=52430918",GY263:GY287),2)</f>
        <v>0</v>
      </c>
      <c r="CL289" s="2">
        <f>ROUND(SUMIF(AA263:AA287,"=52430918",GZ263:GZ287),2)</f>
        <v>0</v>
      </c>
      <c r="CM289" s="2">
        <f>ROUND(SUMIF(AA263:AA287,"=52430918",HD263:HD287),2)</f>
        <v>0</v>
      </c>
      <c r="CN289" s="2"/>
      <c r="CO289" s="2"/>
      <c r="CP289" s="2"/>
      <c r="CQ289" s="2"/>
      <c r="CR289" s="2"/>
      <c r="CS289" s="2"/>
      <c r="CT289" s="2"/>
      <c r="CU289" s="2"/>
      <c r="CV289" s="2"/>
      <c r="CW289" s="2"/>
      <c r="CX289" s="2"/>
      <c r="CY289" s="2"/>
      <c r="CZ289" s="2"/>
      <c r="DA289" s="2"/>
      <c r="DB289" s="2"/>
      <c r="DC289" s="2"/>
      <c r="DD289" s="2"/>
      <c r="DE289" s="2"/>
      <c r="DF289" s="2"/>
      <c r="DG289" s="3"/>
      <c r="DH289" s="3"/>
      <c r="DI289" s="3"/>
      <c r="DJ289" s="3"/>
      <c r="DK289" s="3"/>
      <c r="DL289" s="3"/>
      <c r="DM289" s="3"/>
      <c r="DN289" s="3"/>
      <c r="DO289" s="3"/>
      <c r="DP289" s="3"/>
      <c r="DQ289" s="3"/>
      <c r="DR289" s="3"/>
      <c r="DS289" s="3"/>
      <c r="DT289" s="3"/>
      <c r="DU289" s="3"/>
      <c r="DV289" s="3"/>
      <c r="DW289" s="3"/>
      <c r="DX289" s="3"/>
      <c r="DY289" s="3"/>
      <c r="DZ289" s="3"/>
      <c r="EA289" s="3"/>
      <c r="EB289" s="3"/>
      <c r="EC289" s="3"/>
      <c r="ED289" s="3"/>
      <c r="EE289" s="3"/>
      <c r="EF289" s="3"/>
      <c r="EG289" s="3"/>
      <c r="EH289" s="3"/>
      <c r="EI289" s="3"/>
      <c r="EJ289" s="3"/>
      <c r="EK289" s="3"/>
      <c r="EL289" s="3"/>
      <c r="EM289" s="3"/>
      <c r="EN289" s="3"/>
      <c r="EO289" s="3"/>
      <c r="EP289" s="3"/>
      <c r="EQ289" s="3"/>
      <c r="ER289" s="3"/>
      <c r="ES289" s="3"/>
      <c r="ET289" s="3"/>
      <c r="EU289" s="3"/>
      <c r="EV289" s="3"/>
      <c r="EW289" s="3"/>
      <c r="EX289" s="3"/>
      <c r="EY289" s="3"/>
      <c r="EZ289" s="3"/>
      <c r="FA289" s="3"/>
      <c r="FB289" s="3"/>
      <c r="FC289" s="3"/>
      <c r="FD289" s="3"/>
      <c r="FE289" s="3"/>
      <c r="FF289" s="3"/>
      <c r="FG289" s="3"/>
      <c r="FH289" s="3"/>
      <c r="FI289" s="3"/>
      <c r="FJ289" s="3"/>
      <c r="FK289" s="3"/>
      <c r="FL289" s="3"/>
      <c r="FM289" s="3"/>
      <c r="FN289" s="3"/>
      <c r="FO289" s="3"/>
      <c r="FP289" s="3"/>
      <c r="FQ289" s="3"/>
      <c r="FR289" s="3"/>
      <c r="FS289" s="3"/>
      <c r="FT289" s="3"/>
      <c r="FU289" s="3"/>
      <c r="FV289" s="3"/>
      <c r="FW289" s="3"/>
      <c r="FX289" s="3"/>
      <c r="FY289" s="3"/>
      <c r="FZ289" s="3"/>
      <c r="GA289" s="3"/>
      <c r="GB289" s="3"/>
      <c r="GC289" s="3"/>
      <c r="GD289" s="3"/>
      <c r="GE289" s="3"/>
      <c r="GF289" s="3"/>
      <c r="GG289" s="3"/>
      <c r="GH289" s="3"/>
      <c r="GI289" s="3"/>
      <c r="GJ289" s="3"/>
      <c r="GK289" s="3"/>
      <c r="GL289" s="3"/>
      <c r="GM289" s="3"/>
      <c r="GN289" s="3"/>
      <c r="GO289" s="3"/>
      <c r="GP289" s="3"/>
      <c r="GQ289" s="3"/>
      <c r="GR289" s="3"/>
      <c r="GS289" s="3"/>
      <c r="GT289" s="3"/>
      <c r="GU289" s="3"/>
      <c r="GV289" s="3"/>
      <c r="GW289" s="3"/>
      <c r="GX289" s="3">
        <v>0</v>
      </c>
    </row>
    <row r="291" spans="1:206" x14ac:dyDescent="0.2">
      <c r="A291" s="4">
        <v>50</v>
      </c>
      <c r="B291" s="4">
        <v>0</v>
      </c>
      <c r="C291" s="4">
        <v>0</v>
      </c>
      <c r="D291" s="4">
        <v>1</v>
      </c>
      <c r="E291" s="4">
        <v>201</v>
      </c>
      <c r="F291" s="4">
        <f>ROUND(Source!O289,O291)</f>
        <v>357878.83</v>
      </c>
      <c r="G291" s="4" t="s">
        <v>118</v>
      </c>
      <c r="H291" s="4" t="s">
        <v>119</v>
      </c>
      <c r="I291" s="4"/>
      <c r="J291" s="4"/>
      <c r="K291" s="4">
        <v>201</v>
      </c>
      <c r="L291" s="4">
        <v>1</v>
      </c>
      <c r="M291" s="4">
        <v>3</v>
      </c>
      <c r="N291" s="4" t="s">
        <v>3</v>
      </c>
      <c r="O291" s="4">
        <v>2</v>
      </c>
      <c r="P291" s="4"/>
      <c r="Q291" s="4"/>
      <c r="R291" s="4"/>
      <c r="S291" s="4"/>
      <c r="T291" s="4"/>
      <c r="U291" s="4"/>
      <c r="V291" s="4"/>
      <c r="W291" s="4"/>
    </row>
    <row r="292" spans="1:206" x14ac:dyDescent="0.2">
      <c r="A292" s="4">
        <v>50</v>
      </c>
      <c r="B292" s="4">
        <v>0</v>
      </c>
      <c r="C292" s="4">
        <v>0</v>
      </c>
      <c r="D292" s="4">
        <v>1</v>
      </c>
      <c r="E292" s="4">
        <v>202</v>
      </c>
      <c r="F292" s="4">
        <f>ROUND(Source!P289,O292)</f>
        <v>316365.69</v>
      </c>
      <c r="G292" s="4" t="s">
        <v>120</v>
      </c>
      <c r="H292" s="4" t="s">
        <v>121</v>
      </c>
      <c r="I292" s="4"/>
      <c r="J292" s="4"/>
      <c r="K292" s="4">
        <v>202</v>
      </c>
      <c r="L292" s="4">
        <v>2</v>
      </c>
      <c r="M292" s="4">
        <v>3</v>
      </c>
      <c r="N292" s="4" t="s">
        <v>3</v>
      </c>
      <c r="O292" s="4">
        <v>2</v>
      </c>
      <c r="P292" s="4"/>
      <c r="Q292" s="4"/>
      <c r="R292" s="4"/>
      <c r="S292" s="4"/>
      <c r="T292" s="4"/>
      <c r="U292" s="4"/>
      <c r="V292" s="4"/>
      <c r="W292" s="4"/>
    </row>
    <row r="293" spans="1:206" x14ac:dyDescent="0.2">
      <c r="A293" s="4">
        <v>50</v>
      </c>
      <c r="B293" s="4">
        <v>0</v>
      </c>
      <c r="C293" s="4">
        <v>0</v>
      </c>
      <c r="D293" s="4">
        <v>1</v>
      </c>
      <c r="E293" s="4">
        <v>222</v>
      </c>
      <c r="F293" s="4">
        <f>ROUND(Source!AO289,O293)</f>
        <v>0</v>
      </c>
      <c r="G293" s="4" t="s">
        <v>122</v>
      </c>
      <c r="H293" s="4" t="s">
        <v>123</v>
      </c>
      <c r="I293" s="4"/>
      <c r="J293" s="4"/>
      <c r="K293" s="4">
        <v>222</v>
      </c>
      <c r="L293" s="4">
        <v>3</v>
      </c>
      <c r="M293" s="4">
        <v>3</v>
      </c>
      <c r="N293" s="4" t="s">
        <v>3</v>
      </c>
      <c r="O293" s="4">
        <v>2</v>
      </c>
      <c r="P293" s="4"/>
      <c r="Q293" s="4"/>
      <c r="R293" s="4"/>
      <c r="S293" s="4"/>
      <c r="T293" s="4"/>
      <c r="U293" s="4"/>
      <c r="V293" s="4"/>
      <c r="W293" s="4"/>
    </row>
    <row r="294" spans="1:206" x14ac:dyDescent="0.2">
      <c r="A294" s="4">
        <v>50</v>
      </c>
      <c r="B294" s="4">
        <v>0</v>
      </c>
      <c r="C294" s="4">
        <v>0</v>
      </c>
      <c r="D294" s="4">
        <v>1</v>
      </c>
      <c r="E294" s="4">
        <v>225</v>
      </c>
      <c r="F294" s="4">
        <f>ROUND(Source!AV289,O294)</f>
        <v>316365.69</v>
      </c>
      <c r="G294" s="4" t="s">
        <v>124</v>
      </c>
      <c r="H294" s="4" t="s">
        <v>125</v>
      </c>
      <c r="I294" s="4"/>
      <c r="J294" s="4"/>
      <c r="K294" s="4">
        <v>225</v>
      </c>
      <c r="L294" s="4">
        <v>4</v>
      </c>
      <c r="M294" s="4">
        <v>3</v>
      </c>
      <c r="N294" s="4" t="s">
        <v>3</v>
      </c>
      <c r="O294" s="4">
        <v>2</v>
      </c>
      <c r="P294" s="4"/>
      <c r="Q294" s="4"/>
      <c r="R294" s="4"/>
      <c r="S294" s="4"/>
      <c r="T294" s="4"/>
      <c r="U294" s="4"/>
      <c r="V294" s="4"/>
      <c r="W294" s="4"/>
    </row>
    <row r="295" spans="1:206" x14ac:dyDescent="0.2">
      <c r="A295" s="4">
        <v>50</v>
      </c>
      <c r="B295" s="4">
        <v>0</v>
      </c>
      <c r="C295" s="4">
        <v>0</v>
      </c>
      <c r="D295" s="4">
        <v>1</v>
      </c>
      <c r="E295" s="4">
        <v>226</v>
      </c>
      <c r="F295" s="4">
        <f>ROUND(Source!AW289,O295)</f>
        <v>316365.69</v>
      </c>
      <c r="G295" s="4" t="s">
        <v>126</v>
      </c>
      <c r="H295" s="4" t="s">
        <v>127</v>
      </c>
      <c r="I295" s="4"/>
      <c r="J295" s="4"/>
      <c r="K295" s="4">
        <v>226</v>
      </c>
      <c r="L295" s="4">
        <v>5</v>
      </c>
      <c r="M295" s="4">
        <v>3</v>
      </c>
      <c r="N295" s="4" t="s">
        <v>3</v>
      </c>
      <c r="O295" s="4">
        <v>2</v>
      </c>
      <c r="P295" s="4"/>
      <c r="Q295" s="4"/>
      <c r="R295" s="4"/>
      <c r="S295" s="4"/>
      <c r="T295" s="4"/>
      <c r="U295" s="4"/>
      <c r="V295" s="4"/>
      <c r="W295" s="4"/>
    </row>
    <row r="296" spans="1:206" x14ac:dyDescent="0.2">
      <c r="A296" s="4">
        <v>50</v>
      </c>
      <c r="B296" s="4">
        <v>0</v>
      </c>
      <c r="C296" s="4">
        <v>0</v>
      </c>
      <c r="D296" s="4">
        <v>1</v>
      </c>
      <c r="E296" s="4">
        <v>227</v>
      </c>
      <c r="F296" s="4">
        <f>ROUND(Source!AX289,O296)</f>
        <v>0</v>
      </c>
      <c r="G296" s="4" t="s">
        <v>128</v>
      </c>
      <c r="H296" s="4" t="s">
        <v>129</v>
      </c>
      <c r="I296" s="4"/>
      <c r="J296" s="4"/>
      <c r="K296" s="4">
        <v>227</v>
      </c>
      <c r="L296" s="4">
        <v>6</v>
      </c>
      <c r="M296" s="4">
        <v>3</v>
      </c>
      <c r="N296" s="4" t="s">
        <v>3</v>
      </c>
      <c r="O296" s="4">
        <v>2</v>
      </c>
      <c r="P296" s="4"/>
      <c r="Q296" s="4"/>
      <c r="R296" s="4"/>
      <c r="S296" s="4"/>
      <c r="T296" s="4"/>
      <c r="U296" s="4"/>
      <c r="V296" s="4"/>
      <c r="W296" s="4"/>
    </row>
    <row r="297" spans="1:206" x14ac:dyDescent="0.2">
      <c r="A297" s="4">
        <v>50</v>
      </c>
      <c r="B297" s="4">
        <v>0</v>
      </c>
      <c r="C297" s="4">
        <v>0</v>
      </c>
      <c r="D297" s="4">
        <v>1</v>
      </c>
      <c r="E297" s="4">
        <v>228</v>
      </c>
      <c r="F297" s="4">
        <f>ROUND(Source!AY289,O297)</f>
        <v>316365.69</v>
      </c>
      <c r="G297" s="4" t="s">
        <v>130</v>
      </c>
      <c r="H297" s="4" t="s">
        <v>131</v>
      </c>
      <c r="I297" s="4"/>
      <c r="J297" s="4"/>
      <c r="K297" s="4">
        <v>228</v>
      </c>
      <c r="L297" s="4">
        <v>7</v>
      </c>
      <c r="M297" s="4">
        <v>3</v>
      </c>
      <c r="N297" s="4" t="s">
        <v>3</v>
      </c>
      <c r="O297" s="4">
        <v>2</v>
      </c>
      <c r="P297" s="4"/>
      <c r="Q297" s="4"/>
      <c r="R297" s="4"/>
      <c r="S297" s="4"/>
      <c r="T297" s="4"/>
      <c r="U297" s="4"/>
      <c r="V297" s="4"/>
      <c r="W297" s="4"/>
    </row>
    <row r="298" spans="1:206" x14ac:dyDescent="0.2">
      <c r="A298" s="4">
        <v>50</v>
      </c>
      <c r="B298" s="4">
        <v>0</v>
      </c>
      <c r="C298" s="4">
        <v>0</v>
      </c>
      <c r="D298" s="4">
        <v>1</v>
      </c>
      <c r="E298" s="4">
        <v>216</v>
      </c>
      <c r="F298" s="4">
        <f>ROUND(Source!AP289,O298)</f>
        <v>0</v>
      </c>
      <c r="G298" s="4" t="s">
        <v>132</v>
      </c>
      <c r="H298" s="4" t="s">
        <v>133</v>
      </c>
      <c r="I298" s="4"/>
      <c r="J298" s="4"/>
      <c r="K298" s="4">
        <v>216</v>
      </c>
      <c r="L298" s="4">
        <v>8</v>
      </c>
      <c r="M298" s="4">
        <v>3</v>
      </c>
      <c r="N298" s="4" t="s">
        <v>3</v>
      </c>
      <c r="O298" s="4">
        <v>2</v>
      </c>
      <c r="P298" s="4"/>
      <c r="Q298" s="4"/>
      <c r="R298" s="4"/>
      <c r="S298" s="4"/>
      <c r="T298" s="4"/>
      <c r="U298" s="4"/>
      <c r="V298" s="4"/>
      <c r="W298" s="4"/>
    </row>
    <row r="299" spans="1:206" x14ac:dyDescent="0.2">
      <c r="A299" s="4">
        <v>50</v>
      </c>
      <c r="B299" s="4">
        <v>0</v>
      </c>
      <c r="C299" s="4">
        <v>0</v>
      </c>
      <c r="D299" s="4">
        <v>1</v>
      </c>
      <c r="E299" s="4">
        <v>223</v>
      </c>
      <c r="F299" s="4">
        <f>ROUND(Source!AQ289,O299)</f>
        <v>0</v>
      </c>
      <c r="G299" s="4" t="s">
        <v>134</v>
      </c>
      <c r="H299" s="4" t="s">
        <v>135</v>
      </c>
      <c r="I299" s="4"/>
      <c r="J299" s="4"/>
      <c r="K299" s="4">
        <v>223</v>
      </c>
      <c r="L299" s="4">
        <v>9</v>
      </c>
      <c r="M299" s="4">
        <v>3</v>
      </c>
      <c r="N299" s="4" t="s">
        <v>3</v>
      </c>
      <c r="O299" s="4">
        <v>2</v>
      </c>
      <c r="P299" s="4"/>
      <c r="Q299" s="4"/>
      <c r="R299" s="4"/>
      <c r="S299" s="4"/>
      <c r="T299" s="4"/>
      <c r="U299" s="4"/>
      <c r="V299" s="4"/>
      <c r="W299" s="4"/>
    </row>
    <row r="300" spans="1:206" x14ac:dyDescent="0.2">
      <c r="A300" s="4">
        <v>50</v>
      </c>
      <c r="B300" s="4">
        <v>0</v>
      </c>
      <c r="C300" s="4">
        <v>0</v>
      </c>
      <c r="D300" s="4">
        <v>1</v>
      </c>
      <c r="E300" s="4">
        <v>229</v>
      </c>
      <c r="F300" s="4">
        <f>ROUND(Source!AZ289,O300)</f>
        <v>0</v>
      </c>
      <c r="G300" s="4" t="s">
        <v>136</v>
      </c>
      <c r="H300" s="4" t="s">
        <v>137</v>
      </c>
      <c r="I300" s="4"/>
      <c r="J300" s="4"/>
      <c r="K300" s="4">
        <v>229</v>
      </c>
      <c r="L300" s="4">
        <v>10</v>
      </c>
      <c r="M300" s="4">
        <v>3</v>
      </c>
      <c r="N300" s="4" t="s">
        <v>3</v>
      </c>
      <c r="O300" s="4">
        <v>2</v>
      </c>
      <c r="P300" s="4"/>
      <c r="Q300" s="4"/>
      <c r="R300" s="4"/>
      <c r="S300" s="4"/>
      <c r="T300" s="4"/>
      <c r="U300" s="4"/>
      <c r="V300" s="4"/>
      <c r="W300" s="4"/>
    </row>
    <row r="301" spans="1:206" x14ac:dyDescent="0.2">
      <c r="A301" s="4">
        <v>50</v>
      </c>
      <c r="B301" s="4">
        <v>0</v>
      </c>
      <c r="C301" s="4">
        <v>0</v>
      </c>
      <c r="D301" s="4">
        <v>1</v>
      </c>
      <c r="E301" s="4">
        <v>203</v>
      </c>
      <c r="F301" s="4">
        <f>ROUND(Source!Q289,O301)</f>
        <v>11808.58</v>
      </c>
      <c r="G301" s="4" t="s">
        <v>138</v>
      </c>
      <c r="H301" s="4" t="s">
        <v>139</v>
      </c>
      <c r="I301" s="4"/>
      <c r="J301" s="4"/>
      <c r="K301" s="4">
        <v>203</v>
      </c>
      <c r="L301" s="4">
        <v>11</v>
      </c>
      <c r="M301" s="4">
        <v>3</v>
      </c>
      <c r="N301" s="4" t="s">
        <v>3</v>
      </c>
      <c r="O301" s="4">
        <v>2</v>
      </c>
      <c r="P301" s="4"/>
      <c r="Q301" s="4"/>
      <c r="R301" s="4"/>
      <c r="S301" s="4"/>
      <c r="T301" s="4"/>
      <c r="U301" s="4"/>
      <c r="V301" s="4"/>
      <c r="W301" s="4"/>
    </row>
    <row r="302" spans="1:206" x14ac:dyDescent="0.2">
      <c r="A302" s="4">
        <v>50</v>
      </c>
      <c r="B302" s="4">
        <v>0</v>
      </c>
      <c r="C302" s="4">
        <v>0</v>
      </c>
      <c r="D302" s="4">
        <v>1</v>
      </c>
      <c r="E302" s="4">
        <v>231</v>
      </c>
      <c r="F302" s="4">
        <f>ROUND(Source!BB289,O302)</f>
        <v>0</v>
      </c>
      <c r="G302" s="4" t="s">
        <v>140</v>
      </c>
      <c r="H302" s="4" t="s">
        <v>141</v>
      </c>
      <c r="I302" s="4"/>
      <c r="J302" s="4"/>
      <c r="K302" s="4">
        <v>231</v>
      </c>
      <c r="L302" s="4">
        <v>12</v>
      </c>
      <c r="M302" s="4">
        <v>3</v>
      </c>
      <c r="N302" s="4" t="s">
        <v>3</v>
      </c>
      <c r="O302" s="4">
        <v>2</v>
      </c>
      <c r="P302" s="4"/>
      <c r="Q302" s="4"/>
      <c r="R302" s="4"/>
      <c r="S302" s="4"/>
      <c r="T302" s="4"/>
      <c r="U302" s="4"/>
      <c r="V302" s="4"/>
      <c r="W302" s="4"/>
    </row>
    <row r="303" spans="1:206" x14ac:dyDescent="0.2">
      <c r="A303" s="4">
        <v>50</v>
      </c>
      <c r="B303" s="4">
        <v>0</v>
      </c>
      <c r="C303" s="4">
        <v>0</v>
      </c>
      <c r="D303" s="4">
        <v>1</v>
      </c>
      <c r="E303" s="4">
        <v>204</v>
      </c>
      <c r="F303" s="4">
        <f>ROUND(Source!R289,O303)</f>
        <v>6085.07</v>
      </c>
      <c r="G303" s="4" t="s">
        <v>142</v>
      </c>
      <c r="H303" s="4" t="s">
        <v>143</v>
      </c>
      <c r="I303" s="4"/>
      <c r="J303" s="4"/>
      <c r="K303" s="4">
        <v>204</v>
      </c>
      <c r="L303" s="4">
        <v>13</v>
      </c>
      <c r="M303" s="4">
        <v>3</v>
      </c>
      <c r="N303" s="4" t="s">
        <v>3</v>
      </c>
      <c r="O303" s="4">
        <v>2</v>
      </c>
      <c r="P303" s="4"/>
      <c r="Q303" s="4"/>
      <c r="R303" s="4"/>
      <c r="S303" s="4"/>
      <c r="T303" s="4"/>
      <c r="U303" s="4"/>
      <c r="V303" s="4"/>
      <c r="W303" s="4"/>
    </row>
    <row r="304" spans="1:206" x14ac:dyDescent="0.2">
      <c r="A304" s="4">
        <v>50</v>
      </c>
      <c r="B304" s="4">
        <v>0</v>
      </c>
      <c r="C304" s="4">
        <v>0</v>
      </c>
      <c r="D304" s="4">
        <v>1</v>
      </c>
      <c r="E304" s="4">
        <v>205</v>
      </c>
      <c r="F304" s="4">
        <f>ROUND(Source!S289,O304)</f>
        <v>29704.560000000001</v>
      </c>
      <c r="G304" s="4" t="s">
        <v>144</v>
      </c>
      <c r="H304" s="4" t="s">
        <v>145</v>
      </c>
      <c r="I304" s="4"/>
      <c r="J304" s="4"/>
      <c r="K304" s="4">
        <v>205</v>
      </c>
      <c r="L304" s="4">
        <v>14</v>
      </c>
      <c r="M304" s="4">
        <v>3</v>
      </c>
      <c r="N304" s="4" t="s">
        <v>3</v>
      </c>
      <c r="O304" s="4">
        <v>2</v>
      </c>
      <c r="P304" s="4"/>
      <c r="Q304" s="4"/>
      <c r="R304" s="4"/>
      <c r="S304" s="4"/>
      <c r="T304" s="4"/>
      <c r="U304" s="4"/>
      <c r="V304" s="4"/>
      <c r="W304" s="4"/>
    </row>
    <row r="305" spans="1:88" x14ac:dyDescent="0.2">
      <c r="A305" s="4">
        <v>50</v>
      </c>
      <c r="B305" s="4">
        <v>0</v>
      </c>
      <c r="C305" s="4">
        <v>0</v>
      </c>
      <c r="D305" s="4">
        <v>1</v>
      </c>
      <c r="E305" s="4">
        <v>232</v>
      </c>
      <c r="F305" s="4">
        <f>ROUND(Source!BC289,O305)</f>
        <v>0</v>
      </c>
      <c r="G305" s="4" t="s">
        <v>146</v>
      </c>
      <c r="H305" s="4" t="s">
        <v>147</v>
      </c>
      <c r="I305" s="4"/>
      <c r="J305" s="4"/>
      <c r="K305" s="4">
        <v>232</v>
      </c>
      <c r="L305" s="4">
        <v>15</v>
      </c>
      <c r="M305" s="4">
        <v>3</v>
      </c>
      <c r="N305" s="4" t="s">
        <v>3</v>
      </c>
      <c r="O305" s="4">
        <v>2</v>
      </c>
      <c r="P305" s="4"/>
      <c r="Q305" s="4"/>
      <c r="R305" s="4"/>
      <c r="S305" s="4"/>
      <c r="T305" s="4"/>
      <c r="U305" s="4"/>
      <c r="V305" s="4"/>
      <c r="W305" s="4"/>
    </row>
    <row r="306" spans="1:88" x14ac:dyDescent="0.2">
      <c r="A306" s="4">
        <v>50</v>
      </c>
      <c r="B306" s="4">
        <v>0</v>
      </c>
      <c r="C306" s="4">
        <v>0</v>
      </c>
      <c r="D306" s="4">
        <v>1</v>
      </c>
      <c r="E306" s="4">
        <v>214</v>
      </c>
      <c r="F306" s="4">
        <f>ROUND(Source!AS289,O306)</f>
        <v>0</v>
      </c>
      <c r="G306" s="4" t="s">
        <v>148</v>
      </c>
      <c r="H306" s="4" t="s">
        <v>149</v>
      </c>
      <c r="I306" s="4"/>
      <c r="J306" s="4"/>
      <c r="K306" s="4">
        <v>214</v>
      </c>
      <c r="L306" s="4">
        <v>16</v>
      </c>
      <c r="M306" s="4">
        <v>3</v>
      </c>
      <c r="N306" s="4" t="s">
        <v>3</v>
      </c>
      <c r="O306" s="4">
        <v>2</v>
      </c>
      <c r="P306" s="4"/>
      <c r="Q306" s="4"/>
      <c r="R306" s="4"/>
      <c r="S306" s="4"/>
      <c r="T306" s="4"/>
      <c r="U306" s="4"/>
      <c r="V306" s="4"/>
      <c r="W306" s="4"/>
    </row>
    <row r="307" spans="1:88" x14ac:dyDescent="0.2">
      <c r="A307" s="4">
        <v>50</v>
      </c>
      <c r="B307" s="4">
        <v>0</v>
      </c>
      <c r="C307" s="4">
        <v>0</v>
      </c>
      <c r="D307" s="4">
        <v>1</v>
      </c>
      <c r="E307" s="4">
        <v>215</v>
      </c>
      <c r="F307" s="4">
        <f>ROUND(Source!AT289,O307)</f>
        <v>0</v>
      </c>
      <c r="G307" s="4" t="s">
        <v>150</v>
      </c>
      <c r="H307" s="4" t="s">
        <v>151</v>
      </c>
      <c r="I307" s="4"/>
      <c r="J307" s="4"/>
      <c r="K307" s="4">
        <v>215</v>
      </c>
      <c r="L307" s="4">
        <v>17</v>
      </c>
      <c r="M307" s="4">
        <v>3</v>
      </c>
      <c r="N307" s="4" t="s">
        <v>3</v>
      </c>
      <c r="O307" s="4">
        <v>2</v>
      </c>
      <c r="P307" s="4"/>
      <c r="Q307" s="4"/>
      <c r="R307" s="4"/>
      <c r="S307" s="4"/>
      <c r="T307" s="4"/>
      <c r="U307" s="4"/>
      <c r="V307" s="4"/>
      <c r="W307" s="4"/>
    </row>
    <row r="308" spans="1:88" x14ac:dyDescent="0.2">
      <c r="A308" s="4">
        <v>50</v>
      </c>
      <c r="B308" s="4">
        <v>0</v>
      </c>
      <c r="C308" s="4">
        <v>0</v>
      </c>
      <c r="D308" s="4">
        <v>1</v>
      </c>
      <c r="E308" s="4">
        <v>217</v>
      </c>
      <c r="F308" s="4">
        <f>ROUND(Source!AU289,O308)</f>
        <v>388214.38</v>
      </c>
      <c r="G308" s="4" t="s">
        <v>152</v>
      </c>
      <c r="H308" s="4" t="s">
        <v>153</v>
      </c>
      <c r="I308" s="4"/>
      <c r="J308" s="4"/>
      <c r="K308" s="4">
        <v>217</v>
      </c>
      <c r="L308" s="4">
        <v>18</v>
      </c>
      <c r="M308" s="4">
        <v>3</v>
      </c>
      <c r="N308" s="4" t="s">
        <v>3</v>
      </c>
      <c r="O308" s="4">
        <v>2</v>
      </c>
      <c r="P308" s="4"/>
      <c r="Q308" s="4"/>
      <c r="R308" s="4"/>
      <c r="S308" s="4"/>
      <c r="T308" s="4"/>
      <c r="U308" s="4"/>
      <c r="V308" s="4"/>
      <c r="W308" s="4"/>
    </row>
    <row r="309" spans="1:88" x14ac:dyDescent="0.2">
      <c r="A309" s="4">
        <v>50</v>
      </c>
      <c r="B309" s="4">
        <v>0</v>
      </c>
      <c r="C309" s="4">
        <v>0</v>
      </c>
      <c r="D309" s="4">
        <v>1</v>
      </c>
      <c r="E309" s="4">
        <v>230</v>
      </c>
      <c r="F309" s="4">
        <f>ROUND(Source!BA289,O309)</f>
        <v>0</v>
      </c>
      <c r="G309" s="4" t="s">
        <v>154</v>
      </c>
      <c r="H309" s="4" t="s">
        <v>155</v>
      </c>
      <c r="I309" s="4"/>
      <c r="J309" s="4"/>
      <c r="K309" s="4">
        <v>230</v>
      </c>
      <c r="L309" s="4">
        <v>19</v>
      </c>
      <c r="M309" s="4">
        <v>3</v>
      </c>
      <c r="N309" s="4" t="s">
        <v>3</v>
      </c>
      <c r="O309" s="4">
        <v>2</v>
      </c>
      <c r="P309" s="4"/>
      <c r="Q309" s="4"/>
      <c r="R309" s="4"/>
      <c r="S309" s="4"/>
      <c r="T309" s="4"/>
      <c r="U309" s="4"/>
      <c r="V309" s="4"/>
      <c r="W309" s="4"/>
    </row>
    <row r="310" spans="1:88" x14ac:dyDescent="0.2">
      <c r="A310" s="4">
        <v>50</v>
      </c>
      <c r="B310" s="4">
        <v>0</v>
      </c>
      <c r="C310" s="4">
        <v>0</v>
      </c>
      <c r="D310" s="4">
        <v>1</v>
      </c>
      <c r="E310" s="4">
        <v>206</v>
      </c>
      <c r="F310" s="4">
        <f>ROUND(Source!T289,O310)</f>
        <v>0</v>
      </c>
      <c r="G310" s="4" t="s">
        <v>156</v>
      </c>
      <c r="H310" s="4" t="s">
        <v>157</v>
      </c>
      <c r="I310" s="4"/>
      <c r="J310" s="4"/>
      <c r="K310" s="4">
        <v>206</v>
      </c>
      <c r="L310" s="4">
        <v>20</v>
      </c>
      <c r="M310" s="4">
        <v>3</v>
      </c>
      <c r="N310" s="4" t="s">
        <v>3</v>
      </c>
      <c r="O310" s="4">
        <v>2</v>
      </c>
      <c r="P310" s="4"/>
      <c r="Q310" s="4"/>
      <c r="R310" s="4"/>
      <c r="S310" s="4"/>
      <c r="T310" s="4"/>
      <c r="U310" s="4"/>
      <c r="V310" s="4"/>
      <c r="W310" s="4"/>
    </row>
    <row r="311" spans="1:88" x14ac:dyDescent="0.2">
      <c r="A311" s="4">
        <v>50</v>
      </c>
      <c r="B311" s="4">
        <v>0</v>
      </c>
      <c r="C311" s="4">
        <v>0</v>
      </c>
      <c r="D311" s="4">
        <v>1</v>
      </c>
      <c r="E311" s="4">
        <v>207</v>
      </c>
      <c r="F311" s="4">
        <f>Source!U289</f>
        <v>135.038702</v>
      </c>
      <c r="G311" s="4" t="s">
        <v>158</v>
      </c>
      <c r="H311" s="4" t="s">
        <v>159</v>
      </c>
      <c r="I311" s="4"/>
      <c r="J311" s="4"/>
      <c r="K311" s="4">
        <v>207</v>
      </c>
      <c r="L311" s="4">
        <v>21</v>
      </c>
      <c r="M311" s="4">
        <v>3</v>
      </c>
      <c r="N311" s="4" t="s">
        <v>3</v>
      </c>
      <c r="O311" s="4">
        <v>-1</v>
      </c>
      <c r="P311" s="4"/>
      <c r="Q311" s="4"/>
      <c r="R311" s="4"/>
      <c r="S311" s="4"/>
      <c r="T311" s="4"/>
      <c r="U311" s="4"/>
      <c r="V311" s="4"/>
      <c r="W311" s="4"/>
    </row>
    <row r="312" spans="1:88" x14ac:dyDescent="0.2">
      <c r="A312" s="4">
        <v>50</v>
      </c>
      <c r="B312" s="4">
        <v>0</v>
      </c>
      <c r="C312" s="4">
        <v>0</v>
      </c>
      <c r="D312" s="4">
        <v>1</v>
      </c>
      <c r="E312" s="4">
        <v>208</v>
      </c>
      <c r="F312" s="4">
        <f>Source!V289</f>
        <v>0</v>
      </c>
      <c r="G312" s="4" t="s">
        <v>160</v>
      </c>
      <c r="H312" s="4" t="s">
        <v>161</v>
      </c>
      <c r="I312" s="4"/>
      <c r="J312" s="4"/>
      <c r="K312" s="4">
        <v>208</v>
      </c>
      <c r="L312" s="4">
        <v>22</v>
      </c>
      <c r="M312" s="4">
        <v>3</v>
      </c>
      <c r="N312" s="4" t="s">
        <v>3</v>
      </c>
      <c r="O312" s="4">
        <v>-1</v>
      </c>
      <c r="P312" s="4"/>
      <c r="Q312" s="4"/>
      <c r="R312" s="4"/>
      <c r="S312" s="4"/>
      <c r="T312" s="4"/>
      <c r="U312" s="4"/>
      <c r="V312" s="4"/>
      <c r="W312" s="4"/>
    </row>
    <row r="313" spans="1:88" x14ac:dyDescent="0.2">
      <c r="A313" s="4">
        <v>50</v>
      </c>
      <c r="B313" s="4">
        <v>0</v>
      </c>
      <c r="C313" s="4">
        <v>0</v>
      </c>
      <c r="D313" s="4">
        <v>1</v>
      </c>
      <c r="E313" s="4">
        <v>209</v>
      </c>
      <c r="F313" s="4">
        <f>ROUND(Source!W289,O313)</f>
        <v>0</v>
      </c>
      <c r="G313" s="4" t="s">
        <v>162</v>
      </c>
      <c r="H313" s="4" t="s">
        <v>163</v>
      </c>
      <c r="I313" s="4"/>
      <c r="J313" s="4"/>
      <c r="K313" s="4">
        <v>209</v>
      </c>
      <c r="L313" s="4">
        <v>23</v>
      </c>
      <c r="M313" s="4">
        <v>3</v>
      </c>
      <c r="N313" s="4" t="s">
        <v>3</v>
      </c>
      <c r="O313" s="4">
        <v>2</v>
      </c>
      <c r="P313" s="4"/>
      <c r="Q313" s="4"/>
      <c r="R313" s="4"/>
      <c r="S313" s="4"/>
      <c r="T313" s="4"/>
      <c r="U313" s="4"/>
      <c r="V313" s="4"/>
      <c r="W313" s="4"/>
    </row>
    <row r="314" spans="1:88" x14ac:dyDescent="0.2">
      <c r="A314" s="4">
        <v>50</v>
      </c>
      <c r="B314" s="4">
        <v>0</v>
      </c>
      <c r="C314" s="4">
        <v>0</v>
      </c>
      <c r="D314" s="4">
        <v>1</v>
      </c>
      <c r="E314" s="4">
        <v>233</v>
      </c>
      <c r="F314" s="4">
        <f>ROUND(Source!BD289,O314)</f>
        <v>0</v>
      </c>
      <c r="G314" s="4" t="s">
        <v>164</v>
      </c>
      <c r="H314" s="4" t="s">
        <v>165</v>
      </c>
      <c r="I314" s="4"/>
      <c r="J314" s="4"/>
      <c r="K314" s="4">
        <v>233</v>
      </c>
      <c r="L314" s="4">
        <v>24</v>
      </c>
      <c r="M314" s="4">
        <v>3</v>
      </c>
      <c r="N314" s="4" t="s">
        <v>3</v>
      </c>
      <c r="O314" s="4">
        <v>2</v>
      </c>
      <c r="P314" s="4"/>
      <c r="Q314" s="4"/>
      <c r="R314" s="4"/>
      <c r="S314" s="4"/>
      <c r="T314" s="4"/>
      <c r="U314" s="4"/>
      <c r="V314" s="4"/>
      <c r="W314" s="4"/>
    </row>
    <row r="315" spans="1:88" x14ac:dyDescent="0.2">
      <c r="A315" s="4">
        <v>50</v>
      </c>
      <c r="B315" s="4">
        <v>0</v>
      </c>
      <c r="C315" s="4">
        <v>0</v>
      </c>
      <c r="D315" s="4">
        <v>1</v>
      </c>
      <c r="E315" s="4">
        <v>210</v>
      </c>
      <c r="F315" s="4">
        <f>ROUND(Source!X289,O315)</f>
        <v>20793.21</v>
      </c>
      <c r="G315" s="4" t="s">
        <v>166</v>
      </c>
      <c r="H315" s="4" t="s">
        <v>167</v>
      </c>
      <c r="I315" s="4"/>
      <c r="J315" s="4"/>
      <c r="K315" s="4">
        <v>210</v>
      </c>
      <c r="L315" s="4">
        <v>25</v>
      </c>
      <c r="M315" s="4">
        <v>3</v>
      </c>
      <c r="N315" s="4" t="s">
        <v>3</v>
      </c>
      <c r="O315" s="4">
        <v>2</v>
      </c>
      <c r="P315" s="4"/>
      <c r="Q315" s="4"/>
      <c r="R315" s="4"/>
      <c r="S315" s="4"/>
      <c r="T315" s="4"/>
      <c r="U315" s="4"/>
      <c r="V315" s="4"/>
      <c r="W315" s="4"/>
    </row>
    <row r="316" spans="1:88" x14ac:dyDescent="0.2">
      <c r="A316" s="4">
        <v>50</v>
      </c>
      <c r="B316" s="4">
        <v>0</v>
      </c>
      <c r="C316" s="4">
        <v>0</v>
      </c>
      <c r="D316" s="4">
        <v>1</v>
      </c>
      <c r="E316" s="4">
        <v>211</v>
      </c>
      <c r="F316" s="4">
        <f>ROUND(Source!Y289,O316)</f>
        <v>2970.46</v>
      </c>
      <c r="G316" s="4" t="s">
        <v>168</v>
      </c>
      <c r="H316" s="4" t="s">
        <v>169</v>
      </c>
      <c r="I316" s="4"/>
      <c r="J316" s="4"/>
      <c r="K316" s="4">
        <v>211</v>
      </c>
      <c r="L316" s="4">
        <v>26</v>
      </c>
      <c r="M316" s="4">
        <v>3</v>
      </c>
      <c r="N316" s="4" t="s">
        <v>3</v>
      </c>
      <c r="O316" s="4">
        <v>2</v>
      </c>
      <c r="P316" s="4"/>
      <c r="Q316" s="4"/>
      <c r="R316" s="4"/>
      <c r="S316" s="4"/>
      <c r="T316" s="4"/>
      <c r="U316" s="4"/>
      <c r="V316" s="4"/>
      <c r="W316" s="4"/>
    </row>
    <row r="317" spans="1:88" x14ac:dyDescent="0.2">
      <c r="A317" s="4">
        <v>50</v>
      </c>
      <c r="B317" s="4">
        <v>0</v>
      </c>
      <c r="C317" s="4">
        <v>0</v>
      </c>
      <c r="D317" s="4">
        <v>1</v>
      </c>
      <c r="E317" s="4">
        <v>224</v>
      </c>
      <c r="F317" s="4">
        <f>ROUND(Source!AR289,O317)</f>
        <v>388214.38</v>
      </c>
      <c r="G317" s="4" t="s">
        <v>170</v>
      </c>
      <c r="H317" s="4" t="s">
        <v>171</v>
      </c>
      <c r="I317" s="4"/>
      <c r="J317" s="4"/>
      <c r="K317" s="4">
        <v>224</v>
      </c>
      <c r="L317" s="4">
        <v>27</v>
      </c>
      <c r="M317" s="4">
        <v>3</v>
      </c>
      <c r="N317" s="4" t="s">
        <v>3</v>
      </c>
      <c r="O317" s="4">
        <v>2</v>
      </c>
      <c r="P317" s="4"/>
      <c r="Q317" s="4"/>
      <c r="R317" s="4"/>
      <c r="S317" s="4"/>
      <c r="T317" s="4"/>
      <c r="U317" s="4"/>
      <c r="V317" s="4"/>
      <c r="W317" s="4"/>
    </row>
    <row r="319" spans="1:88" x14ac:dyDescent="0.2">
      <c r="A319" s="1">
        <v>5</v>
      </c>
      <c r="B319" s="1">
        <v>1</v>
      </c>
      <c r="C319" s="1"/>
      <c r="D319" s="1">
        <f>ROW(A327)</f>
        <v>327</v>
      </c>
      <c r="E319" s="1"/>
      <c r="F319" s="1" t="s">
        <v>15</v>
      </c>
      <c r="G319" s="1" t="s">
        <v>294</v>
      </c>
      <c r="H319" s="1" t="s">
        <v>3</v>
      </c>
      <c r="I319" s="1">
        <v>0</v>
      </c>
      <c r="J319" s="1"/>
      <c r="K319" s="1">
        <v>0</v>
      </c>
      <c r="L319" s="1"/>
      <c r="M319" s="1"/>
      <c r="N319" s="1"/>
      <c r="O319" s="1"/>
      <c r="P319" s="1"/>
      <c r="Q319" s="1"/>
      <c r="R319" s="1"/>
      <c r="S319" s="1"/>
      <c r="T319" s="1"/>
      <c r="U319" s="1" t="s">
        <v>3</v>
      </c>
      <c r="V319" s="1">
        <v>0</v>
      </c>
      <c r="W319" s="1"/>
      <c r="X319" s="1"/>
      <c r="Y319" s="1"/>
      <c r="Z319" s="1"/>
      <c r="AA319" s="1"/>
      <c r="AB319" s="1" t="s">
        <v>3</v>
      </c>
      <c r="AC319" s="1" t="s">
        <v>3</v>
      </c>
      <c r="AD319" s="1" t="s">
        <v>3</v>
      </c>
      <c r="AE319" s="1" t="s">
        <v>3</v>
      </c>
      <c r="AF319" s="1" t="s">
        <v>3</v>
      </c>
      <c r="AG319" s="1" t="s">
        <v>3</v>
      </c>
      <c r="AH319" s="1"/>
      <c r="AI319" s="1"/>
      <c r="AJ319" s="1"/>
      <c r="AK319" s="1"/>
      <c r="AL319" s="1"/>
      <c r="AM319" s="1"/>
      <c r="AN319" s="1"/>
      <c r="AO319" s="1"/>
      <c r="AP319" s="1" t="s">
        <v>3</v>
      </c>
      <c r="AQ319" s="1" t="s">
        <v>3</v>
      </c>
      <c r="AR319" s="1" t="s">
        <v>3</v>
      </c>
      <c r="AS319" s="1"/>
      <c r="AT319" s="1"/>
      <c r="AU319" s="1"/>
      <c r="AV319" s="1"/>
      <c r="AW319" s="1"/>
      <c r="AX319" s="1"/>
      <c r="AY319" s="1"/>
      <c r="AZ319" s="1" t="s">
        <v>3</v>
      </c>
      <c r="BA319" s="1"/>
      <c r="BB319" s="1" t="s">
        <v>3</v>
      </c>
      <c r="BC319" s="1" t="s">
        <v>3</v>
      </c>
      <c r="BD319" s="1" t="s">
        <v>3</v>
      </c>
      <c r="BE319" s="1" t="s">
        <v>3</v>
      </c>
      <c r="BF319" s="1" t="s">
        <v>3</v>
      </c>
      <c r="BG319" s="1" t="s">
        <v>3</v>
      </c>
      <c r="BH319" s="1" t="s">
        <v>3</v>
      </c>
      <c r="BI319" s="1" t="s">
        <v>3</v>
      </c>
      <c r="BJ319" s="1" t="s">
        <v>3</v>
      </c>
      <c r="BK319" s="1" t="s">
        <v>3</v>
      </c>
      <c r="BL319" s="1" t="s">
        <v>3</v>
      </c>
      <c r="BM319" s="1" t="s">
        <v>3</v>
      </c>
      <c r="BN319" s="1" t="s">
        <v>3</v>
      </c>
      <c r="BO319" s="1" t="s">
        <v>3</v>
      </c>
      <c r="BP319" s="1" t="s">
        <v>3</v>
      </c>
      <c r="BQ319" s="1"/>
      <c r="BR319" s="1"/>
      <c r="BS319" s="1"/>
      <c r="BT319" s="1"/>
      <c r="BU319" s="1"/>
      <c r="BV319" s="1"/>
      <c r="BW319" s="1"/>
      <c r="BX319" s="1">
        <v>0</v>
      </c>
      <c r="BY319" s="1"/>
      <c r="BZ319" s="1"/>
      <c r="CA319" s="1"/>
      <c r="CB319" s="1"/>
      <c r="CC319" s="1"/>
      <c r="CD319" s="1"/>
      <c r="CE319" s="1"/>
      <c r="CF319" s="1"/>
      <c r="CG319" s="1"/>
      <c r="CH319" s="1"/>
      <c r="CI319" s="1"/>
      <c r="CJ319" s="1">
        <v>0</v>
      </c>
    </row>
    <row r="321" spans="1:245" x14ac:dyDescent="0.2">
      <c r="A321" s="2">
        <v>52</v>
      </c>
      <c r="B321" s="2">
        <f t="shared" ref="B321:G321" si="266">B327</f>
        <v>1</v>
      </c>
      <c r="C321" s="2">
        <f t="shared" si="266"/>
        <v>5</v>
      </c>
      <c r="D321" s="2">
        <f t="shared" si="266"/>
        <v>319</v>
      </c>
      <c r="E321" s="2">
        <f t="shared" si="266"/>
        <v>0</v>
      </c>
      <c r="F321" s="2" t="str">
        <f t="shared" si="266"/>
        <v>Новый подраздел</v>
      </c>
      <c r="G321" s="2" t="str">
        <f t="shared" si="266"/>
        <v>Ремонт асфальта</v>
      </c>
      <c r="H321" s="2"/>
      <c r="I321" s="2"/>
      <c r="J321" s="2"/>
      <c r="K321" s="2"/>
      <c r="L321" s="2"/>
      <c r="M321" s="2"/>
      <c r="N321" s="2"/>
      <c r="O321" s="2">
        <f t="shared" ref="O321:AT321" si="267">O327</f>
        <v>54958.12</v>
      </c>
      <c r="P321" s="2">
        <f t="shared" si="267"/>
        <v>21269.97</v>
      </c>
      <c r="Q321" s="2">
        <f t="shared" si="267"/>
        <v>22339.119999999999</v>
      </c>
      <c r="R321" s="2">
        <f t="shared" si="267"/>
        <v>12002.86</v>
      </c>
      <c r="S321" s="2">
        <f t="shared" si="267"/>
        <v>11349.03</v>
      </c>
      <c r="T321" s="2">
        <f t="shared" si="267"/>
        <v>0</v>
      </c>
      <c r="U321" s="2">
        <f t="shared" si="267"/>
        <v>45.602400000000003</v>
      </c>
      <c r="V321" s="2">
        <f t="shared" si="267"/>
        <v>0</v>
      </c>
      <c r="W321" s="2">
        <f t="shared" si="267"/>
        <v>0</v>
      </c>
      <c r="X321" s="2">
        <f t="shared" si="267"/>
        <v>7944.33</v>
      </c>
      <c r="Y321" s="2">
        <f t="shared" si="267"/>
        <v>1134.9100000000001</v>
      </c>
      <c r="Z321" s="2">
        <f t="shared" si="267"/>
        <v>0</v>
      </c>
      <c r="AA321" s="2">
        <f t="shared" si="267"/>
        <v>0</v>
      </c>
      <c r="AB321" s="2">
        <f t="shared" si="267"/>
        <v>54958.12</v>
      </c>
      <c r="AC321" s="2">
        <f t="shared" si="267"/>
        <v>21269.97</v>
      </c>
      <c r="AD321" s="2">
        <f t="shared" si="267"/>
        <v>22339.119999999999</v>
      </c>
      <c r="AE321" s="2">
        <f t="shared" si="267"/>
        <v>12002.86</v>
      </c>
      <c r="AF321" s="2">
        <f t="shared" si="267"/>
        <v>11349.03</v>
      </c>
      <c r="AG321" s="2">
        <f t="shared" si="267"/>
        <v>0</v>
      </c>
      <c r="AH321" s="2">
        <f t="shared" si="267"/>
        <v>45.602400000000003</v>
      </c>
      <c r="AI321" s="2">
        <f t="shared" si="267"/>
        <v>0</v>
      </c>
      <c r="AJ321" s="2">
        <f t="shared" si="267"/>
        <v>0</v>
      </c>
      <c r="AK321" s="2">
        <f t="shared" si="267"/>
        <v>7944.33</v>
      </c>
      <c r="AL321" s="2">
        <f t="shared" si="267"/>
        <v>1134.9100000000001</v>
      </c>
      <c r="AM321" s="2">
        <f t="shared" si="267"/>
        <v>0</v>
      </c>
      <c r="AN321" s="2">
        <f t="shared" si="267"/>
        <v>0</v>
      </c>
      <c r="AO321" s="2">
        <f t="shared" si="267"/>
        <v>0</v>
      </c>
      <c r="AP321" s="2">
        <f t="shared" si="267"/>
        <v>0</v>
      </c>
      <c r="AQ321" s="2">
        <f t="shared" si="267"/>
        <v>0</v>
      </c>
      <c r="AR321" s="2">
        <f t="shared" si="267"/>
        <v>77000.44</v>
      </c>
      <c r="AS321" s="2">
        <f t="shared" si="267"/>
        <v>0</v>
      </c>
      <c r="AT321" s="2">
        <f t="shared" si="267"/>
        <v>0</v>
      </c>
      <c r="AU321" s="2">
        <f t="shared" ref="AU321:BZ321" si="268">AU327</f>
        <v>77000.44</v>
      </c>
      <c r="AV321" s="2">
        <f t="shared" si="268"/>
        <v>21269.97</v>
      </c>
      <c r="AW321" s="2">
        <f t="shared" si="268"/>
        <v>21269.97</v>
      </c>
      <c r="AX321" s="2">
        <f t="shared" si="268"/>
        <v>0</v>
      </c>
      <c r="AY321" s="2">
        <f t="shared" si="268"/>
        <v>21269.97</v>
      </c>
      <c r="AZ321" s="2">
        <f t="shared" si="268"/>
        <v>0</v>
      </c>
      <c r="BA321" s="2">
        <f t="shared" si="268"/>
        <v>0</v>
      </c>
      <c r="BB321" s="2">
        <f t="shared" si="268"/>
        <v>0</v>
      </c>
      <c r="BC321" s="2">
        <f t="shared" si="268"/>
        <v>0</v>
      </c>
      <c r="BD321" s="2">
        <f t="shared" si="268"/>
        <v>0</v>
      </c>
      <c r="BE321" s="2">
        <f t="shared" si="268"/>
        <v>0</v>
      </c>
      <c r="BF321" s="2">
        <f t="shared" si="268"/>
        <v>0</v>
      </c>
      <c r="BG321" s="2">
        <f t="shared" si="268"/>
        <v>0</v>
      </c>
      <c r="BH321" s="2">
        <f t="shared" si="268"/>
        <v>0</v>
      </c>
      <c r="BI321" s="2">
        <f t="shared" si="268"/>
        <v>0</v>
      </c>
      <c r="BJ321" s="2">
        <f t="shared" si="268"/>
        <v>0</v>
      </c>
      <c r="BK321" s="2">
        <f t="shared" si="268"/>
        <v>0</v>
      </c>
      <c r="BL321" s="2">
        <f t="shared" si="268"/>
        <v>0</v>
      </c>
      <c r="BM321" s="2">
        <f t="shared" si="268"/>
        <v>0</v>
      </c>
      <c r="BN321" s="2">
        <f t="shared" si="268"/>
        <v>0</v>
      </c>
      <c r="BO321" s="2">
        <f t="shared" si="268"/>
        <v>0</v>
      </c>
      <c r="BP321" s="2">
        <f t="shared" si="268"/>
        <v>0</v>
      </c>
      <c r="BQ321" s="2">
        <f t="shared" si="268"/>
        <v>0</v>
      </c>
      <c r="BR321" s="2">
        <f t="shared" si="268"/>
        <v>0</v>
      </c>
      <c r="BS321" s="2">
        <f t="shared" si="268"/>
        <v>0</v>
      </c>
      <c r="BT321" s="2">
        <f t="shared" si="268"/>
        <v>0</v>
      </c>
      <c r="BU321" s="2">
        <f t="shared" si="268"/>
        <v>0</v>
      </c>
      <c r="BV321" s="2">
        <f t="shared" si="268"/>
        <v>0</v>
      </c>
      <c r="BW321" s="2">
        <f t="shared" si="268"/>
        <v>0</v>
      </c>
      <c r="BX321" s="2">
        <f t="shared" si="268"/>
        <v>0</v>
      </c>
      <c r="BY321" s="2">
        <f t="shared" si="268"/>
        <v>0</v>
      </c>
      <c r="BZ321" s="2">
        <f t="shared" si="268"/>
        <v>0</v>
      </c>
      <c r="CA321" s="2">
        <f t="shared" ref="CA321:DF321" si="269">CA327</f>
        <v>77000.44</v>
      </c>
      <c r="CB321" s="2">
        <f t="shared" si="269"/>
        <v>0</v>
      </c>
      <c r="CC321" s="2">
        <f t="shared" si="269"/>
        <v>0</v>
      </c>
      <c r="CD321" s="2">
        <f t="shared" si="269"/>
        <v>77000.44</v>
      </c>
      <c r="CE321" s="2">
        <f t="shared" si="269"/>
        <v>21269.97</v>
      </c>
      <c r="CF321" s="2">
        <f t="shared" si="269"/>
        <v>21269.97</v>
      </c>
      <c r="CG321" s="2">
        <f t="shared" si="269"/>
        <v>0</v>
      </c>
      <c r="CH321" s="2">
        <f t="shared" si="269"/>
        <v>21269.97</v>
      </c>
      <c r="CI321" s="2">
        <f t="shared" si="269"/>
        <v>0</v>
      </c>
      <c r="CJ321" s="2">
        <f t="shared" si="269"/>
        <v>0</v>
      </c>
      <c r="CK321" s="2">
        <f t="shared" si="269"/>
        <v>0</v>
      </c>
      <c r="CL321" s="2">
        <f t="shared" si="269"/>
        <v>0</v>
      </c>
      <c r="CM321" s="2">
        <f t="shared" si="269"/>
        <v>0</v>
      </c>
      <c r="CN321" s="2">
        <f t="shared" si="269"/>
        <v>0</v>
      </c>
      <c r="CO321" s="2">
        <f t="shared" si="269"/>
        <v>0</v>
      </c>
      <c r="CP321" s="2">
        <f t="shared" si="269"/>
        <v>0</v>
      </c>
      <c r="CQ321" s="2">
        <f t="shared" si="269"/>
        <v>0</v>
      </c>
      <c r="CR321" s="2">
        <f t="shared" si="269"/>
        <v>0</v>
      </c>
      <c r="CS321" s="2">
        <f t="shared" si="269"/>
        <v>0</v>
      </c>
      <c r="CT321" s="2">
        <f t="shared" si="269"/>
        <v>0</v>
      </c>
      <c r="CU321" s="2">
        <f t="shared" si="269"/>
        <v>0</v>
      </c>
      <c r="CV321" s="2">
        <f t="shared" si="269"/>
        <v>0</v>
      </c>
      <c r="CW321" s="2">
        <f t="shared" si="269"/>
        <v>0</v>
      </c>
      <c r="CX321" s="2">
        <f t="shared" si="269"/>
        <v>0</v>
      </c>
      <c r="CY321" s="2">
        <f t="shared" si="269"/>
        <v>0</v>
      </c>
      <c r="CZ321" s="2">
        <f t="shared" si="269"/>
        <v>0</v>
      </c>
      <c r="DA321" s="2">
        <f t="shared" si="269"/>
        <v>0</v>
      </c>
      <c r="DB321" s="2">
        <f t="shared" si="269"/>
        <v>0</v>
      </c>
      <c r="DC321" s="2">
        <f t="shared" si="269"/>
        <v>0</v>
      </c>
      <c r="DD321" s="2">
        <f t="shared" si="269"/>
        <v>0</v>
      </c>
      <c r="DE321" s="2">
        <f t="shared" si="269"/>
        <v>0</v>
      </c>
      <c r="DF321" s="2">
        <f t="shared" si="269"/>
        <v>0</v>
      </c>
      <c r="DG321" s="3">
        <f t="shared" ref="DG321:EL321" si="270">DG327</f>
        <v>0</v>
      </c>
      <c r="DH321" s="3">
        <f t="shared" si="270"/>
        <v>0</v>
      </c>
      <c r="DI321" s="3">
        <f t="shared" si="270"/>
        <v>0</v>
      </c>
      <c r="DJ321" s="3">
        <f t="shared" si="270"/>
        <v>0</v>
      </c>
      <c r="DK321" s="3">
        <f t="shared" si="270"/>
        <v>0</v>
      </c>
      <c r="DL321" s="3">
        <f t="shared" si="270"/>
        <v>0</v>
      </c>
      <c r="DM321" s="3">
        <f t="shared" si="270"/>
        <v>0</v>
      </c>
      <c r="DN321" s="3">
        <f t="shared" si="270"/>
        <v>0</v>
      </c>
      <c r="DO321" s="3">
        <f t="shared" si="270"/>
        <v>0</v>
      </c>
      <c r="DP321" s="3">
        <f t="shared" si="270"/>
        <v>0</v>
      </c>
      <c r="DQ321" s="3">
        <f t="shared" si="270"/>
        <v>0</v>
      </c>
      <c r="DR321" s="3">
        <f t="shared" si="270"/>
        <v>0</v>
      </c>
      <c r="DS321" s="3">
        <f t="shared" si="270"/>
        <v>0</v>
      </c>
      <c r="DT321" s="3">
        <f t="shared" si="270"/>
        <v>0</v>
      </c>
      <c r="DU321" s="3">
        <f t="shared" si="270"/>
        <v>0</v>
      </c>
      <c r="DV321" s="3">
        <f t="shared" si="270"/>
        <v>0</v>
      </c>
      <c r="DW321" s="3">
        <f t="shared" si="270"/>
        <v>0</v>
      </c>
      <c r="DX321" s="3">
        <f t="shared" si="270"/>
        <v>0</v>
      </c>
      <c r="DY321" s="3">
        <f t="shared" si="270"/>
        <v>0</v>
      </c>
      <c r="DZ321" s="3">
        <f t="shared" si="270"/>
        <v>0</v>
      </c>
      <c r="EA321" s="3">
        <f t="shared" si="270"/>
        <v>0</v>
      </c>
      <c r="EB321" s="3">
        <f t="shared" si="270"/>
        <v>0</v>
      </c>
      <c r="EC321" s="3">
        <f t="shared" si="270"/>
        <v>0</v>
      </c>
      <c r="ED321" s="3">
        <f t="shared" si="270"/>
        <v>0</v>
      </c>
      <c r="EE321" s="3">
        <f t="shared" si="270"/>
        <v>0</v>
      </c>
      <c r="EF321" s="3">
        <f t="shared" si="270"/>
        <v>0</v>
      </c>
      <c r="EG321" s="3">
        <f t="shared" si="270"/>
        <v>0</v>
      </c>
      <c r="EH321" s="3">
        <f t="shared" si="270"/>
        <v>0</v>
      </c>
      <c r="EI321" s="3">
        <f t="shared" si="270"/>
        <v>0</v>
      </c>
      <c r="EJ321" s="3">
        <f t="shared" si="270"/>
        <v>0</v>
      </c>
      <c r="EK321" s="3">
        <f t="shared" si="270"/>
        <v>0</v>
      </c>
      <c r="EL321" s="3">
        <f t="shared" si="270"/>
        <v>0</v>
      </c>
      <c r="EM321" s="3">
        <f t="shared" ref="EM321:FR321" si="271">EM327</f>
        <v>0</v>
      </c>
      <c r="EN321" s="3">
        <f t="shared" si="271"/>
        <v>0</v>
      </c>
      <c r="EO321" s="3">
        <f t="shared" si="271"/>
        <v>0</v>
      </c>
      <c r="EP321" s="3">
        <f t="shared" si="271"/>
        <v>0</v>
      </c>
      <c r="EQ321" s="3">
        <f t="shared" si="271"/>
        <v>0</v>
      </c>
      <c r="ER321" s="3">
        <f t="shared" si="271"/>
        <v>0</v>
      </c>
      <c r="ES321" s="3">
        <f t="shared" si="271"/>
        <v>0</v>
      </c>
      <c r="ET321" s="3">
        <f t="shared" si="271"/>
        <v>0</v>
      </c>
      <c r="EU321" s="3">
        <f t="shared" si="271"/>
        <v>0</v>
      </c>
      <c r="EV321" s="3">
        <f t="shared" si="271"/>
        <v>0</v>
      </c>
      <c r="EW321" s="3">
        <f t="shared" si="271"/>
        <v>0</v>
      </c>
      <c r="EX321" s="3">
        <f t="shared" si="271"/>
        <v>0</v>
      </c>
      <c r="EY321" s="3">
        <f t="shared" si="271"/>
        <v>0</v>
      </c>
      <c r="EZ321" s="3">
        <f t="shared" si="271"/>
        <v>0</v>
      </c>
      <c r="FA321" s="3">
        <f t="shared" si="271"/>
        <v>0</v>
      </c>
      <c r="FB321" s="3">
        <f t="shared" si="271"/>
        <v>0</v>
      </c>
      <c r="FC321" s="3">
        <f t="shared" si="271"/>
        <v>0</v>
      </c>
      <c r="FD321" s="3">
        <f t="shared" si="271"/>
        <v>0</v>
      </c>
      <c r="FE321" s="3">
        <f t="shared" si="271"/>
        <v>0</v>
      </c>
      <c r="FF321" s="3">
        <f t="shared" si="271"/>
        <v>0</v>
      </c>
      <c r="FG321" s="3">
        <f t="shared" si="271"/>
        <v>0</v>
      </c>
      <c r="FH321" s="3">
        <f t="shared" si="271"/>
        <v>0</v>
      </c>
      <c r="FI321" s="3">
        <f t="shared" si="271"/>
        <v>0</v>
      </c>
      <c r="FJ321" s="3">
        <f t="shared" si="271"/>
        <v>0</v>
      </c>
      <c r="FK321" s="3">
        <f t="shared" si="271"/>
        <v>0</v>
      </c>
      <c r="FL321" s="3">
        <f t="shared" si="271"/>
        <v>0</v>
      </c>
      <c r="FM321" s="3">
        <f t="shared" si="271"/>
        <v>0</v>
      </c>
      <c r="FN321" s="3">
        <f t="shared" si="271"/>
        <v>0</v>
      </c>
      <c r="FO321" s="3">
        <f t="shared" si="271"/>
        <v>0</v>
      </c>
      <c r="FP321" s="3">
        <f t="shared" si="271"/>
        <v>0</v>
      </c>
      <c r="FQ321" s="3">
        <f t="shared" si="271"/>
        <v>0</v>
      </c>
      <c r="FR321" s="3">
        <f t="shared" si="271"/>
        <v>0</v>
      </c>
      <c r="FS321" s="3">
        <f t="shared" ref="FS321:GX321" si="272">FS327</f>
        <v>0</v>
      </c>
      <c r="FT321" s="3">
        <f t="shared" si="272"/>
        <v>0</v>
      </c>
      <c r="FU321" s="3">
        <f t="shared" si="272"/>
        <v>0</v>
      </c>
      <c r="FV321" s="3">
        <f t="shared" si="272"/>
        <v>0</v>
      </c>
      <c r="FW321" s="3">
        <f t="shared" si="272"/>
        <v>0</v>
      </c>
      <c r="FX321" s="3">
        <f t="shared" si="272"/>
        <v>0</v>
      </c>
      <c r="FY321" s="3">
        <f t="shared" si="272"/>
        <v>0</v>
      </c>
      <c r="FZ321" s="3">
        <f t="shared" si="272"/>
        <v>0</v>
      </c>
      <c r="GA321" s="3">
        <f t="shared" si="272"/>
        <v>0</v>
      </c>
      <c r="GB321" s="3">
        <f t="shared" si="272"/>
        <v>0</v>
      </c>
      <c r="GC321" s="3">
        <f t="shared" si="272"/>
        <v>0</v>
      </c>
      <c r="GD321" s="3">
        <f t="shared" si="272"/>
        <v>0</v>
      </c>
      <c r="GE321" s="3">
        <f t="shared" si="272"/>
        <v>0</v>
      </c>
      <c r="GF321" s="3">
        <f t="shared" si="272"/>
        <v>0</v>
      </c>
      <c r="GG321" s="3">
        <f t="shared" si="272"/>
        <v>0</v>
      </c>
      <c r="GH321" s="3">
        <f t="shared" si="272"/>
        <v>0</v>
      </c>
      <c r="GI321" s="3">
        <f t="shared" si="272"/>
        <v>0</v>
      </c>
      <c r="GJ321" s="3">
        <f t="shared" si="272"/>
        <v>0</v>
      </c>
      <c r="GK321" s="3">
        <f t="shared" si="272"/>
        <v>0</v>
      </c>
      <c r="GL321" s="3">
        <f t="shared" si="272"/>
        <v>0</v>
      </c>
      <c r="GM321" s="3">
        <f t="shared" si="272"/>
        <v>0</v>
      </c>
      <c r="GN321" s="3">
        <f t="shared" si="272"/>
        <v>0</v>
      </c>
      <c r="GO321" s="3">
        <f t="shared" si="272"/>
        <v>0</v>
      </c>
      <c r="GP321" s="3">
        <f t="shared" si="272"/>
        <v>0</v>
      </c>
      <c r="GQ321" s="3">
        <f t="shared" si="272"/>
        <v>0</v>
      </c>
      <c r="GR321" s="3">
        <f t="shared" si="272"/>
        <v>0</v>
      </c>
      <c r="GS321" s="3">
        <f t="shared" si="272"/>
        <v>0</v>
      </c>
      <c r="GT321" s="3">
        <f t="shared" si="272"/>
        <v>0</v>
      </c>
      <c r="GU321" s="3">
        <f t="shared" si="272"/>
        <v>0</v>
      </c>
      <c r="GV321" s="3">
        <f t="shared" si="272"/>
        <v>0</v>
      </c>
      <c r="GW321" s="3">
        <f t="shared" si="272"/>
        <v>0</v>
      </c>
      <c r="GX321" s="3">
        <f t="shared" si="272"/>
        <v>0</v>
      </c>
    </row>
    <row r="323" spans="1:245" x14ac:dyDescent="0.2">
      <c r="A323">
        <v>17</v>
      </c>
      <c r="B323">
        <v>1</v>
      </c>
      <c r="C323">
        <f>ROW(SmtRes!A323)</f>
        <v>323</v>
      </c>
      <c r="D323">
        <f>ROW(EtalonRes!A309)</f>
        <v>309</v>
      </c>
      <c r="E323" t="s">
        <v>295</v>
      </c>
      <c r="F323" t="s">
        <v>296</v>
      </c>
      <c r="G323" t="s">
        <v>297</v>
      </c>
      <c r="H323" t="s">
        <v>298</v>
      </c>
      <c r="I323">
        <v>22.32</v>
      </c>
      <c r="J323">
        <v>0</v>
      </c>
      <c r="O323">
        <f>ROUND(CP323,2)</f>
        <v>24704</v>
      </c>
      <c r="P323">
        <f>ROUND(CQ323*I323,2)</f>
        <v>7349.08</v>
      </c>
      <c r="Q323">
        <f>ROUND(CR323*I323,2)</f>
        <v>11883.84</v>
      </c>
      <c r="R323">
        <f>ROUND(CS323*I323,2)</f>
        <v>6364.55</v>
      </c>
      <c r="S323">
        <f>ROUND(CT323*I323,2)</f>
        <v>5471.08</v>
      </c>
      <c r="T323">
        <f>ROUND(CU323*I323,2)</f>
        <v>0</v>
      </c>
      <c r="U323">
        <f>CV323*I323</f>
        <v>21.650400000000001</v>
      </c>
      <c r="V323">
        <f>CW323*I323</f>
        <v>0</v>
      </c>
      <c r="W323">
        <f>ROUND(CX323*I323,2)</f>
        <v>0</v>
      </c>
      <c r="X323">
        <f t="shared" ref="X323:Y325" si="273">ROUND(CY323,2)</f>
        <v>3829.76</v>
      </c>
      <c r="Y323">
        <f t="shared" si="273"/>
        <v>547.11</v>
      </c>
      <c r="AA323">
        <v>52430918</v>
      </c>
      <c r="AB323">
        <f>ROUND((AC323+AD323+AF323),6)</f>
        <v>1106.81</v>
      </c>
      <c r="AC323">
        <f>ROUND((ES323),6)</f>
        <v>329.26</v>
      </c>
      <c r="AD323">
        <f>ROUND((((ET323)-(EU323))+AE323),6)</f>
        <v>532.42999999999995</v>
      </c>
      <c r="AE323">
        <f t="shared" ref="AE323:AF325" si="274">ROUND((EU323),6)</f>
        <v>285.14999999999998</v>
      </c>
      <c r="AF323">
        <f t="shared" si="274"/>
        <v>245.12</v>
      </c>
      <c r="AG323">
        <f>ROUND((AP323),6)</f>
        <v>0</v>
      </c>
      <c r="AH323">
        <f t="shared" ref="AH323:AI325" si="275">(EW323)</f>
        <v>0.97</v>
      </c>
      <c r="AI323">
        <f t="shared" si="275"/>
        <v>0</v>
      </c>
      <c r="AJ323">
        <f>(AS323)</f>
        <v>0</v>
      </c>
      <c r="AK323">
        <v>1106.81</v>
      </c>
      <c r="AL323">
        <v>329.26</v>
      </c>
      <c r="AM323">
        <v>532.42999999999995</v>
      </c>
      <c r="AN323">
        <v>285.14999999999998</v>
      </c>
      <c r="AO323">
        <v>245.12</v>
      </c>
      <c r="AP323">
        <v>0</v>
      </c>
      <c r="AQ323">
        <v>0.97</v>
      </c>
      <c r="AR323">
        <v>0</v>
      </c>
      <c r="AS323">
        <v>0</v>
      </c>
      <c r="AT323">
        <v>70</v>
      </c>
      <c r="AU323">
        <v>10</v>
      </c>
      <c r="AV323">
        <v>1</v>
      </c>
      <c r="AW323">
        <v>1</v>
      </c>
      <c r="AZ323">
        <v>1</v>
      </c>
      <c r="BA323">
        <v>1</v>
      </c>
      <c r="BB323">
        <v>1</v>
      </c>
      <c r="BC323">
        <v>1</v>
      </c>
      <c r="BD323" t="s">
        <v>3</v>
      </c>
      <c r="BE323" t="s">
        <v>3</v>
      </c>
      <c r="BF323" t="s">
        <v>3</v>
      </c>
      <c r="BG323" t="s">
        <v>3</v>
      </c>
      <c r="BH323">
        <v>0</v>
      </c>
      <c r="BI323">
        <v>4</v>
      </c>
      <c r="BJ323" t="s">
        <v>299</v>
      </c>
      <c r="BM323">
        <v>0</v>
      </c>
      <c r="BN323">
        <v>0</v>
      </c>
      <c r="BO323" t="s">
        <v>3</v>
      </c>
      <c r="BP323">
        <v>0</v>
      </c>
      <c r="BQ323">
        <v>1</v>
      </c>
      <c r="BR323">
        <v>0</v>
      </c>
      <c r="BS323">
        <v>1</v>
      </c>
      <c r="BT323">
        <v>1</v>
      </c>
      <c r="BU323">
        <v>1</v>
      </c>
      <c r="BV323">
        <v>1</v>
      </c>
      <c r="BW323">
        <v>1</v>
      </c>
      <c r="BX323">
        <v>1</v>
      </c>
      <c r="BY323" t="s">
        <v>3</v>
      </c>
      <c r="BZ323">
        <v>70</v>
      </c>
      <c r="CA323">
        <v>10</v>
      </c>
      <c r="CE323">
        <v>0</v>
      </c>
      <c r="CF323">
        <v>0</v>
      </c>
      <c r="CG323">
        <v>0</v>
      </c>
      <c r="CM323">
        <v>0</v>
      </c>
      <c r="CN323" t="s">
        <v>3</v>
      </c>
      <c r="CO323">
        <v>0</v>
      </c>
      <c r="CP323">
        <f>(P323+Q323+S323)</f>
        <v>24704</v>
      </c>
      <c r="CQ323">
        <f>(AC323*BC323*AW323)</f>
        <v>329.26</v>
      </c>
      <c r="CR323">
        <f>((((ET323)*BB323-(EU323)*BS323)+AE323*BS323)*AV323)</f>
        <v>532.42999999999995</v>
      </c>
      <c r="CS323">
        <f>(AE323*BS323*AV323)</f>
        <v>285.14999999999998</v>
      </c>
      <c r="CT323">
        <f>(AF323*BA323*AV323)</f>
        <v>245.12</v>
      </c>
      <c r="CU323">
        <f>AG323</f>
        <v>0</v>
      </c>
      <c r="CV323">
        <f>(AH323*AV323)</f>
        <v>0.97</v>
      </c>
      <c r="CW323">
        <f t="shared" ref="CW323:CX325" si="276">AI323</f>
        <v>0</v>
      </c>
      <c r="CX323">
        <f t="shared" si="276"/>
        <v>0</v>
      </c>
      <c r="CY323">
        <f>((S323*BZ323)/100)</f>
        <v>3829.7559999999999</v>
      </c>
      <c r="CZ323">
        <f>((S323*CA323)/100)</f>
        <v>547.10800000000006</v>
      </c>
      <c r="DC323" t="s">
        <v>3</v>
      </c>
      <c r="DD323" t="s">
        <v>3</v>
      </c>
      <c r="DE323" t="s">
        <v>3</v>
      </c>
      <c r="DF323" t="s">
        <v>3</v>
      </c>
      <c r="DG323" t="s">
        <v>3</v>
      </c>
      <c r="DH323" t="s">
        <v>3</v>
      </c>
      <c r="DI323" t="s">
        <v>3</v>
      </c>
      <c r="DJ323" t="s">
        <v>3</v>
      </c>
      <c r="DK323" t="s">
        <v>3</v>
      </c>
      <c r="DL323" t="s">
        <v>3</v>
      </c>
      <c r="DM323" t="s">
        <v>3</v>
      </c>
      <c r="DN323">
        <v>0</v>
      </c>
      <c r="DO323">
        <v>0</v>
      </c>
      <c r="DP323">
        <v>1</v>
      </c>
      <c r="DQ323">
        <v>1</v>
      </c>
      <c r="DU323">
        <v>1005</v>
      </c>
      <c r="DV323" t="s">
        <v>298</v>
      </c>
      <c r="DW323" t="s">
        <v>298</v>
      </c>
      <c r="DX323">
        <v>1</v>
      </c>
      <c r="EE323">
        <v>52362078</v>
      </c>
      <c r="EF323">
        <v>1</v>
      </c>
      <c r="EG323" t="s">
        <v>22</v>
      </c>
      <c r="EH323">
        <v>0</v>
      </c>
      <c r="EI323" t="s">
        <v>3</v>
      </c>
      <c r="EJ323">
        <v>4</v>
      </c>
      <c r="EK323">
        <v>0</v>
      </c>
      <c r="EL323" t="s">
        <v>23</v>
      </c>
      <c r="EM323" t="s">
        <v>24</v>
      </c>
      <c r="EO323" t="s">
        <v>3</v>
      </c>
      <c r="EQ323">
        <v>0</v>
      </c>
      <c r="ER323">
        <v>1106.81</v>
      </c>
      <c r="ES323">
        <v>329.26</v>
      </c>
      <c r="ET323">
        <v>532.42999999999995</v>
      </c>
      <c r="EU323">
        <v>285.14999999999998</v>
      </c>
      <c r="EV323">
        <v>245.12</v>
      </c>
      <c r="EW323">
        <v>0.97</v>
      </c>
      <c r="EX323">
        <v>0</v>
      </c>
      <c r="EY323">
        <v>0</v>
      </c>
      <c r="FQ323">
        <v>0</v>
      </c>
      <c r="FR323">
        <f>ROUND(IF(AND(BH323=3,BI323=3),P323,0),2)</f>
        <v>0</v>
      </c>
      <c r="FS323">
        <v>0</v>
      </c>
      <c r="FX323">
        <v>70</v>
      </c>
      <c r="FY323">
        <v>10</v>
      </c>
      <c r="GA323" t="s">
        <v>3</v>
      </c>
      <c r="GD323">
        <v>0</v>
      </c>
      <c r="GF323">
        <v>-2120953005</v>
      </c>
      <c r="GG323">
        <v>2</v>
      </c>
      <c r="GH323">
        <v>1</v>
      </c>
      <c r="GI323">
        <v>-2</v>
      </c>
      <c r="GJ323">
        <v>0</v>
      </c>
      <c r="GK323">
        <f>ROUND(R323*(R12)/100,2)</f>
        <v>6873.71</v>
      </c>
      <c r="GL323">
        <f>ROUND(IF(AND(BH323=3,BI323=3,FS323&lt;&gt;0),P323,0),2)</f>
        <v>0</v>
      </c>
      <c r="GM323">
        <f>ROUND(O323+X323+Y323+GK323,2)+GX323</f>
        <v>35954.58</v>
      </c>
      <c r="GN323">
        <f>IF(OR(BI323=0,BI323=1),ROUND(O323+X323+Y323+GK323,2),0)</f>
        <v>0</v>
      </c>
      <c r="GO323">
        <f>IF(BI323=2,ROUND(O323+X323+Y323+GK323,2),0)</f>
        <v>0</v>
      </c>
      <c r="GP323">
        <f>IF(BI323=4,ROUND(O323+X323+Y323+GK323,2)+GX323,0)</f>
        <v>35954.58</v>
      </c>
      <c r="GR323">
        <v>0</v>
      </c>
      <c r="GS323">
        <v>3</v>
      </c>
      <c r="GT323">
        <v>0</v>
      </c>
      <c r="GU323" t="s">
        <v>3</v>
      </c>
      <c r="GV323">
        <f>ROUND((GT323),6)</f>
        <v>0</v>
      </c>
      <c r="GW323">
        <v>1</v>
      </c>
      <c r="GX323">
        <f>ROUND(HC323*I323,2)</f>
        <v>0</v>
      </c>
      <c r="HA323">
        <v>0</v>
      </c>
      <c r="HB323">
        <v>0</v>
      </c>
      <c r="HC323">
        <f>GV323*GW323</f>
        <v>0</v>
      </c>
      <c r="HE323" t="s">
        <v>3</v>
      </c>
      <c r="HF323" t="s">
        <v>3</v>
      </c>
      <c r="IK323">
        <v>0</v>
      </c>
    </row>
    <row r="324" spans="1:245" x14ac:dyDescent="0.2">
      <c r="A324">
        <v>17</v>
      </c>
      <c r="B324">
        <v>1</v>
      </c>
      <c r="C324">
        <f>ROW(SmtRes!A329)</f>
        <v>329</v>
      </c>
      <c r="D324">
        <f>ROW(EtalonRes!A315)</f>
        <v>315</v>
      </c>
      <c r="E324" t="s">
        <v>300</v>
      </c>
      <c r="F324" t="s">
        <v>301</v>
      </c>
      <c r="G324" t="s">
        <v>302</v>
      </c>
      <c r="H324" t="s">
        <v>298</v>
      </c>
      <c r="I324">
        <v>30</v>
      </c>
      <c r="J324">
        <v>0</v>
      </c>
      <c r="O324">
        <f>ROUND(CP324,2)</f>
        <v>23817.599999999999</v>
      </c>
      <c r="P324">
        <f>ROUND(CQ324*I324,2)</f>
        <v>9877.7999999999993</v>
      </c>
      <c r="Q324">
        <f>ROUND(CR324*I324,2)</f>
        <v>9077.7000000000007</v>
      </c>
      <c r="R324">
        <f>ROUND(CS324*I324,2)</f>
        <v>4863.3</v>
      </c>
      <c r="S324">
        <f>ROUND(CT324*I324,2)</f>
        <v>4862.1000000000004</v>
      </c>
      <c r="T324">
        <f>ROUND(CU324*I324,2)</f>
        <v>0</v>
      </c>
      <c r="U324">
        <f>CV324*I324</f>
        <v>19.2</v>
      </c>
      <c r="V324">
        <f>CW324*I324</f>
        <v>0</v>
      </c>
      <c r="W324">
        <f>ROUND(CX324*I324,2)</f>
        <v>0</v>
      </c>
      <c r="X324">
        <f t="shared" si="273"/>
        <v>3403.47</v>
      </c>
      <c r="Y324">
        <f t="shared" si="273"/>
        <v>486.21</v>
      </c>
      <c r="AA324">
        <v>52430918</v>
      </c>
      <c r="AB324">
        <f>ROUND((AC324+AD324+AF324),6)</f>
        <v>793.92</v>
      </c>
      <c r="AC324">
        <f>ROUND((ES324),6)</f>
        <v>329.26</v>
      </c>
      <c r="AD324">
        <f>ROUND((((ET324)-(EU324))+AE324),6)</f>
        <v>302.58999999999997</v>
      </c>
      <c r="AE324">
        <f t="shared" si="274"/>
        <v>162.11000000000001</v>
      </c>
      <c r="AF324">
        <f t="shared" si="274"/>
        <v>162.07</v>
      </c>
      <c r="AG324">
        <f>ROUND((AP324),6)</f>
        <v>0</v>
      </c>
      <c r="AH324">
        <f t="shared" si="275"/>
        <v>0.64</v>
      </c>
      <c r="AI324">
        <f t="shared" si="275"/>
        <v>0</v>
      </c>
      <c r="AJ324">
        <f>(AS324)</f>
        <v>0</v>
      </c>
      <c r="AK324">
        <v>793.92</v>
      </c>
      <c r="AL324">
        <v>329.26</v>
      </c>
      <c r="AM324">
        <v>302.58999999999997</v>
      </c>
      <c r="AN324">
        <v>162.11000000000001</v>
      </c>
      <c r="AO324">
        <v>162.07</v>
      </c>
      <c r="AP324">
        <v>0</v>
      </c>
      <c r="AQ324">
        <v>0.64</v>
      </c>
      <c r="AR324">
        <v>0</v>
      </c>
      <c r="AS324">
        <v>0</v>
      </c>
      <c r="AT324">
        <v>70</v>
      </c>
      <c r="AU324">
        <v>10</v>
      </c>
      <c r="AV324">
        <v>1</v>
      </c>
      <c r="AW324">
        <v>1</v>
      </c>
      <c r="AZ324">
        <v>1</v>
      </c>
      <c r="BA324">
        <v>1</v>
      </c>
      <c r="BB324">
        <v>1</v>
      </c>
      <c r="BC324">
        <v>1</v>
      </c>
      <c r="BD324" t="s">
        <v>3</v>
      </c>
      <c r="BE324" t="s">
        <v>3</v>
      </c>
      <c r="BF324" t="s">
        <v>3</v>
      </c>
      <c r="BG324" t="s">
        <v>3</v>
      </c>
      <c r="BH324">
        <v>0</v>
      </c>
      <c r="BI324">
        <v>4</v>
      </c>
      <c r="BJ324" t="s">
        <v>303</v>
      </c>
      <c r="BM324">
        <v>0</v>
      </c>
      <c r="BN324">
        <v>0</v>
      </c>
      <c r="BO324" t="s">
        <v>3</v>
      </c>
      <c r="BP324">
        <v>0</v>
      </c>
      <c r="BQ324">
        <v>1</v>
      </c>
      <c r="BR324">
        <v>0</v>
      </c>
      <c r="BS324">
        <v>1</v>
      </c>
      <c r="BT324">
        <v>1</v>
      </c>
      <c r="BU324">
        <v>1</v>
      </c>
      <c r="BV324">
        <v>1</v>
      </c>
      <c r="BW324">
        <v>1</v>
      </c>
      <c r="BX324">
        <v>1</v>
      </c>
      <c r="BY324" t="s">
        <v>3</v>
      </c>
      <c r="BZ324">
        <v>70</v>
      </c>
      <c r="CA324">
        <v>10</v>
      </c>
      <c r="CE324">
        <v>0</v>
      </c>
      <c r="CF324">
        <v>0</v>
      </c>
      <c r="CG324">
        <v>0</v>
      </c>
      <c r="CM324">
        <v>0</v>
      </c>
      <c r="CN324" t="s">
        <v>3</v>
      </c>
      <c r="CO324">
        <v>0</v>
      </c>
      <c r="CP324">
        <f>(P324+Q324+S324)</f>
        <v>23817.599999999999</v>
      </c>
      <c r="CQ324">
        <f>(AC324*BC324*AW324)</f>
        <v>329.26</v>
      </c>
      <c r="CR324">
        <f>((((ET324)*BB324-(EU324)*BS324)+AE324*BS324)*AV324)</f>
        <v>302.58999999999997</v>
      </c>
      <c r="CS324">
        <f>(AE324*BS324*AV324)</f>
        <v>162.11000000000001</v>
      </c>
      <c r="CT324">
        <f>(AF324*BA324*AV324)</f>
        <v>162.07</v>
      </c>
      <c r="CU324">
        <f>AG324</f>
        <v>0</v>
      </c>
      <c r="CV324">
        <f>(AH324*AV324)</f>
        <v>0.64</v>
      </c>
      <c r="CW324">
        <f t="shared" si="276"/>
        <v>0</v>
      </c>
      <c r="CX324">
        <f t="shared" si="276"/>
        <v>0</v>
      </c>
      <c r="CY324">
        <f>((S324*BZ324)/100)</f>
        <v>3403.47</v>
      </c>
      <c r="CZ324">
        <f>((S324*CA324)/100)</f>
        <v>486.21</v>
      </c>
      <c r="DC324" t="s">
        <v>3</v>
      </c>
      <c r="DD324" t="s">
        <v>3</v>
      </c>
      <c r="DE324" t="s">
        <v>3</v>
      </c>
      <c r="DF324" t="s">
        <v>3</v>
      </c>
      <c r="DG324" t="s">
        <v>3</v>
      </c>
      <c r="DH324" t="s">
        <v>3</v>
      </c>
      <c r="DI324" t="s">
        <v>3</v>
      </c>
      <c r="DJ324" t="s">
        <v>3</v>
      </c>
      <c r="DK324" t="s">
        <v>3</v>
      </c>
      <c r="DL324" t="s">
        <v>3</v>
      </c>
      <c r="DM324" t="s">
        <v>3</v>
      </c>
      <c r="DN324">
        <v>0</v>
      </c>
      <c r="DO324">
        <v>0</v>
      </c>
      <c r="DP324">
        <v>1</v>
      </c>
      <c r="DQ324">
        <v>1</v>
      </c>
      <c r="DU324">
        <v>1005</v>
      </c>
      <c r="DV324" t="s">
        <v>298</v>
      </c>
      <c r="DW324" t="s">
        <v>298</v>
      </c>
      <c r="DX324">
        <v>1</v>
      </c>
      <c r="EE324">
        <v>52362078</v>
      </c>
      <c r="EF324">
        <v>1</v>
      </c>
      <c r="EG324" t="s">
        <v>22</v>
      </c>
      <c r="EH324">
        <v>0</v>
      </c>
      <c r="EI324" t="s">
        <v>3</v>
      </c>
      <c r="EJ324">
        <v>4</v>
      </c>
      <c r="EK324">
        <v>0</v>
      </c>
      <c r="EL324" t="s">
        <v>23</v>
      </c>
      <c r="EM324" t="s">
        <v>24</v>
      </c>
      <c r="EO324" t="s">
        <v>3</v>
      </c>
      <c r="EQ324">
        <v>0</v>
      </c>
      <c r="ER324">
        <v>793.92</v>
      </c>
      <c r="ES324">
        <v>329.26</v>
      </c>
      <c r="ET324">
        <v>302.58999999999997</v>
      </c>
      <c r="EU324">
        <v>162.11000000000001</v>
      </c>
      <c r="EV324">
        <v>162.07</v>
      </c>
      <c r="EW324">
        <v>0.64</v>
      </c>
      <c r="EX324">
        <v>0</v>
      </c>
      <c r="EY324">
        <v>0</v>
      </c>
      <c r="FQ324">
        <v>0</v>
      </c>
      <c r="FR324">
        <f>ROUND(IF(AND(BH324=3,BI324=3),P324,0),2)</f>
        <v>0</v>
      </c>
      <c r="FS324">
        <v>0</v>
      </c>
      <c r="FX324">
        <v>70</v>
      </c>
      <c r="FY324">
        <v>10</v>
      </c>
      <c r="GA324" t="s">
        <v>3</v>
      </c>
      <c r="GD324">
        <v>0</v>
      </c>
      <c r="GF324">
        <v>-1823046376</v>
      </c>
      <c r="GG324">
        <v>2</v>
      </c>
      <c r="GH324">
        <v>1</v>
      </c>
      <c r="GI324">
        <v>-2</v>
      </c>
      <c r="GJ324">
        <v>0</v>
      </c>
      <c r="GK324">
        <f>ROUND(R324*(R12)/100,2)</f>
        <v>5252.36</v>
      </c>
      <c r="GL324">
        <f>ROUND(IF(AND(BH324=3,BI324=3,FS324&lt;&gt;0),P324,0),2)</f>
        <v>0</v>
      </c>
      <c r="GM324">
        <f>ROUND(O324+X324+Y324+GK324,2)+GX324</f>
        <v>32959.64</v>
      </c>
      <c r="GN324">
        <f>IF(OR(BI324=0,BI324=1),ROUND(O324+X324+Y324+GK324,2),0)</f>
        <v>0</v>
      </c>
      <c r="GO324">
        <f>IF(BI324=2,ROUND(O324+X324+Y324+GK324,2),0)</f>
        <v>0</v>
      </c>
      <c r="GP324">
        <f>IF(BI324=4,ROUND(O324+X324+Y324+GK324,2)+GX324,0)</f>
        <v>32959.64</v>
      </c>
      <c r="GR324">
        <v>0</v>
      </c>
      <c r="GS324">
        <v>3</v>
      </c>
      <c r="GT324">
        <v>0</v>
      </c>
      <c r="GU324" t="s">
        <v>3</v>
      </c>
      <c r="GV324">
        <f>ROUND((GT324),6)</f>
        <v>0</v>
      </c>
      <c r="GW324">
        <v>1</v>
      </c>
      <c r="GX324">
        <f>ROUND(HC324*I324,2)</f>
        <v>0</v>
      </c>
      <c r="HA324">
        <v>0</v>
      </c>
      <c r="HB324">
        <v>0</v>
      </c>
      <c r="HC324">
        <f>GV324*GW324</f>
        <v>0</v>
      </c>
      <c r="HE324" t="s">
        <v>3</v>
      </c>
      <c r="HF324" t="s">
        <v>3</v>
      </c>
      <c r="IK324">
        <v>0</v>
      </c>
    </row>
    <row r="325" spans="1:245" x14ac:dyDescent="0.2">
      <c r="A325">
        <v>17</v>
      </c>
      <c r="B325">
        <v>1</v>
      </c>
      <c r="C325">
        <f>ROW(SmtRes!A338)</f>
        <v>338</v>
      </c>
      <c r="D325">
        <f>ROW(EtalonRes!A324)</f>
        <v>324</v>
      </c>
      <c r="E325" t="s">
        <v>304</v>
      </c>
      <c r="F325" t="s">
        <v>305</v>
      </c>
      <c r="G325" t="s">
        <v>306</v>
      </c>
      <c r="H325" t="s">
        <v>307</v>
      </c>
      <c r="I325">
        <v>7.2</v>
      </c>
      <c r="J325">
        <v>0</v>
      </c>
      <c r="O325">
        <f>ROUND(CP325,2)</f>
        <v>6436.52</v>
      </c>
      <c r="P325">
        <f>ROUND(CQ325*I325,2)</f>
        <v>4043.09</v>
      </c>
      <c r="Q325">
        <f>ROUND(CR325*I325,2)</f>
        <v>1377.58</v>
      </c>
      <c r="R325">
        <f>ROUND(CS325*I325,2)</f>
        <v>775.01</v>
      </c>
      <c r="S325">
        <f>ROUND(CT325*I325,2)</f>
        <v>1015.85</v>
      </c>
      <c r="T325">
        <f>ROUND(CU325*I325,2)</f>
        <v>0</v>
      </c>
      <c r="U325">
        <f>CV325*I325</f>
        <v>4.7520000000000007</v>
      </c>
      <c r="V325">
        <f>CW325*I325</f>
        <v>0</v>
      </c>
      <c r="W325">
        <f>ROUND(CX325*I325,2)</f>
        <v>0</v>
      </c>
      <c r="X325">
        <f t="shared" si="273"/>
        <v>711.1</v>
      </c>
      <c r="Y325">
        <f t="shared" si="273"/>
        <v>101.59</v>
      </c>
      <c r="AA325">
        <v>52430918</v>
      </c>
      <c r="AB325">
        <f>ROUND((AC325+AD325+AF325),6)</f>
        <v>893.96</v>
      </c>
      <c r="AC325">
        <f>ROUND((ES325),6)</f>
        <v>561.54</v>
      </c>
      <c r="AD325">
        <f>ROUND((((ET325)-(EU325))+AE325),6)</f>
        <v>191.33</v>
      </c>
      <c r="AE325">
        <f t="shared" si="274"/>
        <v>107.64</v>
      </c>
      <c r="AF325">
        <f t="shared" si="274"/>
        <v>141.09</v>
      </c>
      <c r="AG325">
        <f>ROUND((AP325),6)</f>
        <v>0</v>
      </c>
      <c r="AH325">
        <f t="shared" si="275"/>
        <v>0.66</v>
      </c>
      <c r="AI325">
        <f t="shared" si="275"/>
        <v>0</v>
      </c>
      <c r="AJ325">
        <f>(AS325)</f>
        <v>0</v>
      </c>
      <c r="AK325">
        <v>893.96</v>
      </c>
      <c r="AL325">
        <v>561.54</v>
      </c>
      <c r="AM325">
        <v>191.33</v>
      </c>
      <c r="AN325">
        <v>107.64</v>
      </c>
      <c r="AO325">
        <v>141.09</v>
      </c>
      <c r="AP325">
        <v>0</v>
      </c>
      <c r="AQ325">
        <v>0.66</v>
      </c>
      <c r="AR325">
        <v>0</v>
      </c>
      <c r="AS325">
        <v>0</v>
      </c>
      <c r="AT325">
        <v>70</v>
      </c>
      <c r="AU325">
        <v>10</v>
      </c>
      <c r="AV325">
        <v>1</v>
      </c>
      <c r="AW325">
        <v>1</v>
      </c>
      <c r="AZ325">
        <v>1</v>
      </c>
      <c r="BA325">
        <v>1</v>
      </c>
      <c r="BB325">
        <v>1</v>
      </c>
      <c r="BC325">
        <v>1</v>
      </c>
      <c r="BD325" t="s">
        <v>3</v>
      </c>
      <c r="BE325" t="s">
        <v>3</v>
      </c>
      <c r="BF325" t="s">
        <v>3</v>
      </c>
      <c r="BG325" t="s">
        <v>3</v>
      </c>
      <c r="BH325">
        <v>0</v>
      </c>
      <c r="BI325">
        <v>4</v>
      </c>
      <c r="BJ325" t="s">
        <v>308</v>
      </c>
      <c r="BM325">
        <v>0</v>
      </c>
      <c r="BN325">
        <v>0</v>
      </c>
      <c r="BO325" t="s">
        <v>3</v>
      </c>
      <c r="BP325">
        <v>0</v>
      </c>
      <c r="BQ325">
        <v>1</v>
      </c>
      <c r="BR325">
        <v>0</v>
      </c>
      <c r="BS325">
        <v>1</v>
      </c>
      <c r="BT325">
        <v>1</v>
      </c>
      <c r="BU325">
        <v>1</v>
      </c>
      <c r="BV325">
        <v>1</v>
      </c>
      <c r="BW325">
        <v>1</v>
      </c>
      <c r="BX325">
        <v>1</v>
      </c>
      <c r="BY325" t="s">
        <v>3</v>
      </c>
      <c r="BZ325">
        <v>70</v>
      </c>
      <c r="CA325">
        <v>10</v>
      </c>
      <c r="CE325">
        <v>0</v>
      </c>
      <c r="CF325">
        <v>0</v>
      </c>
      <c r="CG325">
        <v>0</v>
      </c>
      <c r="CM325">
        <v>0</v>
      </c>
      <c r="CN325" t="s">
        <v>3</v>
      </c>
      <c r="CO325">
        <v>0</v>
      </c>
      <c r="CP325">
        <f>(P325+Q325+S325)</f>
        <v>6436.52</v>
      </c>
      <c r="CQ325">
        <f>(AC325*BC325*AW325)</f>
        <v>561.54</v>
      </c>
      <c r="CR325">
        <f>((((ET325)*BB325-(EU325)*BS325)+AE325*BS325)*AV325)</f>
        <v>191.33</v>
      </c>
      <c r="CS325">
        <f>(AE325*BS325*AV325)</f>
        <v>107.64</v>
      </c>
      <c r="CT325">
        <f>(AF325*BA325*AV325)</f>
        <v>141.09</v>
      </c>
      <c r="CU325">
        <f>AG325</f>
        <v>0</v>
      </c>
      <c r="CV325">
        <f>(AH325*AV325)</f>
        <v>0.66</v>
      </c>
      <c r="CW325">
        <f t="shared" si="276"/>
        <v>0</v>
      </c>
      <c r="CX325">
        <f t="shared" si="276"/>
        <v>0</v>
      </c>
      <c r="CY325">
        <f>((S325*BZ325)/100)</f>
        <v>711.09500000000003</v>
      </c>
      <c r="CZ325">
        <f>((S325*CA325)/100)</f>
        <v>101.58499999999999</v>
      </c>
      <c r="DC325" t="s">
        <v>3</v>
      </c>
      <c r="DD325" t="s">
        <v>3</v>
      </c>
      <c r="DE325" t="s">
        <v>3</v>
      </c>
      <c r="DF325" t="s">
        <v>3</v>
      </c>
      <c r="DG325" t="s">
        <v>3</v>
      </c>
      <c r="DH325" t="s">
        <v>3</v>
      </c>
      <c r="DI325" t="s">
        <v>3</v>
      </c>
      <c r="DJ325" t="s">
        <v>3</v>
      </c>
      <c r="DK325" t="s">
        <v>3</v>
      </c>
      <c r="DL325" t="s">
        <v>3</v>
      </c>
      <c r="DM325" t="s">
        <v>3</v>
      </c>
      <c r="DN325">
        <v>0</v>
      </c>
      <c r="DO325">
        <v>0</v>
      </c>
      <c r="DP325">
        <v>1</v>
      </c>
      <c r="DQ325">
        <v>1</v>
      </c>
      <c r="DU325">
        <v>1003</v>
      </c>
      <c r="DV325" t="s">
        <v>307</v>
      </c>
      <c r="DW325" t="s">
        <v>307</v>
      </c>
      <c r="DX325">
        <v>1</v>
      </c>
      <c r="EE325">
        <v>52362078</v>
      </c>
      <c r="EF325">
        <v>1</v>
      </c>
      <c r="EG325" t="s">
        <v>22</v>
      </c>
      <c r="EH325">
        <v>0</v>
      </c>
      <c r="EI325" t="s">
        <v>3</v>
      </c>
      <c r="EJ325">
        <v>4</v>
      </c>
      <c r="EK325">
        <v>0</v>
      </c>
      <c r="EL325" t="s">
        <v>23</v>
      </c>
      <c r="EM325" t="s">
        <v>24</v>
      </c>
      <c r="EO325" t="s">
        <v>3</v>
      </c>
      <c r="EQ325">
        <v>0</v>
      </c>
      <c r="ER325">
        <v>893.96</v>
      </c>
      <c r="ES325">
        <v>561.54</v>
      </c>
      <c r="ET325">
        <v>191.33</v>
      </c>
      <c r="EU325">
        <v>107.64</v>
      </c>
      <c r="EV325">
        <v>141.09</v>
      </c>
      <c r="EW325">
        <v>0.66</v>
      </c>
      <c r="EX325">
        <v>0</v>
      </c>
      <c r="EY325">
        <v>0</v>
      </c>
      <c r="FQ325">
        <v>0</v>
      </c>
      <c r="FR325">
        <f>ROUND(IF(AND(BH325=3,BI325=3),P325,0),2)</f>
        <v>0</v>
      </c>
      <c r="FS325">
        <v>0</v>
      </c>
      <c r="FX325">
        <v>70</v>
      </c>
      <c r="FY325">
        <v>10</v>
      </c>
      <c r="GA325" t="s">
        <v>3</v>
      </c>
      <c r="GD325">
        <v>0</v>
      </c>
      <c r="GF325">
        <v>1269382655</v>
      </c>
      <c r="GG325">
        <v>2</v>
      </c>
      <c r="GH325">
        <v>1</v>
      </c>
      <c r="GI325">
        <v>-2</v>
      </c>
      <c r="GJ325">
        <v>0</v>
      </c>
      <c r="GK325">
        <f>ROUND(R325*(R12)/100,2)</f>
        <v>837.01</v>
      </c>
      <c r="GL325">
        <f>ROUND(IF(AND(BH325=3,BI325=3,FS325&lt;&gt;0),P325,0),2)</f>
        <v>0</v>
      </c>
      <c r="GM325">
        <f>ROUND(O325+X325+Y325+GK325,2)+GX325</f>
        <v>8086.22</v>
      </c>
      <c r="GN325">
        <f>IF(OR(BI325=0,BI325=1),ROUND(O325+X325+Y325+GK325,2),0)</f>
        <v>0</v>
      </c>
      <c r="GO325">
        <f>IF(BI325=2,ROUND(O325+X325+Y325+GK325,2),0)</f>
        <v>0</v>
      </c>
      <c r="GP325">
        <f>IF(BI325=4,ROUND(O325+X325+Y325+GK325,2)+GX325,0)</f>
        <v>8086.22</v>
      </c>
      <c r="GR325">
        <v>0</v>
      </c>
      <c r="GS325">
        <v>3</v>
      </c>
      <c r="GT325">
        <v>0</v>
      </c>
      <c r="GU325" t="s">
        <v>3</v>
      </c>
      <c r="GV325">
        <f>ROUND((GT325),6)</f>
        <v>0</v>
      </c>
      <c r="GW325">
        <v>1</v>
      </c>
      <c r="GX325">
        <f>ROUND(HC325*I325,2)</f>
        <v>0</v>
      </c>
      <c r="HA325">
        <v>0</v>
      </c>
      <c r="HB325">
        <v>0</v>
      </c>
      <c r="HC325">
        <f>GV325*GW325</f>
        <v>0</v>
      </c>
      <c r="HE325" t="s">
        <v>3</v>
      </c>
      <c r="HF325" t="s">
        <v>3</v>
      </c>
      <c r="IK325">
        <v>0</v>
      </c>
    </row>
    <row r="327" spans="1:245" x14ac:dyDescent="0.2">
      <c r="A327" s="2">
        <v>51</v>
      </c>
      <c r="B327" s="2">
        <f>B319</f>
        <v>1</v>
      </c>
      <c r="C327" s="2">
        <f>A319</f>
        <v>5</v>
      </c>
      <c r="D327" s="2">
        <f>ROW(A319)</f>
        <v>319</v>
      </c>
      <c r="E327" s="2"/>
      <c r="F327" s="2" t="str">
        <f>IF(F319&lt;&gt;"",F319,"")</f>
        <v>Новый подраздел</v>
      </c>
      <c r="G327" s="2" t="str">
        <f>IF(G319&lt;&gt;"",G319,"")</f>
        <v>Ремонт асфальта</v>
      </c>
      <c r="H327" s="2">
        <v>0</v>
      </c>
      <c r="I327" s="2"/>
      <c r="J327" s="2"/>
      <c r="K327" s="2"/>
      <c r="L327" s="2"/>
      <c r="M327" s="2"/>
      <c r="N327" s="2"/>
      <c r="O327" s="2">
        <f t="shared" ref="O327:T327" si="277">ROUND(AB327,2)</f>
        <v>54958.12</v>
      </c>
      <c r="P327" s="2">
        <f t="shared" si="277"/>
        <v>21269.97</v>
      </c>
      <c r="Q327" s="2">
        <f t="shared" si="277"/>
        <v>22339.119999999999</v>
      </c>
      <c r="R327" s="2">
        <f t="shared" si="277"/>
        <v>12002.86</v>
      </c>
      <c r="S327" s="2">
        <f t="shared" si="277"/>
        <v>11349.03</v>
      </c>
      <c r="T327" s="2">
        <f t="shared" si="277"/>
        <v>0</v>
      </c>
      <c r="U327" s="2">
        <f>AH327</f>
        <v>45.602400000000003</v>
      </c>
      <c r="V327" s="2">
        <f>AI327</f>
        <v>0</v>
      </c>
      <c r="W327" s="2">
        <f>ROUND(AJ327,2)</f>
        <v>0</v>
      </c>
      <c r="X327" s="2">
        <f>ROUND(AK327,2)</f>
        <v>7944.33</v>
      </c>
      <c r="Y327" s="2">
        <f>ROUND(AL327,2)</f>
        <v>1134.9100000000001</v>
      </c>
      <c r="Z327" s="2"/>
      <c r="AA327" s="2"/>
      <c r="AB327" s="2">
        <f>ROUND(SUMIF(AA323:AA325,"=52430918",O323:O325),2)</f>
        <v>54958.12</v>
      </c>
      <c r="AC327" s="2">
        <f>ROUND(SUMIF(AA323:AA325,"=52430918",P323:P325),2)</f>
        <v>21269.97</v>
      </c>
      <c r="AD327" s="2">
        <f>ROUND(SUMIF(AA323:AA325,"=52430918",Q323:Q325),2)</f>
        <v>22339.119999999999</v>
      </c>
      <c r="AE327" s="2">
        <f>ROUND(SUMIF(AA323:AA325,"=52430918",R323:R325),2)</f>
        <v>12002.86</v>
      </c>
      <c r="AF327" s="2">
        <f>ROUND(SUMIF(AA323:AA325,"=52430918",S323:S325),2)</f>
        <v>11349.03</v>
      </c>
      <c r="AG327" s="2">
        <f>ROUND(SUMIF(AA323:AA325,"=52430918",T323:T325),2)</f>
        <v>0</v>
      </c>
      <c r="AH327" s="2">
        <f>SUMIF(AA323:AA325,"=52430918",U323:U325)</f>
        <v>45.602400000000003</v>
      </c>
      <c r="AI327" s="2">
        <f>SUMIF(AA323:AA325,"=52430918",V323:V325)</f>
        <v>0</v>
      </c>
      <c r="AJ327" s="2">
        <f>ROUND(SUMIF(AA323:AA325,"=52430918",W323:W325),2)</f>
        <v>0</v>
      </c>
      <c r="AK327" s="2">
        <f>ROUND(SUMIF(AA323:AA325,"=52430918",X323:X325),2)</f>
        <v>7944.33</v>
      </c>
      <c r="AL327" s="2">
        <f>ROUND(SUMIF(AA323:AA325,"=52430918",Y323:Y325),2)</f>
        <v>1134.9100000000001</v>
      </c>
      <c r="AM327" s="2"/>
      <c r="AN327" s="2"/>
      <c r="AO327" s="2">
        <f t="shared" ref="AO327:BD327" si="278">ROUND(BX327,2)</f>
        <v>0</v>
      </c>
      <c r="AP327" s="2">
        <f t="shared" si="278"/>
        <v>0</v>
      </c>
      <c r="AQ327" s="2">
        <f t="shared" si="278"/>
        <v>0</v>
      </c>
      <c r="AR327" s="2">
        <f t="shared" si="278"/>
        <v>77000.44</v>
      </c>
      <c r="AS327" s="2">
        <f t="shared" si="278"/>
        <v>0</v>
      </c>
      <c r="AT327" s="2">
        <f t="shared" si="278"/>
        <v>0</v>
      </c>
      <c r="AU327" s="2">
        <f t="shared" si="278"/>
        <v>77000.44</v>
      </c>
      <c r="AV327" s="2">
        <f t="shared" si="278"/>
        <v>21269.97</v>
      </c>
      <c r="AW327" s="2">
        <f t="shared" si="278"/>
        <v>21269.97</v>
      </c>
      <c r="AX327" s="2">
        <f t="shared" si="278"/>
        <v>0</v>
      </c>
      <c r="AY327" s="2">
        <f t="shared" si="278"/>
        <v>21269.97</v>
      </c>
      <c r="AZ327" s="2">
        <f t="shared" si="278"/>
        <v>0</v>
      </c>
      <c r="BA327" s="2">
        <f t="shared" si="278"/>
        <v>0</v>
      </c>
      <c r="BB327" s="2">
        <f t="shared" si="278"/>
        <v>0</v>
      </c>
      <c r="BC327" s="2">
        <f t="shared" si="278"/>
        <v>0</v>
      </c>
      <c r="BD327" s="2">
        <f t="shared" si="278"/>
        <v>0</v>
      </c>
      <c r="BE327" s="2"/>
      <c r="BF327" s="2"/>
      <c r="BG327" s="2"/>
      <c r="BH327" s="2"/>
      <c r="BI327" s="2"/>
      <c r="BJ327" s="2"/>
      <c r="BK327" s="2"/>
      <c r="BL327" s="2"/>
      <c r="BM327" s="2"/>
      <c r="BN327" s="2"/>
      <c r="BO327" s="2"/>
      <c r="BP327" s="2"/>
      <c r="BQ327" s="2"/>
      <c r="BR327" s="2"/>
      <c r="BS327" s="2"/>
      <c r="BT327" s="2"/>
      <c r="BU327" s="2"/>
      <c r="BV327" s="2"/>
      <c r="BW327" s="2"/>
      <c r="BX327" s="2">
        <f>ROUND(SUMIF(AA323:AA325,"=52430918",FQ323:FQ325),2)</f>
        <v>0</v>
      </c>
      <c r="BY327" s="2">
        <f>ROUND(SUMIF(AA323:AA325,"=52430918",FR323:FR325),2)</f>
        <v>0</v>
      </c>
      <c r="BZ327" s="2">
        <f>ROUND(SUMIF(AA323:AA325,"=52430918",GL323:GL325),2)</f>
        <v>0</v>
      </c>
      <c r="CA327" s="2">
        <f>ROUND(SUMIF(AA323:AA325,"=52430918",GM323:GM325),2)</f>
        <v>77000.44</v>
      </c>
      <c r="CB327" s="2">
        <f>ROUND(SUMIF(AA323:AA325,"=52430918",GN323:GN325),2)</f>
        <v>0</v>
      </c>
      <c r="CC327" s="2">
        <f>ROUND(SUMIF(AA323:AA325,"=52430918",GO323:GO325),2)</f>
        <v>0</v>
      </c>
      <c r="CD327" s="2">
        <f>ROUND(SUMIF(AA323:AA325,"=52430918",GP323:GP325),2)</f>
        <v>77000.44</v>
      </c>
      <c r="CE327" s="2">
        <f>AC327-BX327</f>
        <v>21269.97</v>
      </c>
      <c r="CF327" s="2">
        <f>AC327-BY327</f>
        <v>21269.97</v>
      </c>
      <c r="CG327" s="2">
        <f>BX327-BZ327</f>
        <v>0</v>
      </c>
      <c r="CH327" s="2">
        <f>AC327-BX327-BY327+BZ327</f>
        <v>21269.97</v>
      </c>
      <c r="CI327" s="2">
        <f>BY327-BZ327</f>
        <v>0</v>
      </c>
      <c r="CJ327" s="2">
        <f>ROUND(SUMIF(AA323:AA325,"=52430918",GX323:GX325),2)</f>
        <v>0</v>
      </c>
      <c r="CK327" s="2">
        <f>ROUND(SUMIF(AA323:AA325,"=52430918",GY323:GY325),2)</f>
        <v>0</v>
      </c>
      <c r="CL327" s="2">
        <f>ROUND(SUMIF(AA323:AA325,"=52430918",GZ323:GZ325),2)</f>
        <v>0</v>
      </c>
      <c r="CM327" s="2">
        <f>ROUND(SUMIF(AA323:AA325,"=52430918",HD323:HD325),2)</f>
        <v>0</v>
      </c>
      <c r="CN327" s="2"/>
      <c r="CO327" s="2"/>
      <c r="CP327" s="2"/>
      <c r="CQ327" s="2"/>
      <c r="CR327" s="2"/>
      <c r="CS327" s="2"/>
      <c r="CT327" s="2"/>
      <c r="CU327" s="2"/>
      <c r="CV327" s="2"/>
      <c r="CW327" s="2"/>
      <c r="CX327" s="2"/>
      <c r="CY327" s="2"/>
      <c r="CZ327" s="2"/>
      <c r="DA327" s="2"/>
      <c r="DB327" s="2"/>
      <c r="DC327" s="2"/>
      <c r="DD327" s="2"/>
      <c r="DE327" s="2"/>
      <c r="DF327" s="2"/>
      <c r="DG327" s="3"/>
      <c r="DH327" s="3"/>
      <c r="DI327" s="3"/>
      <c r="DJ327" s="3"/>
      <c r="DK327" s="3"/>
      <c r="DL327" s="3"/>
      <c r="DM327" s="3"/>
      <c r="DN327" s="3"/>
      <c r="DO327" s="3"/>
      <c r="DP327" s="3"/>
      <c r="DQ327" s="3"/>
      <c r="DR327" s="3"/>
      <c r="DS327" s="3"/>
      <c r="DT327" s="3"/>
      <c r="DU327" s="3"/>
      <c r="DV327" s="3"/>
      <c r="DW327" s="3"/>
      <c r="DX327" s="3"/>
      <c r="DY327" s="3"/>
      <c r="DZ327" s="3"/>
      <c r="EA327" s="3"/>
      <c r="EB327" s="3"/>
      <c r="EC327" s="3"/>
      <c r="ED327" s="3"/>
      <c r="EE327" s="3"/>
      <c r="EF327" s="3"/>
      <c r="EG327" s="3"/>
      <c r="EH327" s="3"/>
      <c r="EI327" s="3"/>
      <c r="EJ327" s="3"/>
      <c r="EK327" s="3"/>
      <c r="EL327" s="3"/>
      <c r="EM327" s="3"/>
      <c r="EN327" s="3"/>
      <c r="EO327" s="3"/>
      <c r="EP327" s="3"/>
      <c r="EQ327" s="3"/>
      <c r="ER327" s="3"/>
      <c r="ES327" s="3"/>
      <c r="ET327" s="3"/>
      <c r="EU327" s="3"/>
      <c r="EV327" s="3"/>
      <c r="EW327" s="3"/>
      <c r="EX327" s="3"/>
      <c r="EY327" s="3"/>
      <c r="EZ327" s="3"/>
      <c r="FA327" s="3"/>
      <c r="FB327" s="3"/>
      <c r="FC327" s="3"/>
      <c r="FD327" s="3"/>
      <c r="FE327" s="3"/>
      <c r="FF327" s="3"/>
      <c r="FG327" s="3"/>
      <c r="FH327" s="3"/>
      <c r="FI327" s="3"/>
      <c r="FJ327" s="3"/>
      <c r="FK327" s="3"/>
      <c r="FL327" s="3"/>
      <c r="FM327" s="3"/>
      <c r="FN327" s="3"/>
      <c r="FO327" s="3"/>
      <c r="FP327" s="3"/>
      <c r="FQ327" s="3"/>
      <c r="FR327" s="3"/>
      <c r="FS327" s="3"/>
      <c r="FT327" s="3"/>
      <c r="FU327" s="3"/>
      <c r="FV327" s="3"/>
      <c r="FW327" s="3"/>
      <c r="FX327" s="3"/>
      <c r="FY327" s="3"/>
      <c r="FZ327" s="3"/>
      <c r="GA327" s="3"/>
      <c r="GB327" s="3"/>
      <c r="GC327" s="3"/>
      <c r="GD327" s="3"/>
      <c r="GE327" s="3"/>
      <c r="GF327" s="3"/>
      <c r="GG327" s="3"/>
      <c r="GH327" s="3"/>
      <c r="GI327" s="3"/>
      <c r="GJ327" s="3"/>
      <c r="GK327" s="3"/>
      <c r="GL327" s="3"/>
      <c r="GM327" s="3"/>
      <c r="GN327" s="3"/>
      <c r="GO327" s="3"/>
      <c r="GP327" s="3"/>
      <c r="GQ327" s="3"/>
      <c r="GR327" s="3"/>
      <c r="GS327" s="3"/>
      <c r="GT327" s="3"/>
      <c r="GU327" s="3"/>
      <c r="GV327" s="3"/>
      <c r="GW327" s="3"/>
      <c r="GX327" s="3">
        <v>0</v>
      </c>
    </row>
    <row r="329" spans="1:245" x14ac:dyDescent="0.2">
      <c r="A329" s="4">
        <v>50</v>
      </c>
      <c r="B329" s="4">
        <v>0</v>
      </c>
      <c r="C329" s="4">
        <v>0</v>
      </c>
      <c r="D329" s="4">
        <v>1</v>
      </c>
      <c r="E329" s="4">
        <v>201</v>
      </c>
      <c r="F329" s="4">
        <f>ROUND(Source!O327,O329)</f>
        <v>54958.12</v>
      </c>
      <c r="G329" s="4" t="s">
        <v>118</v>
      </c>
      <c r="H329" s="4" t="s">
        <v>119</v>
      </c>
      <c r="I329" s="4"/>
      <c r="J329" s="4"/>
      <c r="K329" s="4">
        <v>201</v>
      </c>
      <c r="L329" s="4">
        <v>1</v>
      </c>
      <c r="M329" s="4">
        <v>3</v>
      </c>
      <c r="N329" s="4" t="s">
        <v>3</v>
      </c>
      <c r="O329" s="4">
        <v>2</v>
      </c>
      <c r="P329" s="4"/>
      <c r="Q329" s="4"/>
      <c r="R329" s="4"/>
      <c r="S329" s="4"/>
      <c r="T329" s="4"/>
      <c r="U329" s="4"/>
      <c r="V329" s="4"/>
      <c r="W329" s="4"/>
    </row>
    <row r="330" spans="1:245" x14ac:dyDescent="0.2">
      <c r="A330" s="4">
        <v>50</v>
      </c>
      <c r="B330" s="4">
        <v>0</v>
      </c>
      <c r="C330" s="4">
        <v>0</v>
      </c>
      <c r="D330" s="4">
        <v>1</v>
      </c>
      <c r="E330" s="4">
        <v>202</v>
      </c>
      <c r="F330" s="4">
        <f>ROUND(Source!P327,O330)</f>
        <v>21269.97</v>
      </c>
      <c r="G330" s="4" t="s">
        <v>120</v>
      </c>
      <c r="H330" s="4" t="s">
        <v>121</v>
      </c>
      <c r="I330" s="4"/>
      <c r="J330" s="4"/>
      <c r="K330" s="4">
        <v>202</v>
      </c>
      <c r="L330" s="4">
        <v>2</v>
      </c>
      <c r="M330" s="4">
        <v>3</v>
      </c>
      <c r="N330" s="4" t="s">
        <v>3</v>
      </c>
      <c r="O330" s="4">
        <v>2</v>
      </c>
      <c r="P330" s="4"/>
      <c r="Q330" s="4"/>
      <c r="R330" s="4"/>
      <c r="S330" s="4"/>
      <c r="T330" s="4"/>
      <c r="U330" s="4"/>
      <c r="V330" s="4"/>
      <c r="W330" s="4"/>
    </row>
    <row r="331" spans="1:245" x14ac:dyDescent="0.2">
      <c r="A331" s="4">
        <v>50</v>
      </c>
      <c r="B331" s="4">
        <v>0</v>
      </c>
      <c r="C331" s="4">
        <v>0</v>
      </c>
      <c r="D331" s="4">
        <v>1</v>
      </c>
      <c r="E331" s="4">
        <v>222</v>
      </c>
      <c r="F331" s="4">
        <f>ROUND(Source!AO327,O331)</f>
        <v>0</v>
      </c>
      <c r="G331" s="4" t="s">
        <v>122</v>
      </c>
      <c r="H331" s="4" t="s">
        <v>123</v>
      </c>
      <c r="I331" s="4"/>
      <c r="J331" s="4"/>
      <c r="K331" s="4">
        <v>222</v>
      </c>
      <c r="L331" s="4">
        <v>3</v>
      </c>
      <c r="M331" s="4">
        <v>3</v>
      </c>
      <c r="N331" s="4" t="s">
        <v>3</v>
      </c>
      <c r="O331" s="4">
        <v>2</v>
      </c>
      <c r="P331" s="4"/>
      <c r="Q331" s="4"/>
      <c r="R331" s="4"/>
      <c r="S331" s="4"/>
      <c r="T331" s="4"/>
      <c r="U331" s="4"/>
      <c r="V331" s="4"/>
      <c r="W331" s="4"/>
    </row>
    <row r="332" spans="1:245" x14ac:dyDescent="0.2">
      <c r="A332" s="4">
        <v>50</v>
      </c>
      <c r="B332" s="4">
        <v>0</v>
      </c>
      <c r="C332" s="4">
        <v>0</v>
      </c>
      <c r="D332" s="4">
        <v>1</v>
      </c>
      <c r="E332" s="4">
        <v>225</v>
      </c>
      <c r="F332" s="4">
        <f>ROUND(Source!AV327,O332)</f>
        <v>21269.97</v>
      </c>
      <c r="G332" s="4" t="s">
        <v>124</v>
      </c>
      <c r="H332" s="4" t="s">
        <v>125</v>
      </c>
      <c r="I332" s="4"/>
      <c r="J332" s="4"/>
      <c r="K332" s="4">
        <v>225</v>
      </c>
      <c r="L332" s="4">
        <v>4</v>
      </c>
      <c r="M332" s="4">
        <v>3</v>
      </c>
      <c r="N332" s="4" t="s">
        <v>3</v>
      </c>
      <c r="O332" s="4">
        <v>2</v>
      </c>
      <c r="P332" s="4"/>
      <c r="Q332" s="4"/>
      <c r="R332" s="4"/>
      <c r="S332" s="4"/>
      <c r="T332" s="4"/>
      <c r="U332" s="4"/>
      <c r="V332" s="4"/>
      <c r="W332" s="4"/>
    </row>
    <row r="333" spans="1:245" x14ac:dyDescent="0.2">
      <c r="A333" s="4">
        <v>50</v>
      </c>
      <c r="B333" s="4">
        <v>0</v>
      </c>
      <c r="C333" s="4">
        <v>0</v>
      </c>
      <c r="D333" s="4">
        <v>1</v>
      </c>
      <c r="E333" s="4">
        <v>226</v>
      </c>
      <c r="F333" s="4">
        <f>ROUND(Source!AW327,O333)</f>
        <v>21269.97</v>
      </c>
      <c r="G333" s="4" t="s">
        <v>126</v>
      </c>
      <c r="H333" s="4" t="s">
        <v>127</v>
      </c>
      <c r="I333" s="4"/>
      <c r="J333" s="4"/>
      <c r="K333" s="4">
        <v>226</v>
      </c>
      <c r="L333" s="4">
        <v>5</v>
      </c>
      <c r="M333" s="4">
        <v>3</v>
      </c>
      <c r="N333" s="4" t="s">
        <v>3</v>
      </c>
      <c r="O333" s="4">
        <v>2</v>
      </c>
      <c r="P333" s="4"/>
      <c r="Q333" s="4"/>
      <c r="R333" s="4"/>
      <c r="S333" s="4"/>
      <c r="T333" s="4"/>
      <c r="U333" s="4"/>
      <c r="V333" s="4"/>
      <c r="W333" s="4"/>
    </row>
    <row r="334" spans="1:245" x14ac:dyDescent="0.2">
      <c r="A334" s="4">
        <v>50</v>
      </c>
      <c r="B334" s="4">
        <v>0</v>
      </c>
      <c r="C334" s="4">
        <v>0</v>
      </c>
      <c r="D334" s="4">
        <v>1</v>
      </c>
      <c r="E334" s="4">
        <v>227</v>
      </c>
      <c r="F334" s="4">
        <f>ROUND(Source!AX327,O334)</f>
        <v>0</v>
      </c>
      <c r="G334" s="4" t="s">
        <v>128</v>
      </c>
      <c r="H334" s="4" t="s">
        <v>129</v>
      </c>
      <c r="I334" s="4"/>
      <c r="J334" s="4"/>
      <c r="K334" s="4">
        <v>227</v>
      </c>
      <c r="L334" s="4">
        <v>6</v>
      </c>
      <c r="M334" s="4">
        <v>3</v>
      </c>
      <c r="N334" s="4" t="s">
        <v>3</v>
      </c>
      <c r="O334" s="4">
        <v>2</v>
      </c>
      <c r="P334" s="4"/>
      <c r="Q334" s="4"/>
      <c r="R334" s="4"/>
      <c r="S334" s="4"/>
      <c r="T334" s="4"/>
      <c r="U334" s="4"/>
      <c r="V334" s="4"/>
      <c r="W334" s="4"/>
    </row>
    <row r="335" spans="1:245" x14ac:dyDescent="0.2">
      <c r="A335" s="4">
        <v>50</v>
      </c>
      <c r="B335" s="4">
        <v>0</v>
      </c>
      <c r="C335" s="4">
        <v>0</v>
      </c>
      <c r="D335" s="4">
        <v>1</v>
      </c>
      <c r="E335" s="4">
        <v>228</v>
      </c>
      <c r="F335" s="4">
        <f>ROUND(Source!AY327,O335)</f>
        <v>21269.97</v>
      </c>
      <c r="G335" s="4" t="s">
        <v>130</v>
      </c>
      <c r="H335" s="4" t="s">
        <v>131</v>
      </c>
      <c r="I335" s="4"/>
      <c r="J335" s="4"/>
      <c r="K335" s="4">
        <v>228</v>
      </c>
      <c r="L335" s="4">
        <v>7</v>
      </c>
      <c r="M335" s="4">
        <v>3</v>
      </c>
      <c r="N335" s="4" t="s">
        <v>3</v>
      </c>
      <c r="O335" s="4">
        <v>2</v>
      </c>
      <c r="P335" s="4"/>
      <c r="Q335" s="4"/>
      <c r="R335" s="4"/>
      <c r="S335" s="4"/>
      <c r="T335" s="4"/>
      <c r="U335" s="4"/>
      <c r="V335" s="4"/>
      <c r="W335" s="4"/>
    </row>
    <row r="336" spans="1:245" x14ac:dyDescent="0.2">
      <c r="A336" s="4">
        <v>50</v>
      </c>
      <c r="B336" s="4">
        <v>0</v>
      </c>
      <c r="C336" s="4">
        <v>0</v>
      </c>
      <c r="D336" s="4">
        <v>1</v>
      </c>
      <c r="E336" s="4">
        <v>216</v>
      </c>
      <c r="F336" s="4">
        <f>ROUND(Source!AP327,O336)</f>
        <v>0</v>
      </c>
      <c r="G336" s="4" t="s">
        <v>132</v>
      </c>
      <c r="H336" s="4" t="s">
        <v>133</v>
      </c>
      <c r="I336" s="4"/>
      <c r="J336" s="4"/>
      <c r="K336" s="4">
        <v>216</v>
      </c>
      <c r="L336" s="4">
        <v>8</v>
      </c>
      <c r="M336" s="4">
        <v>3</v>
      </c>
      <c r="N336" s="4" t="s">
        <v>3</v>
      </c>
      <c r="O336" s="4">
        <v>2</v>
      </c>
      <c r="P336" s="4"/>
      <c r="Q336" s="4"/>
      <c r="R336" s="4"/>
      <c r="S336" s="4"/>
      <c r="T336" s="4"/>
      <c r="U336" s="4"/>
      <c r="V336" s="4"/>
      <c r="W336" s="4"/>
    </row>
    <row r="337" spans="1:23" x14ac:dyDescent="0.2">
      <c r="A337" s="4">
        <v>50</v>
      </c>
      <c r="B337" s="4">
        <v>0</v>
      </c>
      <c r="C337" s="4">
        <v>0</v>
      </c>
      <c r="D337" s="4">
        <v>1</v>
      </c>
      <c r="E337" s="4">
        <v>223</v>
      </c>
      <c r="F337" s="4">
        <f>ROUND(Source!AQ327,O337)</f>
        <v>0</v>
      </c>
      <c r="G337" s="4" t="s">
        <v>134</v>
      </c>
      <c r="H337" s="4" t="s">
        <v>135</v>
      </c>
      <c r="I337" s="4"/>
      <c r="J337" s="4"/>
      <c r="K337" s="4">
        <v>223</v>
      </c>
      <c r="L337" s="4">
        <v>9</v>
      </c>
      <c r="M337" s="4">
        <v>3</v>
      </c>
      <c r="N337" s="4" t="s">
        <v>3</v>
      </c>
      <c r="O337" s="4">
        <v>2</v>
      </c>
      <c r="P337" s="4"/>
      <c r="Q337" s="4"/>
      <c r="R337" s="4"/>
      <c r="S337" s="4"/>
      <c r="T337" s="4"/>
      <c r="U337" s="4"/>
      <c r="V337" s="4"/>
      <c r="W337" s="4"/>
    </row>
    <row r="338" spans="1:23" x14ac:dyDescent="0.2">
      <c r="A338" s="4">
        <v>50</v>
      </c>
      <c r="B338" s="4">
        <v>0</v>
      </c>
      <c r="C338" s="4">
        <v>0</v>
      </c>
      <c r="D338" s="4">
        <v>1</v>
      </c>
      <c r="E338" s="4">
        <v>229</v>
      </c>
      <c r="F338" s="4">
        <f>ROUND(Source!AZ327,O338)</f>
        <v>0</v>
      </c>
      <c r="G338" s="4" t="s">
        <v>136</v>
      </c>
      <c r="H338" s="4" t="s">
        <v>137</v>
      </c>
      <c r="I338" s="4"/>
      <c r="J338" s="4"/>
      <c r="K338" s="4">
        <v>229</v>
      </c>
      <c r="L338" s="4">
        <v>10</v>
      </c>
      <c r="M338" s="4">
        <v>3</v>
      </c>
      <c r="N338" s="4" t="s">
        <v>3</v>
      </c>
      <c r="O338" s="4">
        <v>2</v>
      </c>
      <c r="P338" s="4"/>
      <c r="Q338" s="4"/>
      <c r="R338" s="4"/>
      <c r="S338" s="4"/>
      <c r="T338" s="4"/>
      <c r="U338" s="4"/>
      <c r="V338" s="4"/>
      <c r="W338" s="4"/>
    </row>
    <row r="339" spans="1:23" x14ac:dyDescent="0.2">
      <c r="A339" s="4">
        <v>50</v>
      </c>
      <c r="B339" s="4">
        <v>0</v>
      </c>
      <c r="C339" s="4">
        <v>0</v>
      </c>
      <c r="D339" s="4">
        <v>1</v>
      </c>
      <c r="E339" s="4">
        <v>203</v>
      </c>
      <c r="F339" s="4">
        <f>ROUND(Source!Q327,O339)</f>
        <v>22339.119999999999</v>
      </c>
      <c r="G339" s="4" t="s">
        <v>138</v>
      </c>
      <c r="H339" s="4" t="s">
        <v>139</v>
      </c>
      <c r="I339" s="4"/>
      <c r="J339" s="4"/>
      <c r="K339" s="4">
        <v>203</v>
      </c>
      <c r="L339" s="4">
        <v>11</v>
      </c>
      <c r="M339" s="4">
        <v>3</v>
      </c>
      <c r="N339" s="4" t="s">
        <v>3</v>
      </c>
      <c r="O339" s="4">
        <v>2</v>
      </c>
      <c r="P339" s="4"/>
      <c r="Q339" s="4"/>
      <c r="R339" s="4"/>
      <c r="S339" s="4"/>
      <c r="T339" s="4"/>
      <c r="U339" s="4"/>
      <c r="V339" s="4"/>
      <c r="W339" s="4"/>
    </row>
    <row r="340" spans="1:23" x14ac:dyDescent="0.2">
      <c r="A340" s="4">
        <v>50</v>
      </c>
      <c r="B340" s="4">
        <v>0</v>
      </c>
      <c r="C340" s="4">
        <v>0</v>
      </c>
      <c r="D340" s="4">
        <v>1</v>
      </c>
      <c r="E340" s="4">
        <v>231</v>
      </c>
      <c r="F340" s="4">
        <f>ROUND(Source!BB327,O340)</f>
        <v>0</v>
      </c>
      <c r="G340" s="4" t="s">
        <v>140</v>
      </c>
      <c r="H340" s="4" t="s">
        <v>141</v>
      </c>
      <c r="I340" s="4"/>
      <c r="J340" s="4"/>
      <c r="K340" s="4">
        <v>231</v>
      </c>
      <c r="L340" s="4">
        <v>12</v>
      </c>
      <c r="M340" s="4">
        <v>3</v>
      </c>
      <c r="N340" s="4" t="s">
        <v>3</v>
      </c>
      <c r="O340" s="4">
        <v>2</v>
      </c>
      <c r="P340" s="4"/>
      <c r="Q340" s="4"/>
      <c r="R340" s="4"/>
      <c r="S340" s="4"/>
      <c r="T340" s="4"/>
      <c r="U340" s="4"/>
      <c r="V340" s="4"/>
      <c r="W340" s="4"/>
    </row>
    <row r="341" spans="1:23" x14ac:dyDescent="0.2">
      <c r="A341" s="4">
        <v>50</v>
      </c>
      <c r="B341" s="4">
        <v>0</v>
      </c>
      <c r="C341" s="4">
        <v>0</v>
      </c>
      <c r="D341" s="4">
        <v>1</v>
      </c>
      <c r="E341" s="4">
        <v>204</v>
      </c>
      <c r="F341" s="4">
        <f>ROUND(Source!R327,O341)</f>
        <v>12002.86</v>
      </c>
      <c r="G341" s="4" t="s">
        <v>142</v>
      </c>
      <c r="H341" s="4" t="s">
        <v>143</v>
      </c>
      <c r="I341" s="4"/>
      <c r="J341" s="4"/>
      <c r="K341" s="4">
        <v>204</v>
      </c>
      <c r="L341" s="4">
        <v>13</v>
      </c>
      <c r="M341" s="4">
        <v>3</v>
      </c>
      <c r="N341" s="4" t="s">
        <v>3</v>
      </c>
      <c r="O341" s="4">
        <v>2</v>
      </c>
      <c r="P341" s="4"/>
      <c r="Q341" s="4"/>
      <c r="R341" s="4"/>
      <c r="S341" s="4"/>
      <c r="T341" s="4"/>
      <c r="U341" s="4"/>
      <c r="V341" s="4"/>
      <c r="W341" s="4"/>
    </row>
    <row r="342" spans="1:23" x14ac:dyDescent="0.2">
      <c r="A342" s="4">
        <v>50</v>
      </c>
      <c r="B342" s="4">
        <v>0</v>
      </c>
      <c r="C342" s="4">
        <v>0</v>
      </c>
      <c r="D342" s="4">
        <v>1</v>
      </c>
      <c r="E342" s="4">
        <v>205</v>
      </c>
      <c r="F342" s="4">
        <f>ROUND(Source!S327,O342)</f>
        <v>11349.03</v>
      </c>
      <c r="G342" s="4" t="s">
        <v>144</v>
      </c>
      <c r="H342" s="4" t="s">
        <v>145</v>
      </c>
      <c r="I342" s="4"/>
      <c r="J342" s="4"/>
      <c r="K342" s="4">
        <v>205</v>
      </c>
      <c r="L342" s="4">
        <v>14</v>
      </c>
      <c r="M342" s="4">
        <v>3</v>
      </c>
      <c r="N342" s="4" t="s">
        <v>3</v>
      </c>
      <c r="O342" s="4">
        <v>2</v>
      </c>
      <c r="P342" s="4"/>
      <c r="Q342" s="4"/>
      <c r="R342" s="4"/>
      <c r="S342" s="4"/>
      <c r="T342" s="4"/>
      <c r="U342" s="4"/>
      <c r="V342" s="4"/>
      <c r="W342" s="4"/>
    </row>
    <row r="343" spans="1:23" x14ac:dyDescent="0.2">
      <c r="A343" s="4">
        <v>50</v>
      </c>
      <c r="B343" s="4">
        <v>0</v>
      </c>
      <c r="C343" s="4">
        <v>0</v>
      </c>
      <c r="D343" s="4">
        <v>1</v>
      </c>
      <c r="E343" s="4">
        <v>232</v>
      </c>
      <c r="F343" s="4">
        <f>ROUND(Source!BC327,O343)</f>
        <v>0</v>
      </c>
      <c r="G343" s="4" t="s">
        <v>146</v>
      </c>
      <c r="H343" s="4" t="s">
        <v>147</v>
      </c>
      <c r="I343" s="4"/>
      <c r="J343" s="4"/>
      <c r="K343" s="4">
        <v>232</v>
      </c>
      <c r="L343" s="4">
        <v>15</v>
      </c>
      <c r="M343" s="4">
        <v>3</v>
      </c>
      <c r="N343" s="4" t="s">
        <v>3</v>
      </c>
      <c r="O343" s="4">
        <v>2</v>
      </c>
      <c r="P343" s="4"/>
      <c r="Q343" s="4"/>
      <c r="R343" s="4"/>
      <c r="S343" s="4"/>
      <c r="T343" s="4"/>
      <c r="U343" s="4"/>
      <c r="V343" s="4"/>
      <c r="W343" s="4"/>
    </row>
    <row r="344" spans="1:23" x14ac:dyDescent="0.2">
      <c r="A344" s="4">
        <v>50</v>
      </c>
      <c r="B344" s="4">
        <v>0</v>
      </c>
      <c r="C344" s="4">
        <v>0</v>
      </c>
      <c r="D344" s="4">
        <v>1</v>
      </c>
      <c r="E344" s="4">
        <v>214</v>
      </c>
      <c r="F344" s="4">
        <f>ROUND(Source!AS327,O344)</f>
        <v>0</v>
      </c>
      <c r="G344" s="4" t="s">
        <v>148</v>
      </c>
      <c r="H344" s="4" t="s">
        <v>149</v>
      </c>
      <c r="I344" s="4"/>
      <c r="J344" s="4"/>
      <c r="K344" s="4">
        <v>214</v>
      </c>
      <c r="L344" s="4">
        <v>16</v>
      </c>
      <c r="M344" s="4">
        <v>3</v>
      </c>
      <c r="N344" s="4" t="s">
        <v>3</v>
      </c>
      <c r="O344" s="4">
        <v>2</v>
      </c>
      <c r="P344" s="4"/>
      <c r="Q344" s="4"/>
      <c r="R344" s="4"/>
      <c r="S344" s="4"/>
      <c r="T344" s="4"/>
      <c r="U344" s="4"/>
      <c r="V344" s="4"/>
      <c r="W344" s="4"/>
    </row>
    <row r="345" spans="1:23" x14ac:dyDescent="0.2">
      <c r="A345" s="4">
        <v>50</v>
      </c>
      <c r="B345" s="4">
        <v>0</v>
      </c>
      <c r="C345" s="4">
        <v>0</v>
      </c>
      <c r="D345" s="4">
        <v>1</v>
      </c>
      <c r="E345" s="4">
        <v>215</v>
      </c>
      <c r="F345" s="4">
        <f>ROUND(Source!AT327,O345)</f>
        <v>0</v>
      </c>
      <c r="G345" s="4" t="s">
        <v>150</v>
      </c>
      <c r="H345" s="4" t="s">
        <v>151</v>
      </c>
      <c r="I345" s="4"/>
      <c r="J345" s="4"/>
      <c r="K345" s="4">
        <v>215</v>
      </c>
      <c r="L345" s="4">
        <v>17</v>
      </c>
      <c r="M345" s="4">
        <v>3</v>
      </c>
      <c r="N345" s="4" t="s">
        <v>3</v>
      </c>
      <c r="O345" s="4">
        <v>2</v>
      </c>
      <c r="P345" s="4"/>
      <c r="Q345" s="4"/>
      <c r="R345" s="4"/>
      <c r="S345" s="4"/>
      <c r="T345" s="4"/>
      <c r="U345" s="4"/>
      <c r="V345" s="4"/>
      <c r="W345" s="4"/>
    </row>
    <row r="346" spans="1:23" x14ac:dyDescent="0.2">
      <c r="A346" s="4">
        <v>50</v>
      </c>
      <c r="B346" s="4">
        <v>0</v>
      </c>
      <c r="C346" s="4">
        <v>0</v>
      </c>
      <c r="D346" s="4">
        <v>1</v>
      </c>
      <c r="E346" s="4">
        <v>217</v>
      </c>
      <c r="F346" s="4">
        <f>ROUND(Source!AU327,O346)</f>
        <v>77000.44</v>
      </c>
      <c r="G346" s="4" t="s">
        <v>152</v>
      </c>
      <c r="H346" s="4" t="s">
        <v>153</v>
      </c>
      <c r="I346" s="4"/>
      <c r="J346" s="4"/>
      <c r="K346" s="4">
        <v>217</v>
      </c>
      <c r="L346" s="4">
        <v>18</v>
      </c>
      <c r="M346" s="4">
        <v>3</v>
      </c>
      <c r="N346" s="4" t="s">
        <v>3</v>
      </c>
      <c r="O346" s="4">
        <v>2</v>
      </c>
      <c r="P346" s="4"/>
      <c r="Q346" s="4"/>
      <c r="R346" s="4"/>
      <c r="S346" s="4"/>
      <c r="T346" s="4"/>
      <c r="U346" s="4"/>
      <c r="V346" s="4"/>
      <c r="W346" s="4"/>
    </row>
    <row r="347" spans="1:23" x14ac:dyDescent="0.2">
      <c r="A347" s="4">
        <v>50</v>
      </c>
      <c r="B347" s="4">
        <v>0</v>
      </c>
      <c r="C347" s="4">
        <v>0</v>
      </c>
      <c r="D347" s="4">
        <v>1</v>
      </c>
      <c r="E347" s="4">
        <v>230</v>
      </c>
      <c r="F347" s="4">
        <f>ROUND(Source!BA327,O347)</f>
        <v>0</v>
      </c>
      <c r="G347" s="4" t="s">
        <v>154</v>
      </c>
      <c r="H347" s="4" t="s">
        <v>155</v>
      </c>
      <c r="I347" s="4"/>
      <c r="J347" s="4"/>
      <c r="K347" s="4">
        <v>230</v>
      </c>
      <c r="L347" s="4">
        <v>19</v>
      </c>
      <c r="M347" s="4">
        <v>3</v>
      </c>
      <c r="N347" s="4" t="s">
        <v>3</v>
      </c>
      <c r="O347" s="4">
        <v>2</v>
      </c>
      <c r="P347" s="4"/>
      <c r="Q347" s="4"/>
      <c r="R347" s="4"/>
      <c r="S347" s="4"/>
      <c r="T347" s="4"/>
      <c r="U347" s="4"/>
      <c r="V347" s="4"/>
      <c r="W347" s="4"/>
    </row>
    <row r="348" spans="1:23" x14ac:dyDescent="0.2">
      <c r="A348" s="4">
        <v>50</v>
      </c>
      <c r="B348" s="4">
        <v>0</v>
      </c>
      <c r="C348" s="4">
        <v>0</v>
      </c>
      <c r="D348" s="4">
        <v>1</v>
      </c>
      <c r="E348" s="4">
        <v>206</v>
      </c>
      <c r="F348" s="4">
        <f>ROUND(Source!T327,O348)</f>
        <v>0</v>
      </c>
      <c r="G348" s="4" t="s">
        <v>156</v>
      </c>
      <c r="H348" s="4" t="s">
        <v>157</v>
      </c>
      <c r="I348" s="4"/>
      <c r="J348" s="4"/>
      <c r="K348" s="4">
        <v>206</v>
      </c>
      <c r="L348" s="4">
        <v>20</v>
      </c>
      <c r="M348" s="4">
        <v>3</v>
      </c>
      <c r="N348" s="4" t="s">
        <v>3</v>
      </c>
      <c r="O348" s="4">
        <v>2</v>
      </c>
      <c r="P348" s="4"/>
      <c r="Q348" s="4"/>
      <c r="R348" s="4"/>
      <c r="S348" s="4"/>
      <c r="T348" s="4"/>
      <c r="U348" s="4"/>
      <c r="V348" s="4"/>
      <c r="W348" s="4"/>
    </row>
    <row r="349" spans="1:23" x14ac:dyDescent="0.2">
      <c r="A349" s="4">
        <v>50</v>
      </c>
      <c r="B349" s="4">
        <v>0</v>
      </c>
      <c r="C349" s="4">
        <v>0</v>
      </c>
      <c r="D349" s="4">
        <v>1</v>
      </c>
      <c r="E349" s="4">
        <v>207</v>
      </c>
      <c r="F349" s="4">
        <f>Source!U327</f>
        <v>45.602400000000003</v>
      </c>
      <c r="G349" s="4" t="s">
        <v>158</v>
      </c>
      <c r="H349" s="4" t="s">
        <v>159</v>
      </c>
      <c r="I349" s="4"/>
      <c r="J349" s="4"/>
      <c r="K349" s="4">
        <v>207</v>
      </c>
      <c r="L349" s="4">
        <v>21</v>
      </c>
      <c r="M349" s="4">
        <v>3</v>
      </c>
      <c r="N349" s="4" t="s">
        <v>3</v>
      </c>
      <c r="O349" s="4">
        <v>-1</v>
      </c>
      <c r="P349" s="4"/>
      <c r="Q349" s="4"/>
      <c r="R349" s="4"/>
      <c r="S349" s="4"/>
      <c r="T349" s="4"/>
      <c r="U349" s="4"/>
      <c r="V349" s="4"/>
      <c r="W349" s="4"/>
    </row>
    <row r="350" spans="1:23" x14ac:dyDescent="0.2">
      <c r="A350" s="4">
        <v>50</v>
      </c>
      <c r="B350" s="4">
        <v>0</v>
      </c>
      <c r="C350" s="4">
        <v>0</v>
      </c>
      <c r="D350" s="4">
        <v>1</v>
      </c>
      <c r="E350" s="4">
        <v>208</v>
      </c>
      <c r="F350" s="4">
        <f>Source!V327</f>
        <v>0</v>
      </c>
      <c r="G350" s="4" t="s">
        <v>160</v>
      </c>
      <c r="H350" s="4" t="s">
        <v>161</v>
      </c>
      <c r="I350" s="4"/>
      <c r="J350" s="4"/>
      <c r="K350" s="4">
        <v>208</v>
      </c>
      <c r="L350" s="4">
        <v>22</v>
      </c>
      <c r="M350" s="4">
        <v>3</v>
      </c>
      <c r="N350" s="4" t="s">
        <v>3</v>
      </c>
      <c r="O350" s="4">
        <v>-1</v>
      </c>
      <c r="P350" s="4"/>
      <c r="Q350" s="4"/>
      <c r="R350" s="4"/>
      <c r="S350" s="4"/>
      <c r="T350" s="4"/>
      <c r="U350" s="4"/>
      <c r="V350" s="4"/>
      <c r="W350" s="4"/>
    </row>
    <row r="351" spans="1:23" x14ac:dyDescent="0.2">
      <c r="A351" s="4">
        <v>50</v>
      </c>
      <c r="B351" s="4">
        <v>0</v>
      </c>
      <c r="C351" s="4">
        <v>0</v>
      </c>
      <c r="D351" s="4">
        <v>1</v>
      </c>
      <c r="E351" s="4">
        <v>209</v>
      </c>
      <c r="F351" s="4">
        <f>ROUND(Source!W327,O351)</f>
        <v>0</v>
      </c>
      <c r="G351" s="4" t="s">
        <v>162</v>
      </c>
      <c r="H351" s="4" t="s">
        <v>163</v>
      </c>
      <c r="I351" s="4"/>
      <c r="J351" s="4"/>
      <c r="K351" s="4">
        <v>209</v>
      </c>
      <c r="L351" s="4">
        <v>23</v>
      </c>
      <c r="M351" s="4">
        <v>3</v>
      </c>
      <c r="N351" s="4" t="s">
        <v>3</v>
      </c>
      <c r="O351" s="4">
        <v>2</v>
      </c>
      <c r="P351" s="4"/>
      <c r="Q351" s="4"/>
      <c r="R351" s="4"/>
      <c r="S351" s="4"/>
      <c r="T351" s="4"/>
      <c r="U351" s="4"/>
      <c r="V351" s="4"/>
      <c r="W351" s="4"/>
    </row>
    <row r="352" spans="1:23" x14ac:dyDescent="0.2">
      <c r="A352" s="4">
        <v>50</v>
      </c>
      <c r="B352" s="4">
        <v>0</v>
      </c>
      <c r="C352" s="4">
        <v>0</v>
      </c>
      <c r="D352" s="4">
        <v>1</v>
      </c>
      <c r="E352" s="4">
        <v>233</v>
      </c>
      <c r="F352" s="4">
        <f>ROUND(Source!BD327,O352)</f>
        <v>0</v>
      </c>
      <c r="G352" s="4" t="s">
        <v>164</v>
      </c>
      <c r="H352" s="4" t="s">
        <v>165</v>
      </c>
      <c r="I352" s="4"/>
      <c r="J352" s="4"/>
      <c r="K352" s="4">
        <v>233</v>
      </c>
      <c r="L352" s="4">
        <v>24</v>
      </c>
      <c r="M352" s="4">
        <v>3</v>
      </c>
      <c r="N352" s="4" t="s">
        <v>3</v>
      </c>
      <c r="O352" s="4">
        <v>2</v>
      </c>
      <c r="P352" s="4"/>
      <c r="Q352" s="4"/>
      <c r="R352" s="4"/>
      <c r="S352" s="4"/>
      <c r="T352" s="4"/>
      <c r="U352" s="4"/>
      <c r="V352" s="4"/>
      <c r="W352" s="4"/>
    </row>
    <row r="353" spans="1:245" x14ac:dyDescent="0.2">
      <c r="A353" s="4">
        <v>50</v>
      </c>
      <c r="B353" s="4">
        <v>0</v>
      </c>
      <c r="C353" s="4">
        <v>0</v>
      </c>
      <c r="D353" s="4">
        <v>1</v>
      </c>
      <c r="E353" s="4">
        <v>210</v>
      </c>
      <c r="F353" s="4">
        <f>ROUND(Source!X327,O353)</f>
        <v>7944.33</v>
      </c>
      <c r="G353" s="4" t="s">
        <v>166</v>
      </c>
      <c r="H353" s="4" t="s">
        <v>167</v>
      </c>
      <c r="I353" s="4"/>
      <c r="J353" s="4"/>
      <c r="K353" s="4">
        <v>210</v>
      </c>
      <c r="L353" s="4">
        <v>25</v>
      </c>
      <c r="M353" s="4">
        <v>3</v>
      </c>
      <c r="N353" s="4" t="s">
        <v>3</v>
      </c>
      <c r="O353" s="4">
        <v>2</v>
      </c>
      <c r="P353" s="4"/>
      <c r="Q353" s="4"/>
      <c r="R353" s="4"/>
      <c r="S353" s="4"/>
      <c r="T353" s="4"/>
      <c r="U353" s="4"/>
      <c r="V353" s="4"/>
      <c r="W353" s="4"/>
    </row>
    <row r="354" spans="1:245" x14ac:dyDescent="0.2">
      <c r="A354" s="4">
        <v>50</v>
      </c>
      <c r="B354" s="4">
        <v>0</v>
      </c>
      <c r="C354" s="4">
        <v>0</v>
      </c>
      <c r="D354" s="4">
        <v>1</v>
      </c>
      <c r="E354" s="4">
        <v>211</v>
      </c>
      <c r="F354" s="4">
        <f>ROUND(Source!Y327,O354)</f>
        <v>1134.9100000000001</v>
      </c>
      <c r="G354" s="4" t="s">
        <v>168</v>
      </c>
      <c r="H354" s="4" t="s">
        <v>169</v>
      </c>
      <c r="I354" s="4"/>
      <c r="J354" s="4"/>
      <c r="K354" s="4">
        <v>211</v>
      </c>
      <c r="L354" s="4">
        <v>26</v>
      </c>
      <c r="M354" s="4">
        <v>3</v>
      </c>
      <c r="N354" s="4" t="s">
        <v>3</v>
      </c>
      <c r="O354" s="4">
        <v>2</v>
      </c>
      <c r="P354" s="4"/>
      <c r="Q354" s="4"/>
      <c r="R354" s="4"/>
      <c r="S354" s="4"/>
      <c r="T354" s="4"/>
      <c r="U354" s="4"/>
      <c r="V354" s="4"/>
      <c r="W354" s="4"/>
    </row>
    <row r="355" spans="1:245" x14ac:dyDescent="0.2">
      <c r="A355" s="4">
        <v>50</v>
      </c>
      <c r="B355" s="4">
        <v>0</v>
      </c>
      <c r="C355" s="4">
        <v>0</v>
      </c>
      <c r="D355" s="4">
        <v>1</v>
      </c>
      <c r="E355" s="4">
        <v>224</v>
      </c>
      <c r="F355" s="4">
        <f>ROUND(Source!AR327,O355)</f>
        <v>77000.44</v>
      </c>
      <c r="G355" s="4" t="s">
        <v>170</v>
      </c>
      <c r="H355" s="4" t="s">
        <v>171</v>
      </c>
      <c r="I355" s="4"/>
      <c r="J355" s="4"/>
      <c r="K355" s="4">
        <v>224</v>
      </c>
      <c r="L355" s="4">
        <v>27</v>
      </c>
      <c r="M355" s="4">
        <v>3</v>
      </c>
      <c r="N355" s="4" t="s">
        <v>3</v>
      </c>
      <c r="O355" s="4">
        <v>2</v>
      </c>
      <c r="P355" s="4"/>
      <c r="Q355" s="4"/>
      <c r="R355" s="4"/>
      <c r="S355" s="4"/>
      <c r="T355" s="4"/>
      <c r="U355" s="4"/>
      <c r="V355" s="4"/>
      <c r="W355" s="4"/>
    </row>
    <row r="357" spans="1:245" x14ac:dyDescent="0.2">
      <c r="A357" s="1">
        <v>5</v>
      </c>
      <c r="B357" s="1">
        <v>1</v>
      </c>
      <c r="C357" s="1"/>
      <c r="D357" s="1">
        <f>ROW(A373)</f>
        <v>373</v>
      </c>
      <c r="E357" s="1"/>
      <c r="F357" s="1" t="s">
        <v>15</v>
      </c>
      <c r="G357" s="1" t="s">
        <v>309</v>
      </c>
      <c r="H357" s="1" t="s">
        <v>3</v>
      </c>
      <c r="I357" s="1">
        <v>0</v>
      </c>
      <c r="J357" s="1"/>
      <c r="K357" s="1">
        <v>0</v>
      </c>
      <c r="L357" s="1"/>
      <c r="M357" s="1"/>
      <c r="N357" s="1"/>
      <c r="O357" s="1"/>
      <c r="P357" s="1"/>
      <c r="Q357" s="1"/>
      <c r="R357" s="1"/>
      <c r="S357" s="1"/>
      <c r="T357" s="1"/>
      <c r="U357" s="1" t="s">
        <v>3</v>
      </c>
      <c r="V357" s="1">
        <v>0</v>
      </c>
      <c r="W357" s="1"/>
      <c r="X357" s="1"/>
      <c r="Y357" s="1"/>
      <c r="Z357" s="1"/>
      <c r="AA357" s="1"/>
      <c r="AB357" s="1" t="s">
        <v>3</v>
      </c>
      <c r="AC357" s="1" t="s">
        <v>3</v>
      </c>
      <c r="AD357" s="1" t="s">
        <v>3</v>
      </c>
      <c r="AE357" s="1" t="s">
        <v>3</v>
      </c>
      <c r="AF357" s="1" t="s">
        <v>3</v>
      </c>
      <c r="AG357" s="1" t="s">
        <v>3</v>
      </c>
      <c r="AH357" s="1"/>
      <c r="AI357" s="1"/>
      <c r="AJ357" s="1"/>
      <c r="AK357" s="1"/>
      <c r="AL357" s="1"/>
      <c r="AM357" s="1"/>
      <c r="AN357" s="1"/>
      <c r="AO357" s="1"/>
      <c r="AP357" s="1" t="s">
        <v>3</v>
      </c>
      <c r="AQ357" s="1" t="s">
        <v>3</v>
      </c>
      <c r="AR357" s="1" t="s">
        <v>3</v>
      </c>
      <c r="AS357" s="1"/>
      <c r="AT357" s="1"/>
      <c r="AU357" s="1"/>
      <c r="AV357" s="1"/>
      <c r="AW357" s="1"/>
      <c r="AX357" s="1"/>
      <c r="AY357" s="1"/>
      <c r="AZ357" s="1" t="s">
        <v>3</v>
      </c>
      <c r="BA357" s="1"/>
      <c r="BB357" s="1" t="s">
        <v>3</v>
      </c>
      <c r="BC357" s="1" t="s">
        <v>3</v>
      </c>
      <c r="BD357" s="1" t="s">
        <v>3</v>
      </c>
      <c r="BE357" s="1" t="s">
        <v>3</v>
      </c>
      <c r="BF357" s="1" t="s">
        <v>3</v>
      </c>
      <c r="BG357" s="1" t="s">
        <v>3</v>
      </c>
      <c r="BH357" s="1" t="s">
        <v>3</v>
      </c>
      <c r="BI357" s="1" t="s">
        <v>3</v>
      </c>
      <c r="BJ357" s="1" t="s">
        <v>3</v>
      </c>
      <c r="BK357" s="1" t="s">
        <v>3</v>
      </c>
      <c r="BL357" s="1" t="s">
        <v>3</v>
      </c>
      <c r="BM357" s="1" t="s">
        <v>3</v>
      </c>
      <c r="BN357" s="1" t="s">
        <v>3</v>
      </c>
      <c r="BO357" s="1" t="s">
        <v>3</v>
      </c>
      <c r="BP357" s="1" t="s">
        <v>3</v>
      </c>
      <c r="BQ357" s="1"/>
      <c r="BR357" s="1"/>
      <c r="BS357" s="1"/>
      <c r="BT357" s="1"/>
      <c r="BU357" s="1"/>
      <c r="BV357" s="1"/>
      <c r="BW357" s="1"/>
      <c r="BX357" s="1">
        <v>0</v>
      </c>
      <c r="BY357" s="1"/>
      <c r="BZ357" s="1"/>
      <c r="CA357" s="1"/>
      <c r="CB357" s="1"/>
      <c r="CC357" s="1"/>
      <c r="CD357" s="1"/>
      <c r="CE357" s="1"/>
      <c r="CF357" s="1"/>
      <c r="CG357" s="1"/>
      <c r="CH357" s="1"/>
      <c r="CI357" s="1"/>
      <c r="CJ357" s="1">
        <v>0</v>
      </c>
    </row>
    <row r="359" spans="1:245" x14ac:dyDescent="0.2">
      <c r="A359" s="2">
        <v>52</v>
      </c>
      <c r="B359" s="2">
        <f t="shared" ref="B359:G359" si="279">B373</f>
        <v>1</v>
      </c>
      <c r="C359" s="2">
        <f t="shared" si="279"/>
        <v>5</v>
      </c>
      <c r="D359" s="2">
        <f t="shared" si="279"/>
        <v>357</v>
      </c>
      <c r="E359" s="2">
        <f t="shared" si="279"/>
        <v>0</v>
      </c>
      <c r="F359" s="2" t="str">
        <f t="shared" si="279"/>
        <v>Новый подраздел</v>
      </c>
      <c r="G359" s="2" t="str">
        <f t="shared" si="279"/>
        <v>Установка МАФов площадка группы № 5</v>
      </c>
      <c r="H359" s="2"/>
      <c r="I359" s="2"/>
      <c r="J359" s="2"/>
      <c r="K359" s="2"/>
      <c r="L359" s="2"/>
      <c r="M359" s="2"/>
      <c r="N359" s="2"/>
      <c r="O359" s="2">
        <f t="shared" ref="O359:AT359" si="280">O373</f>
        <v>179161.31</v>
      </c>
      <c r="P359" s="2">
        <f t="shared" si="280"/>
        <v>170002</v>
      </c>
      <c r="Q359" s="2">
        <f t="shared" si="280"/>
        <v>0.01</v>
      </c>
      <c r="R359" s="2">
        <f t="shared" si="280"/>
        <v>-0.01</v>
      </c>
      <c r="S359" s="2">
        <f t="shared" si="280"/>
        <v>9159.2999999999993</v>
      </c>
      <c r="T359" s="2">
        <f t="shared" si="280"/>
        <v>0</v>
      </c>
      <c r="U359" s="2">
        <f t="shared" si="280"/>
        <v>36.11</v>
      </c>
      <c r="V359" s="2">
        <f t="shared" si="280"/>
        <v>0</v>
      </c>
      <c r="W359" s="2">
        <f t="shared" si="280"/>
        <v>0</v>
      </c>
      <c r="X359" s="2">
        <f t="shared" si="280"/>
        <v>6411.51</v>
      </c>
      <c r="Y359" s="2">
        <f t="shared" si="280"/>
        <v>915.93</v>
      </c>
      <c r="Z359" s="2">
        <f t="shared" si="280"/>
        <v>0</v>
      </c>
      <c r="AA359" s="2">
        <f t="shared" si="280"/>
        <v>0</v>
      </c>
      <c r="AB359" s="2">
        <f t="shared" si="280"/>
        <v>179161.31</v>
      </c>
      <c r="AC359" s="2">
        <f t="shared" si="280"/>
        <v>170002</v>
      </c>
      <c r="AD359" s="2">
        <f t="shared" si="280"/>
        <v>0.01</v>
      </c>
      <c r="AE359" s="2">
        <f t="shared" si="280"/>
        <v>-0.01</v>
      </c>
      <c r="AF359" s="2">
        <f t="shared" si="280"/>
        <v>9159.2999999999993</v>
      </c>
      <c r="AG359" s="2">
        <f t="shared" si="280"/>
        <v>0</v>
      </c>
      <c r="AH359" s="2">
        <f t="shared" si="280"/>
        <v>36.11</v>
      </c>
      <c r="AI359" s="2">
        <f t="shared" si="280"/>
        <v>0</v>
      </c>
      <c r="AJ359" s="2">
        <f t="shared" si="280"/>
        <v>0</v>
      </c>
      <c r="AK359" s="2">
        <f t="shared" si="280"/>
        <v>6411.51</v>
      </c>
      <c r="AL359" s="2">
        <f t="shared" si="280"/>
        <v>915.93</v>
      </c>
      <c r="AM359" s="2">
        <f t="shared" si="280"/>
        <v>0</v>
      </c>
      <c r="AN359" s="2">
        <f t="shared" si="280"/>
        <v>0</v>
      </c>
      <c r="AO359" s="2">
        <f t="shared" si="280"/>
        <v>0</v>
      </c>
      <c r="AP359" s="2">
        <f t="shared" si="280"/>
        <v>0</v>
      </c>
      <c r="AQ359" s="2">
        <f t="shared" si="280"/>
        <v>0</v>
      </c>
      <c r="AR359" s="2">
        <f t="shared" si="280"/>
        <v>186488.74</v>
      </c>
      <c r="AS359" s="2">
        <f t="shared" si="280"/>
        <v>0</v>
      </c>
      <c r="AT359" s="2">
        <f t="shared" si="280"/>
        <v>0</v>
      </c>
      <c r="AU359" s="2">
        <f t="shared" ref="AU359:BZ359" si="281">AU373</f>
        <v>186488.74</v>
      </c>
      <c r="AV359" s="2">
        <f t="shared" si="281"/>
        <v>170002</v>
      </c>
      <c r="AW359" s="2">
        <f t="shared" si="281"/>
        <v>170002</v>
      </c>
      <c r="AX359" s="2">
        <f t="shared" si="281"/>
        <v>0</v>
      </c>
      <c r="AY359" s="2">
        <f t="shared" si="281"/>
        <v>170002</v>
      </c>
      <c r="AZ359" s="2">
        <f t="shared" si="281"/>
        <v>0</v>
      </c>
      <c r="BA359" s="2">
        <f t="shared" si="281"/>
        <v>0</v>
      </c>
      <c r="BB359" s="2">
        <f t="shared" si="281"/>
        <v>0</v>
      </c>
      <c r="BC359" s="2">
        <f t="shared" si="281"/>
        <v>0</v>
      </c>
      <c r="BD359" s="2">
        <f t="shared" si="281"/>
        <v>0</v>
      </c>
      <c r="BE359" s="2">
        <f t="shared" si="281"/>
        <v>0</v>
      </c>
      <c r="BF359" s="2">
        <f t="shared" si="281"/>
        <v>0</v>
      </c>
      <c r="BG359" s="2">
        <f t="shared" si="281"/>
        <v>0</v>
      </c>
      <c r="BH359" s="2">
        <f t="shared" si="281"/>
        <v>0</v>
      </c>
      <c r="BI359" s="2">
        <f t="shared" si="281"/>
        <v>0</v>
      </c>
      <c r="BJ359" s="2">
        <f t="shared" si="281"/>
        <v>0</v>
      </c>
      <c r="BK359" s="2">
        <f t="shared" si="281"/>
        <v>0</v>
      </c>
      <c r="BL359" s="2">
        <f t="shared" si="281"/>
        <v>0</v>
      </c>
      <c r="BM359" s="2">
        <f t="shared" si="281"/>
        <v>0</v>
      </c>
      <c r="BN359" s="2">
        <f t="shared" si="281"/>
        <v>0</v>
      </c>
      <c r="BO359" s="2">
        <f t="shared" si="281"/>
        <v>0</v>
      </c>
      <c r="BP359" s="2">
        <f t="shared" si="281"/>
        <v>0</v>
      </c>
      <c r="BQ359" s="2">
        <f t="shared" si="281"/>
        <v>0</v>
      </c>
      <c r="BR359" s="2">
        <f t="shared" si="281"/>
        <v>0</v>
      </c>
      <c r="BS359" s="2">
        <f t="shared" si="281"/>
        <v>0</v>
      </c>
      <c r="BT359" s="2">
        <f t="shared" si="281"/>
        <v>0</v>
      </c>
      <c r="BU359" s="2">
        <f t="shared" si="281"/>
        <v>0</v>
      </c>
      <c r="BV359" s="2">
        <f t="shared" si="281"/>
        <v>0</v>
      </c>
      <c r="BW359" s="2">
        <f t="shared" si="281"/>
        <v>0</v>
      </c>
      <c r="BX359" s="2">
        <f t="shared" si="281"/>
        <v>0</v>
      </c>
      <c r="BY359" s="2">
        <f t="shared" si="281"/>
        <v>0</v>
      </c>
      <c r="BZ359" s="2">
        <f t="shared" si="281"/>
        <v>0</v>
      </c>
      <c r="CA359" s="2">
        <f t="shared" ref="CA359:DF359" si="282">CA373</f>
        <v>186488.74</v>
      </c>
      <c r="CB359" s="2">
        <f t="shared" si="282"/>
        <v>0</v>
      </c>
      <c r="CC359" s="2">
        <f t="shared" si="282"/>
        <v>0</v>
      </c>
      <c r="CD359" s="2">
        <f t="shared" si="282"/>
        <v>186488.74</v>
      </c>
      <c r="CE359" s="2">
        <f t="shared" si="282"/>
        <v>170002</v>
      </c>
      <c r="CF359" s="2">
        <f t="shared" si="282"/>
        <v>170002</v>
      </c>
      <c r="CG359" s="2">
        <f t="shared" si="282"/>
        <v>0</v>
      </c>
      <c r="CH359" s="2">
        <f t="shared" si="282"/>
        <v>170002</v>
      </c>
      <c r="CI359" s="2">
        <f t="shared" si="282"/>
        <v>0</v>
      </c>
      <c r="CJ359" s="2">
        <f t="shared" si="282"/>
        <v>0</v>
      </c>
      <c r="CK359" s="2">
        <f t="shared" si="282"/>
        <v>0</v>
      </c>
      <c r="CL359" s="2">
        <f t="shared" si="282"/>
        <v>0</v>
      </c>
      <c r="CM359" s="2">
        <f t="shared" si="282"/>
        <v>0</v>
      </c>
      <c r="CN359" s="2">
        <f t="shared" si="282"/>
        <v>0</v>
      </c>
      <c r="CO359" s="2">
        <f t="shared" si="282"/>
        <v>0</v>
      </c>
      <c r="CP359" s="2">
        <f t="shared" si="282"/>
        <v>0</v>
      </c>
      <c r="CQ359" s="2">
        <f t="shared" si="282"/>
        <v>0</v>
      </c>
      <c r="CR359" s="2">
        <f t="shared" si="282"/>
        <v>0</v>
      </c>
      <c r="CS359" s="2">
        <f t="shared" si="282"/>
        <v>0</v>
      </c>
      <c r="CT359" s="2">
        <f t="shared" si="282"/>
        <v>0</v>
      </c>
      <c r="CU359" s="2">
        <f t="shared" si="282"/>
        <v>0</v>
      </c>
      <c r="CV359" s="2">
        <f t="shared" si="282"/>
        <v>0</v>
      </c>
      <c r="CW359" s="2">
        <f t="shared" si="282"/>
        <v>0</v>
      </c>
      <c r="CX359" s="2">
        <f t="shared" si="282"/>
        <v>0</v>
      </c>
      <c r="CY359" s="2">
        <f t="shared" si="282"/>
        <v>0</v>
      </c>
      <c r="CZ359" s="2">
        <f t="shared" si="282"/>
        <v>0</v>
      </c>
      <c r="DA359" s="2">
        <f t="shared" si="282"/>
        <v>0</v>
      </c>
      <c r="DB359" s="2">
        <f t="shared" si="282"/>
        <v>0</v>
      </c>
      <c r="DC359" s="2">
        <f t="shared" si="282"/>
        <v>0</v>
      </c>
      <c r="DD359" s="2">
        <f t="shared" si="282"/>
        <v>0</v>
      </c>
      <c r="DE359" s="2">
        <f t="shared" si="282"/>
        <v>0</v>
      </c>
      <c r="DF359" s="2">
        <f t="shared" si="282"/>
        <v>0</v>
      </c>
      <c r="DG359" s="3">
        <f t="shared" ref="DG359:EL359" si="283">DG373</f>
        <v>0</v>
      </c>
      <c r="DH359" s="3">
        <f t="shared" si="283"/>
        <v>0</v>
      </c>
      <c r="DI359" s="3">
        <f t="shared" si="283"/>
        <v>0</v>
      </c>
      <c r="DJ359" s="3">
        <f t="shared" si="283"/>
        <v>0</v>
      </c>
      <c r="DK359" s="3">
        <f t="shared" si="283"/>
        <v>0</v>
      </c>
      <c r="DL359" s="3">
        <f t="shared" si="283"/>
        <v>0</v>
      </c>
      <c r="DM359" s="3">
        <f t="shared" si="283"/>
        <v>0</v>
      </c>
      <c r="DN359" s="3">
        <f t="shared" si="283"/>
        <v>0</v>
      </c>
      <c r="DO359" s="3">
        <f t="shared" si="283"/>
        <v>0</v>
      </c>
      <c r="DP359" s="3">
        <f t="shared" si="283"/>
        <v>0</v>
      </c>
      <c r="DQ359" s="3">
        <f t="shared" si="283"/>
        <v>0</v>
      </c>
      <c r="DR359" s="3">
        <f t="shared" si="283"/>
        <v>0</v>
      </c>
      <c r="DS359" s="3">
        <f t="shared" si="283"/>
        <v>0</v>
      </c>
      <c r="DT359" s="3">
        <f t="shared" si="283"/>
        <v>0</v>
      </c>
      <c r="DU359" s="3">
        <f t="shared" si="283"/>
        <v>0</v>
      </c>
      <c r="DV359" s="3">
        <f t="shared" si="283"/>
        <v>0</v>
      </c>
      <c r="DW359" s="3">
        <f t="shared" si="283"/>
        <v>0</v>
      </c>
      <c r="DX359" s="3">
        <f t="shared" si="283"/>
        <v>0</v>
      </c>
      <c r="DY359" s="3">
        <f t="shared" si="283"/>
        <v>0</v>
      </c>
      <c r="DZ359" s="3">
        <f t="shared" si="283"/>
        <v>0</v>
      </c>
      <c r="EA359" s="3">
        <f t="shared" si="283"/>
        <v>0</v>
      </c>
      <c r="EB359" s="3">
        <f t="shared" si="283"/>
        <v>0</v>
      </c>
      <c r="EC359" s="3">
        <f t="shared" si="283"/>
        <v>0</v>
      </c>
      <c r="ED359" s="3">
        <f t="shared" si="283"/>
        <v>0</v>
      </c>
      <c r="EE359" s="3">
        <f t="shared" si="283"/>
        <v>0</v>
      </c>
      <c r="EF359" s="3">
        <f t="shared" si="283"/>
        <v>0</v>
      </c>
      <c r="EG359" s="3">
        <f t="shared" si="283"/>
        <v>0</v>
      </c>
      <c r="EH359" s="3">
        <f t="shared" si="283"/>
        <v>0</v>
      </c>
      <c r="EI359" s="3">
        <f t="shared" si="283"/>
        <v>0</v>
      </c>
      <c r="EJ359" s="3">
        <f t="shared" si="283"/>
        <v>0</v>
      </c>
      <c r="EK359" s="3">
        <f t="shared" si="283"/>
        <v>0</v>
      </c>
      <c r="EL359" s="3">
        <f t="shared" si="283"/>
        <v>0</v>
      </c>
      <c r="EM359" s="3">
        <f t="shared" ref="EM359:FR359" si="284">EM373</f>
        <v>0</v>
      </c>
      <c r="EN359" s="3">
        <f t="shared" si="284"/>
        <v>0</v>
      </c>
      <c r="EO359" s="3">
        <f t="shared" si="284"/>
        <v>0</v>
      </c>
      <c r="EP359" s="3">
        <f t="shared" si="284"/>
        <v>0</v>
      </c>
      <c r="EQ359" s="3">
        <f t="shared" si="284"/>
        <v>0</v>
      </c>
      <c r="ER359" s="3">
        <f t="shared" si="284"/>
        <v>0</v>
      </c>
      <c r="ES359" s="3">
        <f t="shared" si="284"/>
        <v>0</v>
      </c>
      <c r="ET359" s="3">
        <f t="shared" si="284"/>
        <v>0</v>
      </c>
      <c r="EU359" s="3">
        <f t="shared" si="284"/>
        <v>0</v>
      </c>
      <c r="EV359" s="3">
        <f t="shared" si="284"/>
        <v>0</v>
      </c>
      <c r="EW359" s="3">
        <f t="shared" si="284"/>
        <v>0</v>
      </c>
      <c r="EX359" s="3">
        <f t="shared" si="284"/>
        <v>0</v>
      </c>
      <c r="EY359" s="3">
        <f t="shared" si="284"/>
        <v>0</v>
      </c>
      <c r="EZ359" s="3">
        <f t="shared" si="284"/>
        <v>0</v>
      </c>
      <c r="FA359" s="3">
        <f t="shared" si="284"/>
        <v>0</v>
      </c>
      <c r="FB359" s="3">
        <f t="shared" si="284"/>
        <v>0</v>
      </c>
      <c r="FC359" s="3">
        <f t="shared" si="284"/>
        <v>0</v>
      </c>
      <c r="FD359" s="3">
        <f t="shared" si="284"/>
        <v>0</v>
      </c>
      <c r="FE359" s="3">
        <f t="shared" si="284"/>
        <v>0</v>
      </c>
      <c r="FF359" s="3">
        <f t="shared" si="284"/>
        <v>0</v>
      </c>
      <c r="FG359" s="3">
        <f t="shared" si="284"/>
        <v>0</v>
      </c>
      <c r="FH359" s="3">
        <f t="shared" si="284"/>
        <v>0</v>
      </c>
      <c r="FI359" s="3">
        <f t="shared" si="284"/>
        <v>0</v>
      </c>
      <c r="FJ359" s="3">
        <f t="shared" si="284"/>
        <v>0</v>
      </c>
      <c r="FK359" s="3">
        <f t="shared" si="284"/>
        <v>0</v>
      </c>
      <c r="FL359" s="3">
        <f t="shared" si="284"/>
        <v>0</v>
      </c>
      <c r="FM359" s="3">
        <f t="shared" si="284"/>
        <v>0</v>
      </c>
      <c r="FN359" s="3">
        <f t="shared" si="284"/>
        <v>0</v>
      </c>
      <c r="FO359" s="3">
        <f t="shared" si="284"/>
        <v>0</v>
      </c>
      <c r="FP359" s="3">
        <f t="shared" si="284"/>
        <v>0</v>
      </c>
      <c r="FQ359" s="3">
        <f t="shared" si="284"/>
        <v>0</v>
      </c>
      <c r="FR359" s="3">
        <f t="shared" si="284"/>
        <v>0</v>
      </c>
      <c r="FS359" s="3">
        <f t="shared" ref="FS359:GX359" si="285">FS373</f>
        <v>0</v>
      </c>
      <c r="FT359" s="3">
        <f t="shared" si="285"/>
        <v>0</v>
      </c>
      <c r="FU359" s="3">
        <f t="shared" si="285"/>
        <v>0</v>
      </c>
      <c r="FV359" s="3">
        <f t="shared" si="285"/>
        <v>0</v>
      </c>
      <c r="FW359" s="3">
        <f t="shared" si="285"/>
        <v>0</v>
      </c>
      <c r="FX359" s="3">
        <f t="shared" si="285"/>
        <v>0</v>
      </c>
      <c r="FY359" s="3">
        <f t="shared" si="285"/>
        <v>0</v>
      </c>
      <c r="FZ359" s="3">
        <f t="shared" si="285"/>
        <v>0</v>
      </c>
      <c r="GA359" s="3">
        <f t="shared" si="285"/>
        <v>0</v>
      </c>
      <c r="GB359" s="3">
        <f t="shared" si="285"/>
        <v>0</v>
      </c>
      <c r="GC359" s="3">
        <f t="shared" si="285"/>
        <v>0</v>
      </c>
      <c r="GD359" s="3">
        <f t="shared" si="285"/>
        <v>0</v>
      </c>
      <c r="GE359" s="3">
        <f t="shared" si="285"/>
        <v>0</v>
      </c>
      <c r="GF359" s="3">
        <f t="shared" si="285"/>
        <v>0</v>
      </c>
      <c r="GG359" s="3">
        <f t="shared" si="285"/>
        <v>0</v>
      </c>
      <c r="GH359" s="3">
        <f t="shared" si="285"/>
        <v>0</v>
      </c>
      <c r="GI359" s="3">
        <f t="shared" si="285"/>
        <v>0</v>
      </c>
      <c r="GJ359" s="3">
        <f t="shared" si="285"/>
        <v>0</v>
      </c>
      <c r="GK359" s="3">
        <f t="shared" si="285"/>
        <v>0</v>
      </c>
      <c r="GL359" s="3">
        <f t="shared" si="285"/>
        <v>0</v>
      </c>
      <c r="GM359" s="3">
        <f t="shared" si="285"/>
        <v>0</v>
      </c>
      <c r="GN359" s="3">
        <f t="shared" si="285"/>
        <v>0</v>
      </c>
      <c r="GO359" s="3">
        <f t="shared" si="285"/>
        <v>0</v>
      </c>
      <c r="GP359" s="3">
        <f t="shared" si="285"/>
        <v>0</v>
      </c>
      <c r="GQ359" s="3">
        <f t="shared" si="285"/>
        <v>0</v>
      </c>
      <c r="GR359" s="3">
        <f t="shared" si="285"/>
        <v>0</v>
      </c>
      <c r="GS359" s="3">
        <f t="shared" si="285"/>
        <v>0</v>
      </c>
      <c r="GT359" s="3">
        <f t="shared" si="285"/>
        <v>0</v>
      </c>
      <c r="GU359" s="3">
        <f t="shared" si="285"/>
        <v>0</v>
      </c>
      <c r="GV359" s="3">
        <f t="shared" si="285"/>
        <v>0</v>
      </c>
      <c r="GW359" s="3">
        <f t="shared" si="285"/>
        <v>0</v>
      </c>
      <c r="GX359" s="3">
        <f t="shared" si="285"/>
        <v>0</v>
      </c>
    </row>
    <row r="361" spans="1:245" x14ac:dyDescent="0.2">
      <c r="A361">
        <v>17</v>
      </c>
      <c r="B361">
        <v>1</v>
      </c>
      <c r="C361">
        <f>ROW(SmtRes!A350)</f>
        <v>350</v>
      </c>
      <c r="D361">
        <f>ROW(EtalonRes!A334)</f>
        <v>334</v>
      </c>
      <c r="E361" t="s">
        <v>310</v>
      </c>
      <c r="F361" t="s">
        <v>72</v>
      </c>
      <c r="G361" t="s">
        <v>246</v>
      </c>
      <c r="H361" t="s">
        <v>74</v>
      </c>
      <c r="I361">
        <f>ROUND(4/100,9)</f>
        <v>0.04</v>
      </c>
      <c r="J361">
        <v>0</v>
      </c>
      <c r="O361">
        <f t="shared" ref="O361:O371" si="286">ROUND(CP361,2)</f>
        <v>9895.19</v>
      </c>
      <c r="P361">
        <f t="shared" ref="P361:P371" si="287">ROUND(CQ361*I361,2)</f>
        <v>714.12</v>
      </c>
      <c r="Q361">
        <f t="shared" ref="Q361:Q371" si="288">ROUND(CR361*I361,2)</f>
        <v>21.77</v>
      </c>
      <c r="R361">
        <f t="shared" ref="R361:R371" si="289">ROUND(CS361*I361,2)</f>
        <v>2.72</v>
      </c>
      <c r="S361">
        <f t="shared" ref="S361:S371" si="290">ROUND(CT361*I361,2)</f>
        <v>9159.2999999999993</v>
      </c>
      <c r="T361">
        <f t="shared" ref="T361:T371" si="291">ROUND(CU361*I361,2)</f>
        <v>0</v>
      </c>
      <c r="U361">
        <f t="shared" ref="U361:U371" si="292">CV361*I361</f>
        <v>36.11</v>
      </c>
      <c r="V361">
        <f t="shared" ref="V361:V371" si="293">CW361*I361</f>
        <v>0</v>
      </c>
      <c r="W361">
        <f t="shared" ref="W361:W371" si="294">ROUND(CX361*I361,2)</f>
        <v>0</v>
      </c>
      <c r="X361">
        <f t="shared" ref="X361:X371" si="295">ROUND(CY361,2)</f>
        <v>6411.51</v>
      </c>
      <c r="Y361">
        <f t="shared" ref="Y361:Y371" si="296">ROUND(CZ361,2)</f>
        <v>915.93</v>
      </c>
      <c r="AA361">
        <v>52430918</v>
      </c>
      <c r="AB361">
        <f t="shared" ref="AB361:AB371" si="297">ROUND((AC361+AD361+AF361),6)</f>
        <v>247379.69</v>
      </c>
      <c r="AC361">
        <f t="shared" ref="AC361:AC371" si="298">ROUND((ES361),6)</f>
        <v>17852.89</v>
      </c>
      <c r="AD361">
        <f t="shared" ref="AD361:AD371" si="299">ROUND((((ET361)-(EU361))+AE361),6)</f>
        <v>544.27</v>
      </c>
      <c r="AE361">
        <f t="shared" ref="AE361:AE371" si="300">ROUND((EU361),6)</f>
        <v>67.94</v>
      </c>
      <c r="AF361">
        <f t="shared" ref="AF361:AF371" si="301">ROUND((EV361),6)</f>
        <v>228982.53</v>
      </c>
      <c r="AG361">
        <f t="shared" ref="AG361:AG371" si="302">ROUND((AP361),6)</f>
        <v>0</v>
      </c>
      <c r="AH361">
        <f t="shared" ref="AH361:AH371" si="303">(EW361)</f>
        <v>902.75</v>
      </c>
      <c r="AI361">
        <f t="shared" ref="AI361:AI371" si="304">(EX361)</f>
        <v>0</v>
      </c>
      <c r="AJ361">
        <f t="shared" ref="AJ361:AJ371" si="305">(AS361)</f>
        <v>0</v>
      </c>
      <c r="AK361">
        <v>247379.69</v>
      </c>
      <c r="AL361">
        <v>17852.89</v>
      </c>
      <c r="AM361">
        <v>544.27</v>
      </c>
      <c r="AN361">
        <v>67.94</v>
      </c>
      <c r="AO361">
        <v>228982.53</v>
      </c>
      <c r="AP361">
        <v>0</v>
      </c>
      <c r="AQ361">
        <v>902.75</v>
      </c>
      <c r="AR361">
        <v>0</v>
      </c>
      <c r="AS361">
        <v>0</v>
      </c>
      <c r="AT361">
        <v>70</v>
      </c>
      <c r="AU361">
        <v>10</v>
      </c>
      <c r="AV361">
        <v>1</v>
      </c>
      <c r="AW361">
        <v>1</v>
      </c>
      <c r="AZ361">
        <v>1</v>
      </c>
      <c r="BA361">
        <v>1</v>
      </c>
      <c r="BB361">
        <v>1</v>
      </c>
      <c r="BC361">
        <v>1</v>
      </c>
      <c r="BD361" t="s">
        <v>3</v>
      </c>
      <c r="BE361" t="s">
        <v>3</v>
      </c>
      <c r="BF361" t="s">
        <v>3</v>
      </c>
      <c r="BG361" t="s">
        <v>3</v>
      </c>
      <c r="BH361">
        <v>0</v>
      </c>
      <c r="BI361">
        <v>4</v>
      </c>
      <c r="BJ361" t="s">
        <v>75</v>
      </c>
      <c r="BM361">
        <v>0</v>
      </c>
      <c r="BN361">
        <v>0</v>
      </c>
      <c r="BO361" t="s">
        <v>3</v>
      </c>
      <c r="BP361">
        <v>0</v>
      </c>
      <c r="BQ361">
        <v>1</v>
      </c>
      <c r="BR361">
        <v>0</v>
      </c>
      <c r="BS361">
        <v>1</v>
      </c>
      <c r="BT361">
        <v>1</v>
      </c>
      <c r="BU361">
        <v>1</v>
      </c>
      <c r="BV361">
        <v>1</v>
      </c>
      <c r="BW361">
        <v>1</v>
      </c>
      <c r="BX361">
        <v>1</v>
      </c>
      <c r="BY361" t="s">
        <v>3</v>
      </c>
      <c r="BZ361">
        <v>70</v>
      </c>
      <c r="CA361">
        <v>10</v>
      </c>
      <c r="CE361">
        <v>0</v>
      </c>
      <c r="CF361">
        <v>0</v>
      </c>
      <c r="CG361">
        <v>0</v>
      </c>
      <c r="CM361">
        <v>0</v>
      </c>
      <c r="CN361" t="s">
        <v>3</v>
      </c>
      <c r="CO361">
        <v>0</v>
      </c>
      <c r="CP361">
        <f t="shared" ref="CP361:CP371" si="306">(P361+Q361+S361)</f>
        <v>9895.1899999999987</v>
      </c>
      <c r="CQ361">
        <f t="shared" ref="CQ361:CQ371" si="307">(AC361*BC361*AW361)</f>
        <v>17852.89</v>
      </c>
      <c r="CR361">
        <f t="shared" ref="CR361:CR371" si="308">((((ET361)*BB361-(EU361)*BS361)+AE361*BS361)*AV361)</f>
        <v>544.27</v>
      </c>
      <c r="CS361">
        <f t="shared" ref="CS361:CS371" si="309">(AE361*BS361*AV361)</f>
        <v>67.94</v>
      </c>
      <c r="CT361">
        <f t="shared" ref="CT361:CT371" si="310">(AF361*BA361*AV361)</f>
        <v>228982.53</v>
      </c>
      <c r="CU361">
        <f t="shared" ref="CU361:CU371" si="311">AG361</f>
        <v>0</v>
      </c>
      <c r="CV361">
        <f t="shared" ref="CV361:CV371" si="312">(AH361*AV361)</f>
        <v>902.75</v>
      </c>
      <c r="CW361">
        <f t="shared" ref="CW361:CW371" si="313">AI361</f>
        <v>0</v>
      </c>
      <c r="CX361">
        <f t="shared" ref="CX361:CX371" si="314">AJ361</f>
        <v>0</v>
      </c>
      <c r="CY361">
        <f t="shared" ref="CY361:CY371" si="315">((S361*BZ361)/100)</f>
        <v>6411.51</v>
      </c>
      <c r="CZ361">
        <f t="shared" ref="CZ361:CZ371" si="316">((S361*CA361)/100)</f>
        <v>915.93</v>
      </c>
      <c r="DC361" t="s">
        <v>3</v>
      </c>
      <c r="DD361" t="s">
        <v>3</v>
      </c>
      <c r="DE361" t="s">
        <v>3</v>
      </c>
      <c r="DF361" t="s">
        <v>3</v>
      </c>
      <c r="DG361" t="s">
        <v>3</v>
      </c>
      <c r="DH361" t="s">
        <v>3</v>
      </c>
      <c r="DI361" t="s">
        <v>3</v>
      </c>
      <c r="DJ361" t="s">
        <v>3</v>
      </c>
      <c r="DK361" t="s">
        <v>3</v>
      </c>
      <c r="DL361" t="s">
        <v>3</v>
      </c>
      <c r="DM361" t="s">
        <v>3</v>
      </c>
      <c r="DN361">
        <v>0</v>
      </c>
      <c r="DO361">
        <v>0</v>
      </c>
      <c r="DP361">
        <v>1</v>
      </c>
      <c r="DQ361">
        <v>1</v>
      </c>
      <c r="DU361">
        <v>1010</v>
      </c>
      <c r="DV361" t="s">
        <v>74</v>
      </c>
      <c r="DW361" t="s">
        <v>74</v>
      </c>
      <c r="DX361">
        <v>100</v>
      </c>
      <c r="EE361">
        <v>52362078</v>
      </c>
      <c r="EF361">
        <v>1</v>
      </c>
      <c r="EG361" t="s">
        <v>22</v>
      </c>
      <c r="EH361">
        <v>0</v>
      </c>
      <c r="EI361" t="s">
        <v>3</v>
      </c>
      <c r="EJ361">
        <v>4</v>
      </c>
      <c r="EK361">
        <v>0</v>
      </c>
      <c r="EL361" t="s">
        <v>23</v>
      </c>
      <c r="EM361" t="s">
        <v>24</v>
      </c>
      <c r="EO361" t="s">
        <v>3</v>
      </c>
      <c r="EQ361">
        <v>0</v>
      </c>
      <c r="ER361">
        <v>247379.69</v>
      </c>
      <c r="ES361">
        <v>17852.89</v>
      </c>
      <c r="ET361">
        <v>544.27</v>
      </c>
      <c r="EU361">
        <v>67.94</v>
      </c>
      <c r="EV361">
        <v>228982.53</v>
      </c>
      <c r="EW361">
        <v>902.75</v>
      </c>
      <c r="EX361">
        <v>0</v>
      </c>
      <c r="EY361">
        <v>0</v>
      </c>
      <c r="FQ361">
        <v>0</v>
      </c>
      <c r="FR361">
        <f t="shared" ref="FR361:FR371" si="317">ROUND(IF(AND(BH361=3,BI361=3),P361,0),2)</f>
        <v>0</v>
      </c>
      <c r="FS361">
        <v>0</v>
      </c>
      <c r="FX361">
        <v>70</v>
      </c>
      <c r="FY361">
        <v>10</v>
      </c>
      <c r="GA361" t="s">
        <v>3</v>
      </c>
      <c r="GD361">
        <v>0</v>
      </c>
      <c r="GF361">
        <v>1660792619</v>
      </c>
      <c r="GG361">
        <v>2</v>
      </c>
      <c r="GH361">
        <v>1</v>
      </c>
      <c r="GI361">
        <v>-2</v>
      </c>
      <c r="GJ361">
        <v>0</v>
      </c>
      <c r="GK361">
        <f>ROUND(R361*(R12)/100,2)</f>
        <v>2.94</v>
      </c>
      <c r="GL361">
        <f t="shared" ref="GL361:GL371" si="318">ROUND(IF(AND(BH361=3,BI361=3,FS361&lt;&gt;0),P361,0),2)</f>
        <v>0</v>
      </c>
      <c r="GM361">
        <f t="shared" ref="GM361:GM371" si="319">ROUND(O361+X361+Y361+GK361,2)+GX361</f>
        <v>17225.57</v>
      </c>
      <c r="GN361">
        <f t="shared" ref="GN361:GN371" si="320">IF(OR(BI361=0,BI361=1),ROUND(O361+X361+Y361+GK361,2),0)</f>
        <v>0</v>
      </c>
      <c r="GO361">
        <f t="shared" ref="GO361:GO371" si="321">IF(BI361=2,ROUND(O361+X361+Y361+GK361,2),0)</f>
        <v>0</v>
      </c>
      <c r="GP361">
        <f t="shared" ref="GP361:GP371" si="322">IF(BI361=4,ROUND(O361+X361+Y361+GK361,2)+GX361,0)</f>
        <v>17225.57</v>
      </c>
      <c r="GR361">
        <v>0</v>
      </c>
      <c r="GS361">
        <v>3</v>
      </c>
      <c r="GT361">
        <v>0</v>
      </c>
      <c r="GU361" t="s">
        <v>3</v>
      </c>
      <c r="GV361">
        <f t="shared" ref="GV361:GV371" si="323">ROUND((GT361),6)</f>
        <v>0</v>
      </c>
      <c r="GW361">
        <v>1</v>
      </c>
      <c r="GX361">
        <f t="shared" ref="GX361:GX371" si="324">ROUND(HC361*I361,2)</f>
        <v>0</v>
      </c>
      <c r="HA361">
        <v>0</v>
      </c>
      <c r="HB361">
        <v>0</v>
      </c>
      <c r="HC361">
        <f t="shared" ref="HC361:HC371" si="325">GV361*GW361</f>
        <v>0</v>
      </c>
      <c r="HE361" t="s">
        <v>3</v>
      </c>
      <c r="HF361" t="s">
        <v>3</v>
      </c>
      <c r="IK361">
        <v>0</v>
      </c>
    </row>
    <row r="362" spans="1:245" x14ac:dyDescent="0.2">
      <c r="A362">
        <v>18</v>
      </c>
      <c r="B362">
        <v>1</v>
      </c>
      <c r="C362">
        <v>344</v>
      </c>
      <c r="E362" t="s">
        <v>311</v>
      </c>
      <c r="F362" t="s">
        <v>77</v>
      </c>
      <c r="G362" t="s">
        <v>78</v>
      </c>
      <c r="H362" t="s">
        <v>79</v>
      </c>
      <c r="I362">
        <f>I361*J362</f>
        <v>-1.48E-3</v>
      </c>
      <c r="J362">
        <v>-3.6999999999999998E-2</v>
      </c>
      <c r="O362">
        <f t="shared" si="286"/>
        <v>-15.42</v>
      </c>
      <c r="P362">
        <f t="shared" si="287"/>
        <v>-15.42</v>
      </c>
      <c r="Q362">
        <f t="shared" si="288"/>
        <v>0</v>
      </c>
      <c r="R362">
        <f t="shared" si="289"/>
        <v>0</v>
      </c>
      <c r="S362">
        <f t="shared" si="290"/>
        <v>0</v>
      </c>
      <c r="T362">
        <f t="shared" si="291"/>
        <v>0</v>
      </c>
      <c r="U362">
        <f t="shared" si="292"/>
        <v>0</v>
      </c>
      <c r="V362">
        <f t="shared" si="293"/>
        <v>0</v>
      </c>
      <c r="W362">
        <f t="shared" si="294"/>
        <v>0</v>
      </c>
      <c r="X362">
        <f t="shared" si="295"/>
        <v>0</v>
      </c>
      <c r="Y362">
        <f t="shared" si="296"/>
        <v>0</v>
      </c>
      <c r="AA362">
        <v>52430918</v>
      </c>
      <c r="AB362">
        <f t="shared" si="297"/>
        <v>10419.43</v>
      </c>
      <c r="AC362">
        <f t="shared" si="298"/>
        <v>10419.43</v>
      </c>
      <c r="AD362">
        <f t="shared" si="299"/>
        <v>0</v>
      </c>
      <c r="AE362">
        <f t="shared" si="300"/>
        <v>0</v>
      </c>
      <c r="AF362">
        <f t="shared" si="301"/>
        <v>0</v>
      </c>
      <c r="AG362">
        <f t="shared" si="302"/>
        <v>0</v>
      </c>
      <c r="AH362">
        <f t="shared" si="303"/>
        <v>0</v>
      </c>
      <c r="AI362">
        <f t="shared" si="304"/>
        <v>0</v>
      </c>
      <c r="AJ362">
        <f t="shared" si="305"/>
        <v>0</v>
      </c>
      <c r="AK362">
        <v>10419.43</v>
      </c>
      <c r="AL362">
        <v>10419.43</v>
      </c>
      <c r="AM362">
        <v>0</v>
      </c>
      <c r="AN362">
        <v>0</v>
      </c>
      <c r="AO362">
        <v>0</v>
      </c>
      <c r="AP362">
        <v>0</v>
      </c>
      <c r="AQ362">
        <v>0</v>
      </c>
      <c r="AR362">
        <v>0</v>
      </c>
      <c r="AS362">
        <v>0</v>
      </c>
      <c r="AT362">
        <v>70</v>
      </c>
      <c r="AU362">
        <v>10</v>
      </c>
      <c r="AV362">
        <v>1</v>
      </c>
      <c r="AW362">
        <v>1</v>
      </c>
      <c r="AZ362">
        <v>1</v>
      </c>
      <c r="BA362">
        <v>1</v>
      </c>
      <c r="BB362">
        <v>1</v>
      </c>
      <c r="BC362">
        <v>1</v>
      </c>
      <c r="BD362" t="s">
        <v>3</v>
      </c>
      <c r="BE362" t="s">
        <v>3</v>
      </c>
      <c r="BF362" t="s">
        <v>3</v>
      </c>
      <c r="BG362" t="s">
        <v>3</v>
      </c>
      <c r="BH362">
        <v>3</v>
      </c>
      <c r="BI362">
        <v>4</v>
      </c>
      <c r="BJ362" t="s">
        <v>80</v>
      </c>
      <c r="BM362">
        <v>0</v>
      </c>
      <c r="BN362">
        <v>0</v>
      </c>
      <c r="BO362" t="s">
        <v>3</v>
      </c>
      <c r="BP362">
        <v>0</v>
      </c>
      <c r="BQ362">
        <v>1</v>
      </c>
      <c r="BR362">
        <v>1</v>
      </c>
      <c r="BS362">
        <v>1</v>
      </c>
      <c r="BT362">
        <v>1</v>
      </c>
      <c r="BU362">
        <v>1</v>
      </c>
      <c r="BV362">
        <v>1</v>
      </c>
      <c r="BW362">
        <v>1</v>
      </c>
      <c r="BX362">
        <v>1</v>
      </c>
      <c r="BY362" t="s">
        <v>3</v>
      </c>
      <c r="BZ362">
        <v>70</v>
      </c>
      <c r="CA362">
        <v>10</v>
      </c>
      <c r="CE362">
        <v>0</v>
      </c>
      <c r="CF362">
        <v>0</v>
      </c>
      <c r="CG362">
        <v>0</v>
      </c>
      <c r="CM362">
        <v>0</v>
      </c>
      <c r="CN362" t="s">
        <v>3</v>
      </c>
      <c r="CO362">
        <v>0</v>
      </c>
      <c r="CP362">
        <f t="shared" si="306"/>
        <v>-15.42</v>
      </c>
      <c r="CQ362">
        <f t="shared" si="307"/>
        <v>10419.43</v>
      </c>
      <c r="CR362">
        <f t="shared" si="308"/>
        <v>0</v>
      </c>
      <c r="CS362">
        <f t="shared" si="309"/>
        <v>0</v>
      </c>
      <c r="CT362">
        <f t="shared" si="310"/>
        <v>0</v>
      </c>
      <c r="CU362">
        <f t="shared" si="311"/>
        <v>0</v>
      </c>
      <c r="CV362">
        <f t="shared" si="312"/>
        <v>0</v>
      </c>
      <c r="CW362">
        <f t="shared" si="313"/>
        <v>0</v>
      </c>
      <c r="CX362">
        <f t="shared" si="314"/>
        <v>0</v>
      </c>
      <c r="CY362">
        <f t="shared" si="315"/>
        <v>0</v>
      </c>
      <c r="CZ362">
        <f t="shared" si="316"/>
        <v>0</v>
      </c>
      <c r="DC362" t="s">
        <v>3</v>
      </c>
      <c r="DD362" t="s">
        <v>3</v>
      </c>
      <c r="DE362" t="s">
        <v>3</v>
      </c>
      <c r="DF362" t="s">
        <v>3</v>
      </c>
      <c r="DG362" t="s">
        <v>3</v>
      </c>
      <c r="DH362" t="s">
        <v>3</v>
      </c>
      <c r="DI362" t="s">
        <v>3</v>
      </c>
      <c r="DJ362" t="s">
        <v>3</v>
      </c>
      <c r="DK362" t="s">
        <v>3</v>
      </c>
      <c r="DL362" t="s">
        <v>3</v>
      </c>
      <c r="DM362" t="s">
        <v>3</v>
      </c>
      <c r="DN362">
        <v>0</v>
      </c>
      <c r="DO362">
        <v>0</v>
      </c>
      <c r="DP362">
        <v>1</v>
      </c>
      <c r="DQ362">
        <v>1</v>
      </c>
      <c r="DU362">
        <v>1010</v>
      </c>
      <c r="DV362" t="s">
        <v>79</v>
      </c>
      <c r="DW362" t="s">
        <v>79</v>
      </c>
      <c r="DX362">
        <v>1000</v>
      </c>
      <c r="EE362">
        <v>52362078</v>
      </c>
      <c r="EF362">
        <v>1</v>
      </c>
      <c r="EG362" t="s">
        <v>22</v>
      </c>
      <c r="EH362">
        <v>0</v>
      </c>
      <c r="EI362" t="s">
        <v>3</v>
      </c>
      <c r="EJ362">
        <v>4</v>
      </c>
      <c r="EK362">
        <v>0</v>
      </c>
      <c r="EL362" t="s">
        <v>23</v>
      </c>
      <c r="EM362" t="s">
        <v>24</v>
      </c>
      <c r="EO362" t="s">
        <v>3</v>
      </c>
      <c r="EQ362">
        <v>32768</v>
      </c>
      <c r="ER362">
        <v>10419.43</v>
      </c>
      <c r="ES362">
        <v>10419.43</v>
      </c>
      <c r="ET362">
        <v>0</v>
      </c>
      <c r="EU362">
        <v>0</v>
      </c>
      <c r="EV362">
        <v>0</v>
      </c>
      <c r="EW362">
        <v>0</v>
      </c>
      <c r="EX362">
        <v>0</v>
      </c>
      <c r="FQ362">
        <v>0</v>
      </c>
      <c r="FR362">
        <f t="shared" si="317"/>
        <v>0</v>
      </c>
      <c r="FS362">
        <v>0</v>
      </c>
      <c r="FX362">
        <v>70</v>
      </c>
      <c r="FY362">
        <v>10</v>
      </c>
      <c r="GA362" t="s">
        <v>3</v>
      </c>
      <c r="GD362">
        <v>0</v>
      </c>
      <c r="GF362">
        <v>-477329452</v>
      </c>
      <c r="GG362">
        <v>2</v>
      </c>
      <c r="GH362">
        <v>1</v>
      </c>
      <c r="GI362">
        <v>-2</v>
      </c>
      <c r="GJ362">
        <v>0</v>
      </c>
      <c r="GK362">
        <f>ROUND(R362*(R12)/100,2)</f>
        <v>0</v>
      </c>
      <c r="GL362">
        <f t="shared" si="318"/>
        <v>0</v>
      </c>
      <c r="GM362">
        <f t="shared" si="319"/>
        <v>-15.42</v>
      </c>
      <c r="GN362">
        <f t="shared" si="320"/>
        <v>0</v>
      </c>
      <c r="GO362">
        <f t="shared" si="321"/>
        <v>0</v>
      </c>
      <c r="GP362">
        <f t="shared" si="322"/>
        <v>-15.42</v>
      </c>
      <c r="GR362">
        <v>0</v>
      </c>
      <c r="GS362">
        <v>3</v>
      </c>
      <c r="GT362">
        <v>0</v>
      </c>
      <c r="GU362" t="s">
        <v>3</v>
      </c>
      <c r="GV362">
        <f t="shared" si="323"/>
        <v>0</v>
      </c>
      <c r="GW362">
        <v>1</v>
      </c>
      <c r="GX362">
        <f t="shared" si="324"/>
        <v>0</v>
      </c>
      <c r="HA362">
        <v>0</v>
      </c>
      <c r="HB362">
        <v>0</v>
      </c>
      <c r="HC362">
        <f t="shared" si="325"/>
        <v>0</v>
      </c>
      <c r="HE362" t="s">
        <v>3</v>
      </c>
      <c r="HF362" t="s">
        <v>3</v>
      </c>
      <c r="IK362">
        <v>0</v>
      </c>
    </row>
    <row r="363" spans="1:245" x14ac:dyDescent="0.2">
      <c r="A363">
        <v>18</v>
      </c>
      <c r="B363">
        <v>1</v>
      </c>
      <c r="C363">
        <v>342</v>
      </c>
      <c r="E363" t="s">
        <v>312</v>
      </c>
      <c r="F363" t="s">
        <v>82</v>
      </c>
      <c r="G363" t="s">
        <v>83</v>
      </c>
      <c r="H363" t="s">
        <v>84</v>
      </c>
      <c r="I363">
        <f>I361*J363</f>
        <v>-0.21759999999999999</v>
      </c>
      <c r="J363">
        <v>-5.4399999999999995</v>
      </c>
      <c r="O363">
        <f t="shared" si="286"/>
        <v>-2.35</v>
      </c>
      <c r="P363">
        <f t="shared" si="287"/>
        <v>0</v>
      </c>
      <c r="Q363">
        <f t="shared" si="288"/>
        <v>-2.35</v>
      </c>
      <c r="R363">
        <f t="shared" si="289"/>
        <v>-0.65</v>
      </c>
      <c r="S363">
        <f t="shared" si="290"/>
        <v>0</v>
      </c>
      <c r="T363">
        <f t="shared" si="291"/>
        <v>0</v>
      </c>
      <c r="U363">
        <f t="shared" si="292"/>
        <v>0</v>
      </c>
      <c r="V363">
        <f t="shared" si="293"/>
        <v>0</v>
      </c>
      <c r="W363">
        <f t="shared" si="294"/>
        <v>0</v>
      </c>
      <c r="X363">
        <f t="shared" si="295"/>
        <v>0</v>
      </c>
      <c r="Y363">
        <f t="shared" si="296"/>
        <v>0</v>
      </c>
      <c r="AA363">
        <v>52430918</v>
      </c>
      <c r="AB363">
        <f t="shared" si="297"/>
        <v>10.82</v>
      </c>
      <c r="AC363">
        <f t="shared" si="298"/>
        <v>0</v>
      </c>
      <c r="AD363">
        <f t="shared" si="299"/>
        <v>10.82</v>
      </c>
      <c r="AE363">
        <f t="shared" si="300"/>
        <v>2.97</v>
      </c>
      <c r="AF363">
        <f t="shared" si="301"/>
        <v>0</v>
      </c>
      <c r="AG363">
        <f t="shared" si="302"/>
        <v>0</v>
      </c>
      <c r="AH363">
        <f t="shared" si="303"/>
        <v>0</v>
      </c>
      <c r="AI363">
        <f t="shared" si="304"/>
        <v>0</v>
      </c>
      <c r="AJ363">
        <f t="shared" si="305"/>
        <v>0</v>
      </c>
      <c r="AK363">
        <v>10.82</v>
      </c>
      <c r="AL363">
        <v>0</v>
      </c>
      <c r="AM363">
        <v>10.82</v>
      </c>
      <c r="AN363">
        <v>2.97</v>
      </c>
      <c r="AO363">
        <v>0</v>
      </c>
      <c r="AP363">
        <v>0</v>
      </c>
      <c r="AQ363">
        <v>0</v>
      </c>
      <c r="AR363">
        <v>0</v>
      </c>
      <c r="AS363">
        <v>0</v>
      </c>
      <c r="AT363">
        <v>70</v>
      </c>
      <c r="AU363">
        <v>10</v>
      </c>
      <c r="AV363">
        <v>1</v>
      </c>
      <c r="AW363">
        <v>1</v>
      </c>
      <c r="AZ363">
        <v>1</v>
      </c>
      <c r="BA363">
        <v>1</v>
      </c>
      <c r="BB363">
        <v>1</v>
      </c>
      <c r="BC363">
        <v>1</v>
      </c>
      <c r="BD363" t="s">
        <v>3</v>
      </c>
      <c r="BE363" t="s">
        <v>3</v>
      </c>
      <c r="BF363" t="s">
        <v>3</v>
      </c>
      <c r="BG363" t="s">
        <v>3</v>
      </c>
      <c r="BH363">
        <v>2</v>
      </c>
      <c r="BI363">
        <v>4</v>
      </c>
      <c r="BJ363" t="s">
        <v>85</v>
      </c>
      <c r="BM363">
        <v>0</v>
      </c>
      <c r="BN363">
        <v>0</v>
      </c>
      <c r="BO363" t="s">
        <v>3</v>
      </c>
      <c r="BP363">
        <v>0</v>
      </c>
      <c r="BQ363">
        <v>1</v>
      </c>
      <c r="BR363">
        <v>1</v>
      </c>
      <c r="BS363">
        <v>1</v>
      </c>
      <c r="BT363">
        <v>1</v>
      </c>
      <c r="BU363">
        <v>1</v>
      </c>
      <c r="BV363">
        <v>1</v>
      </c>
      <c r="BW363">
        <v>1</v>
      </c>
      <c r="BX363">
        <v>1</v>
      </c>
      <c r="BY363" t="s">
        <v>3</v>
      </c>
      <c r="BZ363">
        <v>70</v>
      </c>
      <c r="CA363">
        <v>10</v>
      </c>
      <c r="CE363">
        <v>0</v>
      </c>
      <c r="CF363">
        <v>0</v>
      </c>
      <c r="CG363">
        <v>0</v>
      </c>
      <c r="CM363">
        <v>0</v>
      </c>
      <c r="CN363" t="s">
        <v>3</v>
      </c>
      <c r="CO363">
        <v>0</v>
      </c>
      <c r="CP363">
        <f t="shared" si="306"/>
        <v>-2.35</v>
      </c>
      <c r="CQ363">
        <f t="shared" si="307"/>
        <v>0</v>
      </c>
      <c r="CR363">
        <f t="shared" si="308"/>
        <v>10.82</v>
      </c>
      <c r="CS363">
        <f t="shared" si="309"/>
        <v>2.97</v>
      </c>
      <c r="CT363">
        <f t="shared" si="310"/>
        <v>0</v>
      </c>
      <c r="CU363">
        <f t="shared" si="311"/>
        <v>0</v>
      </c>
      <c r="CV363">
        <f t="shared" si="312"/>
        <v>0</v>
      </c>
      <c r="CW363">
        <f t="shared" si="313"/>
        <v>0</v>
      </c>
      <c r="CX363">
        <f t="shared" si="314"/>
        <v>0</v>
      </c>
      <c r="CY363">
        <f t="shared" si="315"/>
        <v>0</v>
      </c>
      <c r="CZ363">
        <f t="shared" si="316"/>
        <v>0</v>
      </c>
      <c r="DC363" t="s">
        <v>3</v>
      </c>
      <c r="DD363" t="s">
        <v>3</v>
      </c>
      <c r="DE363" t="s">
        <v>3</v>
      </c>
      <c r="DF363" t="s">
        <v>3</v>
      </c>
      <c r="DG363" t="s">
        <v>3</v>
      </c>
      <c r="DH363" t="s">
        <v>3</v>
      </c>
      <c r="DI363" t="s">
        <v>3</v>
      </c>
      <c r="DJ363" t="s">
        <v>3</v>
      </c>
      <c r="DK363" t="s">
        <v>3</v>
      </c>
      <c r="DL363" t="s">
        <v>3</v>
      </c>
      <c r="DM363" t="s">
        <v>3</v>
      </c>
      <c r="DN363">
        <v>0</v>
      </c>
      <c r="DO363">
        <v>0</v>
      </c>
      <c r="DP363">
        <v>1</v>
      </c>
      <c r="DQ363">
        <v>1</v>
      </c>
      <c r="DU363">
        <v>1011</v>
      </c>
      <c r="DV363" t="s">
        <v>84</v>
      </c>
      <c r="DW363" t="s">
        <v>84</v>
      </c>
      <c r="DX363">
        <v>1</v>
      </c>
      <c r="EE363">
        <v>52362078</v>
      </c>
      <c r="EF363">
        <v>1</v>
      </c>
      <c r="EG363" t="s">
        <v>22</v>
      </c>
      <c r="EH363">
        <v>0</v>
      </c>
      <c r="EI363" t="s">
        <v>3</v>
      </c>
      <c r="EJ363">
        <v>4</v>
      </c>
      <c r="EK363">
        <v>0</v>
      </c>
      <c r="EL363" t="s">
        <v>23</v>
      </c>
      <c r="EM363" t="s">
        <v>24</v>
      </c>
      <c r="EO363" t="s">
        <v>3</v>
      </c>
      <c r="EQ363">
        <v>32768</v>
      </c>
      <c r="ER363">
        <v>10.82</v>
      </c>
      <c r="ES363">
        <v>0</v>
      </c>
      <c r="ET363">
        <v>10.82</v>
      </c>
      <c r="EU363">
        <v>2.97</v>
      </c>
      <c r="EV363">
        <v>0</v>
      </c>
      <c r="EW363">
        <v>0</v>
      </c>
      <c r="EX363">
        <v>0</v>
      </c>
      <c r="FQ363">
        <v>0</v>
      </c>
      <c r="FR363">
        <f t="shared" si="317"/>
        <v>0</v>
      </c>
      <c r="FS363">
        <v>0</v>
      </c>
      <c r="FX363">
        <v>70</v>
      </c>
      <c r="FY363">
        <v>10</v>
      </c>
      <c r="GA363" t="s">
        <v>3</v>
      </c>
      <c r="GD363">
        <v>0</v>
      </c>
      <c r="GF363">
        <v>1349119844</v>
      </c>
      <c r="GG363">
        <v>2</v>
      </c>
      <c r="GH363">
        <v>1</v>
      </c>
      <c r="GI363">
        <v>-2</v>
      </c>
      <c r="GJ363">
        <v>0</v>
      </c>
      <c r="GK363">
        <f>ROUND(R363*(R12)/100,2)</f>
        <v>-0.7</v>
      </c>
      <c r="GL363">
        <f t="shared" si="318"/>
        <v>0</v>
      </c>
      <c r="GM363">
        <f t="shared" si="319"/>
        <v>-3.05</v>
      </c>
      <c r="GN363">
        <f t="shared" si="320"/>
        <v>0</v>
      </c>
      <c r="GO363">
        <f t="shared" si="321"/>
        <v>0</v>
      </c>
      <c r="GP363">
        <f t="shared" si="322"/>
        <v>-3.05</v>
      </c>
      <c r="GR363">
        <v>0</v>
      </c>
      <c r="GS363">
        <v>7</v>
      </c>
      <c r="GT363">
        <v>0</v>
      </c>
      <c r="GU363" t="s">
        <v>3</v>
      </c>
      <c r="GV363">
        <f t="shared" si="323"/>
        <v>0</v>
      </c>
      <c r="GW363">
        <v>1</v>
      </c>
      <c r="GX363">
        <f t="shared" si="324"/>
        <v>0</v>
      </c>
      <c r="HA363">
        <v>0</v>
      </c>
      <c r="HB363">
        <v>0</v>
      </c>
      <c r="HC363">
        <f t="shared" si="325"/>
        <v>0</v>
      </c>
      <c r="HE363" t="s">
        <v>3</v>
      </c>
      <c r="HF363" t="s">
        <v>3</v>
      </c>
      <c r="IK363">
        <v>0</v>
      </c>
    </row>
    <row r="364" spans="1:245" x14ac:dyDescent="0.2">
      <c r="A364">
        <v>18</v>
      </c>
      <c r="B364">
        <v>1</v>
      </c>
      <c r="C364">
        <v>341</v>
      </c>
      <c r="E364" t="s">
        <v>313</v>
      </c>
      <c r="F364" t="s">
        <v>87</v>
      </c>
      <c r="G364" t="s">
        <v>88</v>
      </c>
      <c r="H364" t="s">
        <v>84</v>
      </c>
      <c r="I364">
        <f>I361*J364</f>
        <v>-0.57999999999999996</v>
      </c>
      <c r="J364">
        <v>-14.499999999999998</v>
      </c>
      <c r="O364">
        <f t="shared" si="286"/>
        <v>-15.78</v>
      </c>
      <c r="P364">
        <f t="shared" si="287"/>
        <v>0</v>
      </c>
      <c r="Q364">
        <f t="shared" si="288"/>
        <v>-15.78</v>
      </c>
      <c r="R364">
        <f t="shared" si="289"/>
        <v>-0.08</v>
      </c>
      <c r="S364">
        <f t="shared" si="290"/>
        <v>0</v>
      </c>
      <c r="T364">
        <f t="shared" si="291"/>
        <v>0</v>
      </c>
      <c r="U364">
        <f t="shared" si="292"/>
        <v>0</v>
      </c>
      <c r="V364">
        <f t="shared" si="293"/>
        <v>0</v>
      </c>
      <c r="W364">
        <f t="shared" si="294"/>
        <v>0</v>
      </c>
      <c r="X364">
        <f t="shared" si="295"/>
        <v>0</v>
      </c>
      <c r="Y364">
        <f t="shared" si="296"/>
        <v>0</v>
      </c>
      <c r="AA364">
        <v>52430918</v>
      </c>
      <c r="AB364">
        <f t="shared" si="297"/>
        <v>27.21</v>
      </c>
      <c r="AC364">
        <f t="shared" si="298"/>
        <v>0</v>
      </c>
      <c r="AD364">
        <f t="shared" si="299"/>
        <v>27.21</v>
      </c>
      <c r="AE364">
        <f t="shared" si="300"/>
        <v>0.13</v>
      </c>
      <c r="AF364">
        <f t="shared" si="301"/>
        <v>0</v>
      </c>
      <c r="AG364">
        <f t="shared" si="302"/>
        <v>0</v>
      </c>
      <c r="AH364">
        <f t="shared" si="303"/>
        <v>0</v>
      </c>
      <c r="AI364">
        <f t="shared" si="304"/>
        <v>0</v>
      </c>
      <c r="AJ364">
        <f t="shared" si="305"/>
        <v>0</v>
      </c>
      <c r="AK364">
        <v>27.21</v>
      </c>
      <c r="AL364">
        <v>0</v>
      </c>
      <c r="AM364">
        <v>27.21</v>
      </c>
      <c r="AN364">
        <v>0.13</v>
      </c>
      <c r="AO364">
        <v>0</v>
      </c>
      <c r="AP364">
        <v>0</v>
      </c>
      <c r="AQ364">
        <v>0</v>
      </c>
      <c r="AR364">
        <v>0</v>
      </c>
      <c r="AS364">
        <v>0</v>
      </c>
      <c r="AT364">
        <v>70</v>
      </c>
      <c r="AU364">
        <v>10</v>
      </c>
      <c r="AV364">
        <v>1</v>
      </c>
      <c r="AW364">
        <v>1</v>
      </c>
      <c r="AZ364">
        <v>1</v>
      </c>
      <c r="BA364">
        <v>1</v>
      </c>
      <c r="BB364">
        <v>1</v>
      </c>
      <c r="BC364">
        <v>1</v>
      </c>
      <c r="BD364" t="s">
        <v>3</v>
      </c>
      <c r="BE364" t="s">
        <v>3</v>
      </c>
      <c r="BF364" t="s">
        <v>3</v>
      </c>
      <c r="BG364" t="s">
        <v>3</v>
      </c>
      <c r="BH364">
        <v>2</v>
      </c>
      <c r="BI364">
        <v>4</v>
      </c>
      <c r="BJ364" t="s">
        <v>89</v>
      </c>
      <c r="BM364">
        <v>0</v>
      </c>
      <c r="BN364">
        <v>0</v>
      </c>
      <c r="BO364" t="s">
        <v>3</v>
      </c>
      <c r="BP364">
        <v>0</v>
      </c>
      <c r="BQ364">
        <v>1</v>
      </c>
      <c r="BR364">
        <v>1</v>
      </c>
      <c r="BS364">
        <v>1</v>
      </c>
      <c r="BT364">
        <v>1</v>
      </c>
      <c r="BU364">
        <v>1</v>
      </c>
      <c r="BV364">
        <v>1</v>
      </c>
      <c r="BW364">
        <v>1</v>
      </c>
      <c r="BX364">
        <v>1</v>
      </c>
      <c r="BY364" t="s">
        <v>3</v>
      </c>
      <c r="BZ364">
        <v>70</v>
      </c>
      <c r="CA364">
        <v>10</v>
      </c>
      <c r="CE364">
        <v>0</v>
      </c>
      <c r="CF364">
        <v>0</v>
      </c>
      <c r="CG364">
        <v>0</v>
      </c>
      <c r="CM364">
        <v>0</v>
      </c>
      <c r="CN364" t="s">
        <v>3</v>
      </c>
      <c r="CO364">
        <v>0</v>
      </c>
      <c r="CP364">
        <f t="shared" si="306"/>
        <v>-15.78</v>
      </c>
      <c r="CQ364">
        <f t="shared" si="307"/>
        <v>0</v>
      </c>
      <c r="CR364">
        <f t="shared" si="308"/>
        <v>27.21</v>
      </c>
      <c r="CS364">
        <f t="shared" si="309"/>
        <v>0.13</v>
      </c>
      <c r="CT364">
        <f t="shared" si="310"/>
        <v>0</v>
      </c>
      <c r="CU364">
        <f t="shared" si="311"/>
        <v>0</v>
      </c>
      <c r="CV364">
        <f t="shared" si="312"/>
        <v>0</v>
      </c>
      <c r="CW364">
        <f t="shared" si="313"/>
        <v>0</v>
      </c>
      <c r="CX364">
        <f t="shared" si="314"/>
        <v>0</v>
      </c>
      <c r="CY364">
        <f t="shared" si="315"/>
        <v>0</v>
      </c>
      <c r="CZ364">
        <f t="shared" si="316"/>
        <v>0</v>
      </c>
      <c r="DC364" t="s">
        <v>3</v>
      </c>
      <c r="DD364" t="s">
        <v>3</v>
      </c>
      <c r="DE364" t="s">
        <v>3</v>
      </c>
      <c r="DF364" t="s">
        <v>3</v>
      </c>
      <c r="DG364" t="s">
        <v>3</v>
      </c>
      <c r="DH364" t="s">
        <v>3</v>
      </c>
      <c r="DI364" t="s">
        <v>3</v>
      </c>
      <c r="DJ364" t="s">
        <v>3</v>
      </c>
      <c r="DK364" t="s">
        <v>3</v>
      </c>
      <c r="DL364" t="s">
        <v>3</v>
      </c>
      <c r="DM364" t="s">
        <v>3</v>
      </c>
      <c r="DN364">
        <v>0</v>
      </c>
      <c r="DO364">
        <v>0</v>
      </c>
      <c r="DP364">
        <v>1</v>
      </c>
      <c r="DQ364">
        <v>1</v>
      </c>
      <c r="DU364">
        <v>1011</v>
      </c>
      <c r="DV364" t="s">
        <v>84</v>
      </c>
      <c r="DW364" t="s">
        <v>84</v>
      </c>
      <c r="DX364">
        <v>1</v>
      </c>
      <c r="EE364">
        <v>52362078</v>
      </c>
      <c r="EF364">
        <v>1</v>
      </c>
      <c r="EG364" t="s">
        <v>22</v>
      </c>
      <c r="EH364">
        <v>0</v>
      </c>
      <c r="EI364" t="s">
        <v>3</v>
      </c>
      <c r="EJ364">
        <v>4</v>
      </c>
      <c r="EK364">
        <v>0</v>
      </c>
      <c r="EL364" t="s">
        <v>23</v>
      </c>
      <c r="EM364" t="s">
        <v>24</v>
      </c>
      <c r="EO364" t="s">
        <v>3</v>
      </c>
      <c r="EQ364">
        <v>32768</v>
      </c>
      <c r="ER364">
        <v>27.21</v>
      </c>
      <c r="ES364">
        <v>0</v>
      </c>
      <c r="ET364">
        <v>27.21</v>
      </c>
      <c r="EU364">
        <v>0.13</v>
      </c>
      <c r="EV364">
        <v>0</v>
      </c>
      <c r="EW364">
        <v>0</v>
      </c>
      <c r="EX364">
        <v>0</v>
      </c>
      <c r="FQ364">
        <v>0</v>
      </c>
      <c r="FR364">
        <f t="shared" si="317"/>
        <v>0</v>
      </c>
      <c r="FS364">
        <v>0</v>
      </c>
      <c r="FX364">
        <v>70</v>
      </c>
      <c r="FY364">
        <v>10</v>
      </c>
      <c r="GA364" t="s">
        <v>3</v>
      </c>
      <c r="GD364">
        <v>0</v>
      </c>
      <c r="GF364">
        <v>-1757825014</v>
      </c>
      <c r="GG364">
        <v>2</v>
      </c>
      <c r="GH364">
        <v>1</v>
      </c>
      <c r="GI364">
        <v>-2</v>
      </c>
      <c r="GJ364">
        <v>0</v>
      </c>
      <c r="GK364">
        <f>ROUND(R364*(R12)/100,2)</f>
        <v>-0.09</v>
      </c>
      <c r="GL364">
        <f t="shared" si="318"/>
        <v>0</v>
      </c>
      <c r="GM364">
        <f t="shared" si="319"/>
        <v>-15.87</v>
      </c>
      <c r="GN364">
        <f t="shared" si="320"/>
        <v>0</v>
      </c>
      <c r="GO364">
        <f t="shared" si="321"/>
        <v>0</v>
      </c>
      <c r="GP364">
        <f t="shared" si="322"/>
        <v>-15.87</v>
      </c>
      <c r="GR364">
        <v>0</v>
      </c>
      <c r="GS364">
        <v>7</v>
      </c>
      <c r="GT364">
        <v>0</v>
      </c>
      <c r="GU364" t="s">
        <v>3</v>
      </c>
      <c r="GV364">
        <f t="shared" si="323"/>
        <v>0</v>
      </c>
      <c r="GW364">
        <v>1</v>
      </c>
      <c r="GX364">
        <f t="shared" si="324"/>
        <v>0</v>
      </c>
      <c r="HA364">
        <v>0</v>
      </c>
      <c r="HB364">
        <v>0</v>
      </c>
      <c r="HC364">
        <f t="shared" si="325"/>
        <v>0</v>
      </c>
      <c r="HE364" t="s">
        <v>3</v>
      </c>
      <c r="HF364" t="s">
        <v>3</v>
      </c>
      <c r="IK364">
        <v>0</v>
      </c>
    </row>
    <row r="365" spans="1:245" x14ac:dyDescent="0.2">
      <c r="A365">
        <v>18</v>
      </c>
      <c r="B365">
        <v>1</v>
      </c>
      <c r="C365">
        <v>340</v>
      </c>
      <c r="E365" t="s">
        <v>314</v>
      </c>
      <c r="F365" t="s">
        <v>91</v>
      </c>
      <c r="G365" t="s">
        <v>92</v>
      </c>
      <c r="H365" t="s">
        <v>84</v>
      </c>
      <c r="I365">
        <f>I361*J365</f>
        <v>-3.5999999999999999E-3</v>
      </c>
      <c r="J365">
        <v>-0.09</v>
      </c>
      <c r="O365">
        <f t="shared" si="286"/>
        <v>-3.63</v>
      </c>
      <c r="P365">
        <f t="shared" si="287"/>
        <v>0</v>
      </c>
      <c r="Q365">
        <f t="shared" si="288"/>
        <v>-3.63</v>
      </c>
      <c r="R365">
        <f t="shared" si="289"/>
        <v>-2</v>
      </c>
      <c r="S365">
        <f t="shared" si="290"/>
        <v>0</v>
      </c>
      <c r="T365">
        <f t="shared" si="291"/>
        <v>0</v>
      </c>
      <c r="U365">
        <f t="shared" si="292"/>
        <v>0</v>
      </c>
      <c r="V365">
        <f t="shared" si="293"/>
        <v>0</v>
      </c>
      <c r="W365">
        <f t="shared" si="294"/>
        <v>0</v>
      </c>
      <c r="X365">
        <f t="shared" si="295"/>
        <v>0</v>
      </c>
      <c r="Y365">
        <f t="shared" si="296"/>
        <v>0</v>
      </c>
      <c r="AA365">
        <v>52430918</v>
      </c>
      <c r="AB365">
        <f t="shared" si="297"/>
        <v>1009.65</v>
      </c>
      <c r="AC365">
        <f t="shared" si="298"/>
        <v>0</v>
      </c>
      <c r="AD365">
        <f t="shared" si="299"/>
        <v>1009.65</v>
      </c>
      <c r="AE365">
        <f t="shared" si="300"/>
        <v>554.42999999999995</v>
      </c>
      <c r="AF365">
        <f t="shared" si="301"/>
        <v>0</v>
      </c>
      <c r="AG365">
        <f t="shared" si="302"/>
        <v>0</v>
      </c>
      <c r="AH365">
        <f t="shared" si="303"/>
        <v>0</v>
      </c>
      <c r="AI365">
        <f t="shared" si="304"/>
        <v>0</v>
      </c>
      <c r="AJ365">
        <f t="shared" si="305"/>
        <v>0</v>
      </c>
      <c r="AK365">
        <v>1009.65</v>
      </c>
      <c r="AL365">
        <v>0</v>
      </c>
      <c r="AM365">
        <v>1009.65</v>
      </c>
      <c r="AN365">
        <v>554.42999999999995</v>
      </c>
      <c r="AO365">
        <v>0</v>
      </c>
      <c r="AP365">
        <v>0</v>
      </c>
      <c r="AQ365">
        <v>0</v>
      </c>
      <c r="AR365">
        <v>0</v>
      </c>
      <c r="AS365">
        <v>0</v>
      </c>
      <c r="AT365">
        <v>70</v>
      </c>
      <c r="AU365">
        <v>10</v>
      </c>
      <c r="AV365">
        <v>1</v>
      </c>
      <c r="AW365">
        <v>1</v>
      </c>
      <c r="AZ365">
        <v>1</v>
      </c>
      <c r="BA365">
        <v>1</v>
      </c>
      <c r="BB365">
        <v>1</v>
      </c>
      <c r="BC365">
        <v>1</v>
      </c>
      <c r="BD365" t="s">
        <v>3</v>
      </c>
      <c r="BE365" t="s">
        <v>3</v>
      </c>
      <c r="BF365" t="s">
        <v>3</v>
      </c>
      <c r="BG365" t="s">
        <v>3</v>
      </c>
      <c r="BH365">
        <v>2</v>
      </c>
      <c r="BI365">
        <v>4</v>
      </c>
      <c r="BJ365" t="s">
        <v>93</v>
      </c>
      <c r="BM365">
        <v>0</v>
      </c>
      <c r="BN365">
        <v>0</v>
      </c>
      <c r="BO365" t="s">
        <v>3</v>
      </c>
      <c r="BP365">
        <v>0</v>
      </c>
      <c r="BQ365">
        <v>1</v>
      </c>
      <c r="BR365">
        <v>1</v>
      </c>
      <c r="BS365">
        <v>1</v>
      </c>
      <c r="BT365">
        <v>1</v>
      </c>
      <c r="BU365">
        <v>1</v>
      </c>
      <c r="BV365">
        <v>1</v>
      </c>
      <c r="BW365">
        <v>1</v>
      </c>
      <c r="BX365">
        <v>1</v>
      </c>
      <c r="BY365" t="s">
        <v>3</v>
      </c>
      <c r="BZ365">
        <v>70</v>
      </c>
      <c r="CA365">
        <v>10</v>
      </c>
      <c r="CE365">
        <v>0</v>
      </c>
      <c r="CF365">
        <v>0</v>
      </c>
      <c r="CG365">
        <v>0</v>
      </c>
      <c r="CM365">
        <v>0</v>
      </c>
      <c r="CN365" t="s">
        <v>3</v>
      </c>
      <c r="CO365">
        <v>0</v>
      </c>
      <c r="CP365">
        <f t="shared" si="306"/>
        <v>-3.63</v>
      </c>
      <c r="CQ365">
        <f t="shared" si="307"/>
        <v>0</v>
      </c>
      <c r="CR365">
        <f t="shared" si="308"/>
        <v>1009.65</v>
      </c>
      <c r="CS365">
        <f t="shared" si="309"/>
        <v>554.42999999999995</v>
      </c>
      <c r="CT365">
        <f t="shared" si="310"/>
        <v>0</v>
      </c>
      <c r="CU365">
        <f t="shared" si="311"/>
        <v>0</v>
      </c>
      <c r="CV365">
        <f t="shared" si="312"/>
        <v>0</v>
      </c>
      <c r="CW365">
        <f t="shared" si="313"/>
        <v>0</v>
      </c>
      <c r="CX365">
        <f t="shared" si="314"/>
        <v>0</v>
      </c>
      <c r="CY365">
        <f t="shared" si="315"/>
        <v>0</v>
      </c>
      <c r="CZ365">
        <f t="shared" si="316"/>
        <v>0</v>
      </c>
      <c r="DC365" t="s">
        <v>3</v>
      </c>
      <c r="DD365" t="s">
        <v>3</v>
      </c>
      <c r="DE365" t="s">
        <v>3</v>
      </c>
      <c r="DF365" t="s">
        <v>3</v>
      </c>
      <c r="DG365" t="s">
        <v>3</v>
      </c>
      <c r="DH365" t="s">
        <v>3</v>
      </c>
      <c r="DI365" t="s">
        <v>3</v>
      </c>
      <c r="DJ365" t="s">
        <v>3</v>
      </c>
      <c r="DK365" t="s">
        <v>3</v>
      </c>
      <c r="DL365" t="s">
        <v>3</v>
      </c>
      <c r="DM365" t="s">
        <v>3</v>
      </c>
      <c r="DN365">
        <v>0</v>
      </c>
      <c r="DO365">
        <v>0</v>
      </c>
      <c r="DP365">
        <v>1</v>
      </c>
      <c r="DQ365">
        <v>1</v>
      </c>
      <c r="DU365">
        <v>1011</v>
      </c>
      <c r="DV365" t="s">
        <v>84</v>
      </c>
      <c r="DW365" t="s">
        <v>84</v>
      </c>
      <c r="DX365">
        <v>1</v>
      </c>
      <c r="EE365">
        <v>52362078</v>
      </c>
      <c r="EF365">
        <v>1</v>
      </c>
      <c r="EG365" t="s">
        <v>22</v>
      </c>
      <c r="EH365">
        <v>0</v>
      </c>
      <c r="EI365" t="s">
        <v>3</v>
      </c>
      <c r="EJ365">
        <v>4</v>
      </c>
      <c r="EK365">
        <v>0</v>
      </c>
      <c r="EL365" t="s">
        <v>23</v>
      </c>
      <c r="EM365" t="s">
        <v>24</v>
      </c>
      <c r="EO365" t="s">
        <v>3</v>
      </c>
      <c r="EQ365">
        <v>32768</v>
      </c>
      <c r="ER365">
        <v>1009.65</v>
      </c>
      <c r="ES365">
        <v>0</v>
      </c>
      <c r="ET365">
        <v>1009.65</v>
      </c>
      <c r="EU365">
        <v>554.42999999999995</v>
      </c>
      <c r="EV365">
        <v>0</v>
      </c>
      <c r="EW365">
        <v>0</v>
      </c>
      <c r="EX365">
        <v>0</v>
      </c>
      <c r="FQ365">
        <v>0</v>
      </c>
      <c r="FR365">
        <f t="shared" si="317"/>
        <v>0</v>
      </c>
      <c r="FS365">
        <v>0</v>
      </c>
      <c r="FX365">
        <v>70</v>
      </c>
      <c r="FY365">
        <v>10</v>
      </c>
      <c r="GA365" t="s">
        <v>3</v>
      </c>
      <c r="GD365">
        <v>0</v>
      </c>
      <c r="GF365">
        <v>-1957514721</v>
      </c>
      <c r="GG365">
        <v>2</v>
      </c>
      <c r="GH365">
        <v>1</v>
      </c>
      <c r="GI365">
        <v>-2</v>
      </c>
      <c r="GJ365">
        <v>0</v>
      </c>
      <c r="GK365">
        <f>ROUND(R365*(R12)/100,2)</f>
        <v>-2.16</v>
      </c>
      <c r="GL365">
        <f t="shared" si="318"/>
        <v>0</v>
      </c>
      <c r="GM365">
        <f t="shared" si="319"/>
        <v>-5.79</v>
      </c>
      <c r="GN365">
        <f t="shared" si="320"/>
        <v>0</v>
      </c>
      <c r="GO365">
        <f t="shared" si="321"/>
        <v>0</v>
      </c>
      <c r="GP365">
        <f t="shared" si="322"/>
        <v>-5.79</v>
      </c>
      <c r="GR365">
        <v>0</v>
      </c>
      <c r="GS365">
        <v>7</v>
      </c>
      <c r="GT365">
        <v>0</v>
      </c>
      <c r="GU365" t="s">
        <v>3</v>
      </c>
      <c r="GV365">
        <f t="shared" si="323"/>
        <v>0</v>
      </c>
      <c r="GW365">
        <v>1</v>
      </c>
      <c r="GX365">
        <f t="shared" si="324"/>
        <v>0</v>
      </c>
      <c r="HA365">
        <v>0</v>
      </c>
      <c r="HB365">
        <v>0</v>
      </c>
      <c r="HC365">
        <f t="shared" si="325"/>
        <v>0</v>
      </c>
      <c r="HE365" t="s">
        <v>3</v>
      </c>
      <c r="HF365" t="s">
        <v>3</v>
      </c>
      <c r="IK365">
        <v>0</v>
      </c>
    </row>
    <row r="366" spans="1:245" x14ac:dyDescent="0.2">
      <c r="A366">
        <v>18</v>
      </c>
      <c r="B366">
        <v>1</v>
      </c>
      <c r="C366">
        <v>345</v>
      </c>
      <c r="E366" t="s">
        <v>315</v>
      </c>
      <c r="F366" t="s">
        <v>95</v>
      </c>
      <c r="G366" t="s">
        <v>96</v>
      </c>
      <c r="H366" t="s">
        <v>28</v>
      </c>
      <c r="I366">
        <f>I361*J366</f>
        <v>-0.2</v>
      </c>
      <c r="J366">
        <v>-5</v>
      </c>
      <c r="O366">
        <f t="shared" si="286"/>
        <v>-608.08000000000004</v>
      </c>
      <c r="P366">
        <f t="shared" si="287"/>
        <v>-608.08000000000004</v>
      </c>
      <c r="Q366">
        <f t="shared" si="288"/>
        <v>0</v>
      </c>
      <c r="R366">
        <f t="shared" si="289"/>
        <v>0</v>
      </c>
      <c r="S366">
        <f t="shared" si="290"/>
        <v>0</v>
      </c>
      <c r="T366">
        <f t="shared" si="291"/>
        <v>0</v>
      </c>
      <c r="U366">
        <f t="shared" si="292"/>
        <v>0</v>
      </c>
      <c r="V366">
        <f t="shared" si="293"/>
        <v>0</v>
      </c>
      <c r="W366">
        <f t="shared" si="294"/>
        <v>0</v>
      </c>
      <c r="X366">
        <f t="shared" si="295"/>
        <v>0</v>
      </c>
      <c r="Y366">
        <f t="shared" si="296"/>
        <v>0</v>
      </c>
      <c r="AA366">
        <v>52430918</v>
      </c>
      <c r="AB366">
        <f t="shared" si="297"/>
        <v>3040.38</v>
      </c>
      <c r="AC366">
        <f t="shared" si="298"/>
        <v>3040.38</v>
      </c>
      <c r="AD366">
        <f t="shared" si="299"/>
        <v>0</v>
      </c>
      <c r="AE366">
        <f t="shared" si="300"/>
        <v>0</v>
      </c>
      <c r="AF366">
        <f t="shared" si="301"/>
        <v>0</v>
      </c>
      <c r="AG366">
        <f t="shared" si="302"/>
        <v>0</v>
      </c>
      <c r="AH366">
        <f t="shared" si="303"/>
        <v>0</v>
      </c>
      <c r="AI366">
        <f t="shared" si="304"/>
        <v>0</v>
      </c>
      <c r="AJ366">
        <f t="shared" si="305"/>
        <v>0</v>
      </c>
      <c r="AK366">
        <v>3040.38</v>
      </c>
      <c r="AL366">
        <v>3040.38</v>
      </c>
      <c r="AM366">
        <v>0</v>
      </c>
      <c r="AN366">
        <v>0</v>
      </c>
      <c r="AO366">
        <v>0</v>
      </c>
      <c r="AP366">
        <v>0</v>
      </c>
      <c r="AQ366">
        <v>0</v>
      </c>
      <c r="AR366">
        <v>0</v>
      </c>
      <c r="AS366">
        <v>0</v>
      </c>
      <c r="AT366">
        <v>70</v>
      </c>
      <c r="AU366">
        <v>10</v>
      </c>
      <c r="AV366">
        <v>1</v>
      </c>
      <c r="AW366">
        <v>1</v>
      </c>
      <c r="AZ366">
        <v>1</v>
      </c>
      <c r="BA366">
        <v>1</v>
      </c>
      <c r="BB366">
        <v>1</v>
      </c>
      <c r="BC366">
        <v>1</v>
      </c>
      <c r="BD366" t="s">
        <v>3</v>
      </c>
      <c r="BE366" t="s">
        <v>3</v>
      </c>
      <c r="BF366" t="s">
        <v>3</v>
      </c>
      <c r="BG366" t="s">
        <v>3</v>
      </c>
      <c r="BH366">
        <v>3</v>
      </c>
      <c r="BI366">
        <v>4</v>
      </c>
      <c r="BJ366" t="s">
        <v>97</v>
      </c>
      <c r="BM366">
        <v>0</v>
      </c>
      <c r="BN366">
        <v>0</v>
      </c>
      <c r="BO366" t="s">
        <v>3</v>
      </c>
      <c r="BP366">
        <v>0</v>
      </c>
      <c r="BQ366">
        <v>1</v>
      </c>
      <c r="BR366">
        <v>1</v>
      </c>
      <c r="BS366">
        <v>1</v>
      </c>
      <c r="BT366">
        <v>1</v>
      </c>
      <c r="BU366">
        <v>1</v>
      </c>
      <c r="BV366">
        <v>1</v>
      </c>
      <c r="BW366">
        <v>1</v>
      </c>
      <c r="BX366">
        <v>1</v>
      </c>
      <c r="BY366" t="s">
        <v>3</v>
      </c>
      <c r="BZ366">
        <v>70</v>
      </c>
      <c r="CA366">
        <v>10</v>
      </c>
      <c r="CE366">
        <v>0</v>
      </c>
      <c r="CF366">
        <v>0</v>
      </c>
      <c r="CG366">
        <v>0</v>
      </c>
      <c r="CM366">
        <v>0</v>
      </c>
      <c r="CN366" t="s">
        <v>3</v>
      </c>
      <c r="CO366">
        <v>0</v>
      </c>
      <c r="CP366">
        <f t="shared" si="306"/>
        <v>-608.08000000000004</v>
      </c>
      <c r="CQ366">
        <f t="shared" si="307"/>
        <v>3040.38</v>
      </c>
      <c r="CR366">
        <f t="shared" si="308"/>
        <v>0</v>
      </c>
      <c r="CS366">
        <f t="shared" si="309"/>
        <v>0</v>
      </c>
      <c r="CT366">
        <f t="shared" si="310"/>
        <v>0</v>
      </c>
      <c r="CU366">
        <f t="shared" si="311"/>
        <v>0</v>
      </c>
      <c r="CV366">
        <f t="shared" si="312"/>
        <v>0</v>
      </c>
      <c r="CW366">
        <f t="shared" si="313"/>
        <v>0</v>
      </c>
      <c r="CX366">
        <f t="shared" si="314"/>
        <v>0</v>
      </c>
      <c r="CY366">
        <f t="shared" si="315"/>
        <v>0</v>
      </c>
      <c r="CZ366">
        <f t="shared" si="316"/>
        <v>0</v>
      </c>
      <c r="DC366" t="s">
        <v>3</v>
      </c>
      <c r="DD366" t="s">
        <v>3</v>
      </c>
      <c r="DE366" t="s">
        <v>3</v>
      </c>
      <c r="DF366" t="s">
        <v>3</v>
      </c>
      <c r="DG366" t="s">
        <v>3</v>
      </c>
      <c r="DH366" t="s">
        <v>3</v>
      </c>
      <c r="DI366" t="s">
        <v>3</v>
      </c>
      <c r="DJ366" t="s">
        <v>3</v>
      </c>
      <c r="DK366" t="s">
        <v>3</v>
      </c>
      <c r="DL366" t="s">
        <v>3</v>
      </c>
      <c r="DM366" t="s">
        <v>3</v>
      </c>
      <c r="DN366">
        <v>0</v>
      </c>
      <c r="DO366">
        <v>0</v>
      </c>
      <c r="DP366">
        <v>1</v>
      </c>
      <c r="DQ366">
        <v>1</v>
      </c>
      <c r="DU366">
        <v>1007</v>
      </c>
      <c r="DV366" t="s">
        <v>28</v>
      </c>
      <c r="DW366" t="s">
        <v>28</v>
      </c>
      <c r="DX366">
        <v>1</v>
      </c>
      <c r="EE366">
        <v>52362078</v>
      </c>
      <c r="EF366">
        <v>1</v>
      </c>
      <c r="EG366" t="s">
        <v>22</v>
      </c>
      <c r="EH366">
        <v>0</v>
      </c>
      <c r="EI366" t="s">
        <v>3</v>
      </c>
      <c r="EJ366">
        <v>4</v>
      </c>
      <c r="EK366">
        <v>0</v>
      </c>
      <c r="EL366" t="s">
        <v>23</v>
      </c>
      <c r="EM366" t="s">
        <v>24</v>
      </c>
      <c r="EO366" t="s">
        <v>3</v>
      </c>
      <c r="EQ366">
        <v>32768</v>
      </c>
      <c r="ER366">
        <v>3040.38</v>
      </c>
      <c r="ES366">
        <v>3040.38</v>
      </c>
      <c r="ET366">
        <v>0</v>
      </c>
      <c r="EU366">
        <v>0</v>
      </c>
      <c r="EV366">
        <v>0</v>
      </c>
      <c r="EW366">
        <v>0</v>
      </c>
      <c r="EX366">
        <v>0</v>
      </c>
      <c r="FQ366">
        <v>0</v>
      </c>
      <c r="FR366">
        <f t="shared" si="317"/>
        <v>0</v>
      </c>
      <c r="FS366">
        <v>0</v>
      </c>
      <c r="FX366">
        <v>70</v>
      </c>
      <c r="FY366">
        <v>10</v>
      </c>
      <c r="GA366" t="s">
        <v>3</v>
      </c>
      <c r="GD366">
        <v>0</v>
      </c>
      <c r="GF366">
        <v>395141172</v>
      </c>
      <c r="GG366">
        <v>2</v>
      </c>
      <c r="GH366">
        <v>1</v>
      </c>
      <c r="GI366">
        <v>-2</v>
      </c>
      <c r="GJ366">
        <v>0</v>
      </c>
      <c r="GK366">
        <f>ROUND(R366*(R12)/100,2)</f>
        <v>0</v>
      </c>
      <c r="GL366">
        <f t="shared" si="318"/>
        <v>0</v>
      </c>
      <c r="GM366">
        <f t="shared" si="319"/>
        <v>-608.08000000000004</v>
      </c>
      <c r="GN366">
        <f t="shared" si="320"/>
        <v>0</v>
      </c>
      <c r="GO366">
        <f t="shared" si="321"/>
        <v>0</v>
      </c>
      <c r="GP366">
        <f t="shared" si="322"/>
        <v>-608.08000000000004</v>
      </c>
      <c r="GR366">
        <v>0</v>
      </c>
      <c r="GS366">
        <v>3</v>
      </c>
      <c r="GT366">
        <v>0</v>
      </c>
      <c r="GU366" t="s">
        <v>3</v>
      </c>
      <c r="GV366">
        <f t="shared" si="323"/>
        <v>0</v>
      </c>
      <c r="GW366">
        <v>1</v>
      </c>
      <c r="GX366">
        <f t="shared" si="324"/>
        <v>0</v>
      </c>
      <c r="HA366">
        <v>0</v>
      </c>
      <c r="HB366">
        <v>0</v>
      </c>
      <c r="HC366">
        <f t="shared" si="325"/>
        <v>0</v>
      </c>
      <c r="HE366" t="s">
        <v>3</v>
      </c>
      <c r="HF366" t="s">
        <v>3</v>
      </c>
      <c r="IK366">
        <v>0</v>
      </c>
    </row>
    <row r="367" spans="1:245" x14ac:dyDescent="0.2">
      <c r="A367">
        <v>18</v>
      </c>
      <c r="B367">
        <v>1</v>
      </c>
      <c r="C367">
        <v>343</v>
      </c>
      <c r="E367" t="s">
        <v>316</v>
      </c>
      <c r="F367" t="s">
        <v>99</v>
      </c>
      <c r="G367" t="s">
        <v>100</v>
      </c>
      <c r="H367" t="s">
        <v>101</v>
      </c>
      <c r="I367">
        <f>I361*J367</f>
        <v>-8.0000000000000004E-4</v>
      </c>
      <c r="J367">
        <v>-0.02</v>
      </c>
      <c r="O367">
        <f t="shared" si="286"/>
        <v>-88.62</v>
      </c>
      <c r="P367">
        <f t="shared" si="287"/>
        <v>-88.62</v>
      </c>
      <c r="Q367">
        <f t="shared" si="288"/>
        <v>0</v>
      </c>
      <c r="R367">
        <f t="shared" si="289"/>
        <v>0</v>
      </c>
      <c r="S367">
        <f t="shared" si="290"/>
        <v>0</v>
      </c>
      <c r="T367">
        <f t="shared" si="291"/>
        <v>0</v>
      </c>
      <c r="U367">
        <f t="shared" si="292"/>
        <v>0</v>
      </c>
      <c r="V367">
        <f t="shared" si="293"/>
        <v>0</v>
      </c>
      <c r="W367">
        <f t="shared" si="294"/>
        <v>0</v>
      </c>
      <c r="X367">
        <f t="shared" si="295"/>
        <v>0</v>
      </c>
      <c r="Y367">
        <f t="shared" si="296"/>
        <v>0</v>
      </c>
      <c r="AA367">
        <v>52430918</v>
      </c>
      <c r="AB367">
        <f t="shared" si="297"/>
        <v>110781.14</v>
      </c>
      <c r="AC367">
        <f t="shared" si="298"/>
        <v>110781.14</v>
      </c>
      <c r="AD367">
        <f t="shared" si="299"/>
        <v>0</v>
      </c>
      <c r="AE367">
        <f t="shared" si="300"/>
        <v>0</v>
      </c>
      <c r="AF367">
        <f t="shared" si="301"/>
        <v>0</v>
      </c>
      <c r="AG367">
        <f t="shared" si="302"/>
        <v>0</v>
      </c>
      <c r="AH367">
        <f t="shared" si="303"/>
        <v>0</v>
      </c>
      <c r="AI367">
        <f t="shared" si="304"/>
        <v>0</v>
      </c>
      <c r="AJ367">
        <f t="shared" si="305"/>
        <v>0</v>
      </c>
      <c r="AK367">
        <v>110781.14</v>
      </c>
      <c r="AL367">
        <v>110781.14</v>
      </c>
      <c r="AM367">
        <v>0</v>
      </c>
      <c r="AN367">
        <v>0</v>
      </c>
      <c r="AO367">
        <v>0</v>
      </c>
      <c r="AP367">
        <v>0</v>
      </c>
      <c r="AQ367">
        <v>0</v>
      </c>
      <c r="AR367">
        <v>0</v>
      </c>
      <c r="AS367">
        <v>0</v>
      </c>
      <c r="AT367">
        <v>70</v>
      </c>
      <c r="AU367">
        <v>10</v>
      </c>
      <c r="AV367">
        <v>1</v>
      </c>
      <c r="AW367">
        <v>1</v>
      </c>
      <c r="AZ367">
        <v>1</v>
      </c>
      <c r="BA367">
        <v>1</v>
      </c>
      <c r="BB367">
        <v>1</v>
      </c>
      <c r="BC367">
        <v>1</v>
      </c>
      <c r="BD367" t="s">
        <v>3</v>
      </c>
      <c r="BE367" t="s">
        <v>3</v>
      </c>
      <c r="BF367" t="s">
        <v>3</v>
      </c>
      <c r="BG367" t="s">
        <v>3</v>
      </c>
      <c r="BH367">
        <v>3</v>
      </c>
      <c r="BI367">
        <v>4</v>
      </c>
      <c r="BJ367" t="s">
        <v>102</v>
      </c>
      <c r="BM367">
        <v>0</v>
      </c>
      <c r="BN367">
        <v>0</v>
      </c>
      <c r="BO367" t="s">
        <v>3</v>
      </c>
      <c r="BP367">
        <v>0</v>
      </c>
      <c r="BQ367">
        <v>1</v>
      </c>
      <c r="BR367">
        <v>1</v>
      </c>
      <c r="BS367">
        <v>1</v>
      </c>
      <c r="BT367">
        <v>1</v>
      </c>
      <c r="BU367">
        <v>1</v>
      </c>
      <c r="BV367">
        <v>1</v>
      </c>
      <c r="BW367">
        <v>1</v>
      </c>
      <c r="BX367">
        <v>1</v>
      </c>
      <c r="BY367" t="s">
        <v>3</v>
      </c>
      <c r="BZ367">
        <v>70</v>
      </c>
      <c r="CA367">
        <v>10</v>
      </c>
      <c r="CE367">
        <v>0</v>
      </c>
      <c r="CF367">
        <v>0</v>
      </c>
      <c r="CG367">
        <v>0</v>
      </c>
      <c r="CM367">
        <v>0</v>
      </c>
      <c r="CN367" t="s">
        <v>3</v>
      </c>
      <c r="CO367">
        <v>0</v>
      </c>
      <c r="CP367">
        <f t="shared" si="306"/>
        <v>-88.62</v>
      </c>
      <c r="CQ367">
        <f t="shared" si="307"/>
        <v>110781.14</v>
      </c>
      <c r="CR367">
        <f t="shared" si="308"/>
        <v>0</v>
      </c>
      <c r="CS367">
        <f t="shared" si="309"/>
        <v>0</v>
      </c>
      <c r="CT367">
        <f t="shared" si="310"/>
        <v>0</v>
      </c>
      <c r="CU367">
        <f t="shared" si="311"/>
        <v>0</v>
      </c>
      <c r="CV367">
        <f t="shared" si="312"/>
        <v>0</v>
      </c>
      <c r="CW367">
        <f t="shared" si="313"/>
        <v>0</v>
      </c>
      <c r="CX367">
        <f t="shared" si="314"/>
        <v>0</v>
      </c>
      <c r="CY367">
        <f t="shared" si="315"/>
        <v>0</v>
      </c>
      <c r="CZ367">
        <f t="shared" si="316"/>
        <v>0</v>
      </c>
      <c r="DC367" t="s">
        <v>3</v>
      </c>
      <c r="DD367" t="s">
        <v>3</v>
      </c>
      <c r="DE367" t="s">
        <v>3</v>
      </c>
      <c r="DF367" t="s">
        <v>3</v>
      </c>
      <c r="DG367" t="s">
        <v>3</v>
      </c>
      <c r="DH367" t="s">
        <v>3</v>
      </c>
      <c r="DI367" t="s">
        <v>3</v>
      </c>
      <c r="DJ367" t="s">
        <v>3</v>
      </c>
      <c r="DK367" t="s">
        <v>3</v>
      </c>
      <c r="DL367" t="s">
        <v>3</v>
      </c>
      <c r="DM367" t="s">
        <v>3</v>
      </c>
      <c r="DN367">
        <v>0</v>
      </c>
      <c r="DO367">
        <v>0</v>
      </c>
      <c r="DP367">
        <v>1</v>
      </c>
      <c r="DQ367">
        <v>1</v>
      </c>
      <c r="DU367">
        <v>1009</v>
      </c>
      <c r="DV367" t="s">
        <v>101</v>
      </c>
      <c r="DW367" t="s">
        <v>101</v>
      </c>
      <c r="DX367">
        <v>1000</v>
      </c>
      <c r="EE367">
        <v>52362078</v>
      </c>
      <c r="EF367">
        <v>1</v>
      </c>
      <c r="EG367" t="s">
        <v>22</v>
      </c>
      <c r="EH367">
        <v>0</v>
      </c>
      <c r="EI367" t="s">
        <v>3</v>
      </c>
      <c r="EJ367">
        <v>4</v>
      </c>
      <c r="EK367">
        <v>0</v>
      </c>
      <c r="EL367" t="s">
        <v>23</v>
      </c>
      <c r="EM367" t="s">
        <v>24</v>
      </c>
      <c r="EO367" t="s">
        <v>3</v>
      </c>
      <c r="EQ367">
        <v>32768</v>
      </c>
      <c r="ER367">
        <v>110781.14</v>
      </c>
      <c r="ES367">
        <v>110781.14</v>
      </c>
      <c r="ET367">
        <v>0</v>
      </c>
      <c r="EU367">
        <v>0</v>
      </c>
      <c r="EV367">
        <v>0</v>
      </c>
      <c r="EW367">
        <v>0</v>
      </c>
      <c r="EX367">
        <v>0</v>
      </c>
      <c r="FQ367">
        <v>0</v>
      </c>
      <c r="FR367">
        <f t="shared" si="317"/>
        <v>0</v>
      </c>
      <c r="FS367">
        <v>0</v>
      </c>
      <c r="FX367">
        <v>70</v>
      </c>
      <c r="FY367">
        <v>10</v>
      </c>
      <c r="GA367" t="s">
        <v>3</v>
      </c>
      <c r="GD367">
        <v>0</v>
      </c>
      <c r="GF367">
        <v>-672771621</v>
      </c>
      <c r="GG367">
        <v>2</v>
      </c>
      <c r="GH367">
        <v>1</v>
      </c>
      <c r="GI367">
        <v>-2</v>
      </c>
      <c r="GJ367">
        <v>0</v>
      </c>
      <c r="GK367">
        <f>ROUND(R367*(R12)/100,2)</f>
        <v>0</v>
      </c>
      <c r="GL367">
        <f t="shared" si="318"/>
        <v>0</v>
      </c>
      <c r="GM367">
        <f t="shared" si="319"/>
        <v>-88.62</v>
      </c>
      <c r="GN367">
        <f t="shared" si="320"/>
        <v>0</v>
      </c>
      <c r="GO367">
        <f t="shared" si="321"/>
        <v>0</v>
      </c>
      <c r="GP367">
        <f t="shared" si="322"/>
        <v>-88.62</v>
      </c>
      <c r="GR367">
        <v>0</v>
      </c>
      <c r="GS367">
        <v>3</v>
      </c>
      <c r="GT367">
        <v>0</v>
      </c>
      <c r="GU367" t="s">
        <v>3</v>
      </c>
      <c r="GV367">
        <f t="shared" si="323"/>
        <v>0</v>
      </c>
      <c r="GW367">
        <v>1</v>
      </c>
      <c r="GX367">
        <f t="shared" si="324"/>
        <v>0</v>
      </c>
      <c r="HA367">
        <v>0</v>
      </c>
      <c r="HB367">
        <v>0</v>
      </c>
      <c r="HC367">
        <f t="shared" si="325"/>
        <v>0</v>
      </c>
      <c r="HE367" t="s">
        <v>3</v>
      </c>
      <c r="HF367" t="s">
        <v>3</v>
      </c>
      <c r="IK367">
        <v>0</v>
      </c>
    </row>
    <row r="368" spans="1:245" x14ac:dyDescent="0.2">
      <c r="A368">
        <v>18</v>
      </c>
      <c r="B368">
        <v>1</v>
      </c>
      <c r="C368">
        <v>347</v>
      </c>
      <c r="E368" t="s">
        <v>317</v>
      </c>
      <c r="F368" t="s">
        <v>104</v>
      </c>
      <c r="G368" t="s">
        <v>318</v>
      </c>
      <c r="H368" t="s">
        <v>106</v>
      </c>
      <c r="I368">
        <f>I361*J368</f>
        <v>1</v>
      </c>
      <c r="J368">
        <v>25</v>
      </c>
      <c r="O368">
        <f t="shared" si="286"/>
        <v>56666.67</v>
      </c>
      <c r="P368">
        <f t="shared" si="287"/>
        <v>56666.67</v>
      </c>
      <c r="Q368">
        <f t="shared" si="288"/>
        <v>0</v>
      </c>
      <c r="R368">
        <f t="shared" si="289"/>
        <v>0</v>
      </c>
      <c r="S368">
        <f t="shared" si="290"/>
        <v>0</v>
      </c>
      <c r="T368">
        <f t="shared" si="291"/>
        <v>0</v>
      </c>
      <c r="U368">
        <f t="shared" si="292"/>
        <v>0</v>
      </c>
      <c r="V368">
        <f t="shared" si="293"/>
        <v>0</v>
      </c>
      <c r="W368">
        <f t="shared" si="294"/>
        <v>0</v>
      </c>
      <c r="X368">
        <f t="shared" si="295"/>
        <v>0</v>
      </c>
      <c r="Y368">
        <f t="shared" si="296"/>
        <v>0</v>
      </c>
      <c r="AA368">
        <v>52430918</v>
      </c>
      <c r="AB368">
        <f t="shared" si="297"/>
        <v>56666.67</v>
      </c>
      <c r="AC368">
        <f t="shared" si="298"/>
        <v>56666.67</v>
      </c>
      <c r="AD368">
        <f t="shared" si="299"/>
        <v>0</v>
      </c>
      <c r="AE368">
        <f t="shared" si="300"/>
        <v>0</v>
      </c>
      <c r="AF368">
        <f t="shared" si="301"/>
        <v>0</v>
      </c>
      <c r="AG368">
        <f t="shared" si="302"/>
        <v>0</v>
      </c>
      <c r="AH368">
        <f t="shared" si="303"/>
        <v>0</v>
      </c>
      <c r="AI368">
        <f t="shared" si="304"/>
        <v>0</v>
      </c>
      <c r="AJ368">
        <f t="shared" si="305"/>
        <v>0</v>
      </c>
      <c r="AK368">
        <v>56666.67</v>
      </c>
      <c r="AL368">
        <v>56666.67</v>
      </c>
      <c r="AM368">
        <v>0</v>
      </c>
      <c r="AN368">
        <v>0</v>
      </c>
      <c r="AO368">
        <v>0</v>
      </c>
      <c r="AP368">
        <v>0</v>
      </c>
      <c r="AQ368">
        <v>0</v>
      </c>
      <c r="AR368">
        <v>0</v>
      </c>
      <c r="AS368">
        <v>0</v>
      </c>
      <c r="AT368">
        <v>70</v>
      </c>
      <c r="AU368">
        <v>10</v>
      </c>
      <c r="AV368">
        <v>1</v>
      </c>
      <c r="AW368">
        <v>1</v>
      </c>
      <c r="AZ368">
        <v>1</v>
      </c>
      <c r="BA368">
        <v>1</v>
      </c>
      <c r="BB368">
        <v>1</v>
      </c>
      <c r="BC368">
        <v>1</v>
      </c>
      <c r="BD368" t="s">
        <v>3</v>
      </c>
      <c r="BE368" t="s">
        <v>3</v>
      </c>
      <c r="BF368" t="s">
        <v>3</v>
      </c>
      <c r="BG368" t="s">
        <v>3</v>
      </c>
      <c r="BH368">
        <v>3</v>
      </c>
      <c r="BI368">
        <v>4</v>
      </c>
      <c r="BJ368" t="s">
        <v>3</v>
      </c>
      <c r="BM368">
        <v>0</v>
      </c>
      <c r="BN368">
        <v>0</v>
      </c>
      <c r="BO368" t="s">
        <v>3</v>
      </c>
      <c r="BP368">
        <v>0</v>
      </c>
      <c r="BQ368">
        <v>1</v>
      </c>
      <c r="BR368">
        <v>0</v>
      </c>
      <c r="BS368">
        <v>1</v>
      </c>
      <c r="BT368">
        <v>1</v>
      </c>
      <c r="BU368">
        <v>1</v>
      </c>
      <c r="BV368">
        <v>1</v>
      </c>
      <c r="BW368">
        <v>1</v>
      </c>
      <c r="BX368">
        <v>1</v>
      </c>
      <c r="BY368" t="s">
        <v>3</v>
      </c>
      <c r="BZ368">
        <v>70</v>
      </c>
      <c r="CA368">
        <v>10</v>
      </c>
      <c r="CE368">
        <v>0</v>
      </c>
      <c r="CF368">
        <v>0</v>
      </c>
      <c r="CG368">
        <v>0</v>
      </c>
      <c r="CM368">
        <v>0</v>
      </c>
      <c r="CN368" t="s">
        <v>3</v>
      </c>
      <c r="CO368">
        <v>0</v>
      </c>
      <c r="CP368">
        <f t="shared" si="306"/>
        <v>56666.67</v>
      </c>
      <c r="CQ368">
        <f t="shared" si="307"/>
        <v>56666.67</v>
      </c>
      <c r="CR368">
        <f t="shared" si="308"/>
        <v>0</v>
      </c>
      <c r="CS368">
        <f t="shared" si="309"/>
        <v>0</v>
      </c>
      <c r="CT368">
        <f t="shared" si="310"/>
        <v>0</v>
      </c>
      <c r="CU368">
        <f t="shared" si="311"/>
        <v>0</v>
      </c>
      <c r="CV368">
        <f t="shared" si="312"/>
        <v>0</v>
      </c>
      <c r="CW368">
        <f t="shared" si="313"/>
        <v>0</v>
      </c>
      <c r="CX368">
        <f t="shared" si="314"/>
        <v>0</v>
      </c>
      <c r="CY368">
        <f t="shared" si="315"/>
        <v>0</v>
      </c>
      <c r="CZ368">
        <f t="shared" si="316"/>
        <v>0</v>
      </c>
      <c r="DC368" t="s">
        <v>3</v>
      </c>
      <c r="DD368" t="s">
        <v>3</v>
      </c>
      <c r="DE368" t="s">
        <v>3</v>
      </c>
      <c r="DF368" t="s">
        <v>3</v>
      </c>
      <c r="DG368" t="s">
        <v>3</v>
      </c>
      <c r="DH368" t="s">
        <v>3</v>
      </c>
      <c r="DI368" t="s">
        <v>3</v>
      </c>
      <c r="DJ368" t="s">
        <v>3</v>
      </c>
      <c r="DK368" t="s">
        <v>3</v>
      </c>
      <c r="DL368" t="s">
        <v>3</v>
      </c>
      <c r="DM368" t="s">
        <v>3</v>
      </c>
      <c r="DN368">
        <v>0</v>
      </c>
      <c r="DO368">
        <v>0</v>
      </c>
      <c r="DP368">
        <v>1</v>
      </c>
      <c r="DQ368">
        <v>1</v>
      </c>
      <c r="DU368">
        <v>1010</v>
      </c>
      <c r="DV368" t="s">
        <v>106</v>
      </c>
      <c r="DW368" t="s">
        <v>106</v>
      </c>
      <c r="DX368">
        <v>1</v>
      </c>
      <c r="EE368">
        <v>52362078</v>
      </c>
      <c r="EF368">
        <v>1</v>
      </c>
      <c r="EG368" t="s">
        <v>22</v>
      </c>
      <c r="EH368">
        <v>0</v>
      </c>
      <c r="EI368" t="s">
        <v>3</v>
      </c>
      <c r="EJ368">
        <v>4</v>
      </c>
      <c r="EK368">
        <v>0</v>
      </c>
      <c r="EL368" t="s">
        <v>23</v>
      </c>
      <c r="EM368" t="s">
        <v>24</v>
      </c>
      <c r="EO368" t="s">
        <v>3</v>
      </c>
      <c r="EQ368">
        <v>0</v>
      </c>
      <c r="ER368">
        <v>56666.67</v>
      </c>
      <c r="ES368">
        <v>56666.67</v>
      </c>
      <c r="ET368">
        <v>0</v>
      </c>
      <c r="EU368">
        <v>0</v>
      </c>
      <c r="EV368">
        <v>0</v>
      </c>
      <c r="EW368">
        <v>0</v>
      </c>
      <c r="EX368">
        <v>0</v>
      </c>
      <c r="EZ368">
        <v>5</v>
      </c>
      <c r="FC368">
        <v>1</v>
      </c>
      <c r="FD368">
        <v>18</v>
      </c>
      <c r="FF368">
        <v>68000</v>
      </c>
      <c r="FQ368">
        <v>0</v>
      </c>
      <c r="FR368">
        <f t="shared" si="317"/>
        <v>0</v>
      </c>
      <c r="FS368">
        <v>0</v>
      </c>
      <c r="FX368">
        <v>70</v>
      </c>
      <c r="FY368">
        <v>10</v>
      </c>
      <c r="GA368" t="s">
        <v>319</v>
      </c>
      <c r="GD368">
        <v>0</v>
      </c>
      <c r="GF368">
        <v>728424109</v>
      </c>
      <c r="GG368">
        <v>2</v>
      </c>
      <c r="GH368">
        <v>3</v>
      </c>
      <c r="GI368">
        <v>-2</v>
      </c>
      <c r="GJ368">
        <v>0</v>
      </c>
      <c r="GK368">
        <f>ROUND(R368*(R12)/100,2)</f>
        <v>0</v>
      </c>
      <c r="GL368">
        <f t="shared" si="318"/>
        <v>0</v>
      </c>
      <c r="GM368">
        <f t="shared" si="319"/>
        <v>56666.67</v>
      </c>
      <c r="GN368">
        <f t="shared" si="320"/>
        <v>0</v>
      </c>
      <c r="GO368">
        <f t="shared" si="321"/>
        <v>0</v>
      </c>
      <c r="GP368">
        <f t="shared" si="322"/>
        <v>56666.67</v>
      </c>
      <c r="GR368">
        <v>1</v>
      </c>
      <c r="GS368">
        <v>1</v>
      </c>
      <c r="GT368">
        <v>0</v>
      </c>
      <c r="GU368" t="s">
        <v>3</v>
      </c>
      <c r="GV368">
        <f t="shared" si="323"/>
        <v>0</v>
      </c>
      <c r="GW368">
        <v>1</v>
      </c>
      <c r="GX368">
        <f t="shared" si="324"/>
        <v>0</v>
      </c>
      <c r="HA368">
        <v>0</v>
      </c>
      <c r="HB368">
        <v>0</v>
      </c>
      <c r="HC368">
        <f t="shared" si="325"/>
        <v>0</v>
      </c>
      <c r="HE368" t="s">
        <v>108</v>
      </c>
      <c r="HF368" t="s">
        <v>108</v>
      </c>
      <c r="IK368">
        <v>0</v>
      </c>
    </row>
    <row r="369" spans="1:245" x14ac:dyDescent="0.2">
      <c r="A369">
        <v>18</v>
      </c>
      <c r="B369">
        <v>1</v>
      </c>
      <c r="C369">
        <v>348</v>
      </c>
      <c r="E369" t="s">
        <v>320</v>
      </c>
      <c r="F369" t="s">
        <v>104</v>
      </c>
      <c r="G369" t="s">
        <v>203</v>
      </c>
      <c r="H369" t="s">
        <v>106</v>
      </c>
      <c r="I369">
        <f>I361*J369</f>
        <v>1</v>
      </c>
      <c r="J369">
        <v>25</v>
      </c>
      <c r="O369">
        <f t="shared" si="286"/>
        <v>40166.67</v>
      </c>
      <c r="P369">
        <f t="shared" si="287"/>
        <v>40166.67</v>
      </c>
      <c r="Q369">
        <f t="shared" si="288"/>
        <v>0</v>
      </c>
      <c r="R369">
        <f t="shared" si="289"/>
        <v>0</v>
      </c>
      <c r="S369">
        <f t="shared" si="290"/>
        <v>0</v>
      </c>
      <c r="T369">
        <f t="shared" si="291"/>
        <v>0</v>
      </c>
      <c r="U369">
        <f t="shared" si="292"/>
        <v>0</v>
      </c>
      <c r="V369">
        <f t="shared" si="293"/>
        <v>0</v>
      </c>
      <c r="W369">
        <f t="shared" si="294"/>
        <v>0</v>
      </c>
      <c r="X369">
        <f t="shared" si="295"/>
        <v>0</v>
      </c>
      <c r="Y369">
        <f t="shared" si="296"/>
        <v>0</v>
      </c>
      <c r="AA369">
        <v>52430918</v>
      </c>
      <c r="AB369">
        <f t="shared" si="297"/>
        <v>40166.67</v>
      </c>
      <c r="AC369">
        <f t="shared" si="298"/>
        <v>40166.67</v>
      </c>
      <c r="AD369">
        <f t="shared" si="299"/>
        <v>0</v>
      </c>
      <c r="AE369">
        <f t="shared" si="300"/>
        <v>0</v>
      </c>
      <c r="AF369">
        <f t="shared" si="301"/>
        <v>0</v>
      </c>
      <c r="AG369">
        <f t="shared" si="302"/>
        <v>0</v>
      </c>
      <c r="AH369">
        <f t="shared" si="303"/>
        <v>0</v>
      </c>
      <c r="AI369">
        <f t="shared" si="304"/>
        <v>0</v>
      </c>
      <c r="AJ369">
        <f t="shared" si="305"/>
        <v>0</v>
      </c>
      <c r="AK369">
        <v>40166.67</v>
      </c>
      <c r="AL369">
        <v>40166.67</v>
      </c>
      <c r="AM369">
        <v>0</v>
      </c>
      <c r="AN369">
        <v>0</v>
      </c>
      <c r="AO369">
        <v>0</v>
      </c>
      <c r="AP369">
        <v>0</v>
      </c>
      <c r="AQ369">
        <v>0</v>
      </c>
      <c r="AR369">
        <v>0</v>
      </c>
      <c r="AS369">
        <v>0</v>
      </c>
      <c r="AT369">
        <v>70</v>
      </c>
      <c r="AU369">
        <v>10</v>
      </c>
      <c r="AV369">
        <v>1</v>
      </c>
      <c r="AW369">
        <v>1</v>
      </c>
      <c r="AZ369">
        <v>1</v>
      </c>
      <c r="BA369">
        <v>1</v>
      </c>
      <c r="BB369">
        <v>1</v>
      </c>
      <c r="BC369">
        <v>1</v>
      </c>
      <c r="BD369" t="s">
        <v>3</v>
      </c>
      <c r="BE369" t="s">
        <v>3</v>
      </c>
      <c r="BF369" t="s">
        <v>3</v>
      </c>
      <c r="BG369" t="s">
        <v>3</v>
      </c>
      <c r="BH369">
        <v>3</v>
      </c>
      <c r="BI369">
        <v>4</v>
      </c>
      <c r="BJ369" t="s">
        <v>3</v>
      </c>
      <c r="BM369">
        <v>0</v>
      </c>
      <c r="BN369">
        <v>0</v>
      </c>
      <c r="BO369" t="s">
        <v>3</v>
      </c>
      <c r="BP369">
        <v>0</v>
      </c>
      <c r="BQ369">
        <v>1</v>
      </c>
      <c r="BR369">
        <v>0</v>
      </c>
      <c r="BS369">
        <v>1</v>
      </c>
      <c r="BT369">
        <v>1</v>
      </c>
      <c r="BU369">
        <v>1</v>
      </c>
      <c r="BV369">
        <v>1</v>
      </c>
      <c r="BW369">
        <v>1</v>
      </c>
      <c r="BX369">
        <v>1</v>
      </c>
      <c r="BY369" t="s">
        <v>3</v>
      </c>
      <c r="BZ369">
        <v>70</v>
      </c>
      <c r="CA369">
        <v>10</v>
      </c>
      <c r="CE369">
        <v>0</v>
      </c>
      <c r="CF369">
        <v>0</v>
      </c>
      <c r="CG369">
        <v>0</v>
      </c>
      <c r="CM369">
        <v>0</v>
      </c>
      <c r="CN369" t="s">
        <v>3</v>
      </c>
      <c r="CO369">
        <v>0</v>
      </c>
      <c r="CP369">
        <f t="shared" si="306"/>
        <v>40166.67</v>
      </c>
      <c r="CQ369">
        <f t="shared" si="307"/>
        <v>40166.67</v>
      </c>
      <c r="CR369">
        <f t="shared" si="308"/>
        <v>0</v>
      </c>
      <c r="CS369">
        <f t="shared" si="309"/>
        <v>0</v>
      </c>
      <c r="CT369">
        <f t="shared" si="310"/>
        <v>0</v>
      </c>
      <c r="CU369">
        <f t="shared" si="311"/>
        <v>0</v>
      </c>
      <c r="CV369">
        <f t="shared" si="312"/>
        <v>0</v>
      </c>
      <c r="CW369">
        <f t="shared" si="313"/>
        <v>0</v>
      </c>
      <c r="CX369">
        <f t="shared" si="314"/>
        <v>0</v>
      </c>
      <c r="CY369">
        <f t="shared" si="315"/>
        <v>0</v>
      </c>
      <c r="CZ369">
        <f t="shared" si="316"/>
        <v>0</v>
      </c>
      <c r="DC369" t="s">
        <v>3</v>
      </c>
      <c r="DD369" t="s">
        <v>3</v>
      </c>
      <c r="DE369" t="s">
        <v>3</v>
      </c>
      <c r="DF369" t="s">
        <v>3</v>
      </c>
      <c r="DG369" t="s">
        <v>3</v>
      </c>
      <c r="DH369" t="s">
        <v>3</v>
      </c>
      <c r="DI369" t="s">
        <v>3</v>
      </c>
      <c r="DJ369" t="s">
        <v>3</v>
      </c>
      <c r="DK369" t="s">
        <v>3</v>
      </c>
      <c r="DL369" t="s">
        <v>3</v>
      </c>
      <c r="DM369" t="s">
        <v>3</v>
      </c>
      <c r="DN369">
        <v>0</v>
      </c>
      <c r="DO369">
        <v>0</v>
      </c>
      <c r="DP369">
        <v>1</v>
      </c>
      <c r="DQ369">
        <v>1</v>
      </c>
      <c r="DU369">
        <v>1010</v>
      </c>
      <c r="DV369" t="s">
        <v>106</v>
      </c>
      <c r="DW369" t="s">
        <v>106</v>
      </c>
      <c r="DX369">
        <v>1</v>
      </c>
      <c r="EE369">
        <v>52362078</v>
      </c>
      <c r="EF369">
        <v>1</v>
      </c>
      <c r="EG369" t="s">
        <v>22</v>
      </c>
      <c r="EH369">
        <v>0</v>
      </c>
      <c r="EI369" t="s">
        <v>3</v>
      </c>
      <c r="EJ369">
        <v>4</v>
      </c>
      <c r="EK369">
        <v>0</v>
      </c>
      <c r="EL369" t="s">
        <v>23</v>
      </c>
      <c r="EM369" t="s">
        <v>24</v>
      </c>
      <c r="EO369" t="s">
        <v>3</v>
      </c>
      <c r="EQ369">
        <v>0</v>
      </c>
      <c r="ER369">
        <v>40166.67</v>
      </c>
      <c r="ES369">
        <v>40166.67</v>
      </c>
      <c r="ET369">
        <v>0</v>
      </c>
      <c r="EU369">
        <v>0</v>
      </c>
      <c r="EV369">
        <v>0</v>
      </c>
      <c r="EW369">
        <v>0</v>
      </c>
      <c r="EX369">
        <v>0</v>
      </c>
      <c r="EZ369">
        <v>5</v>
      </c>
      <c r="FC369">
        <v>1</v>
      </c>
      <c r="FD369">
        <v>18</v>
      </c>
      <c r="FF369">
        <v>48200</v>
      </c>
      <c r="FQ369">
        <v>0</v>
      </c>
      <c r="FR369">
        <f t="shared" si="317"/>
        <v>0</v>
      </c>
      <c r="FS369">
        <v>0</v>
      </c>
      <c r="FX369">
        <v>70</v>
      </c>
      <c r="FY369">
        <v>10</v>
      </c>
      <c r="GA369" t="s">
        <v>204</v>
      </c>
      <c r="GD369">
        <v>0</v>
      </c>
      <c r="GF369">
        <v>954585822</v>
      </c>
      <c r="GG369">
        <v>2</v>
      </c>
      <c r="GH369">
        <v>3</v>
      </c>
      <c r="GI369">
        <v>-2</v>
      </c>
      <c r="GJ369">
        <v>0</v>
      </c>
      <c r="GK369">
        <f>ROUND(R369*(R12)/100,2)</f>
        <v>0</v>
      </c>
      <c r="GL369">
        <f t="shared" si="318"/>
        <v>0</v>
      </c>
      <c r="GM369">
        <f t="shared" si="319"/>
        <v>40166.67</v>
      </c>
      <c r="GN369">
        <f t="shared" si="320"/>
        <v>0</v>
      </c>
      <c r="GO369">
        <f t="shared" si="321"/>
        <v>0</v>
      </c>
      <c r="GP369">
        <f t="shared" si="322"/>
        <v>40166.67</v>
      </c>
      <c r="GR369">
        <v>1</v>
      </c>
      <c r="GS369">
        <v>1</v>
      </c>
      <c r="GT369">
        <v>0</v>
      </c>
      <c r="GU369" t="s">
        <v>3</v>
      </c>
      <c r="GV369">
        <f t="shared" si="323"/>
        <v>0</v>
      </c>
      <c r="GW369">
        <v>1</v>
      </c>
      <c r="GX369">
        <f t="shared" si="324"/>
        <v>0</v>
      </c>
      <c r="HA369">
        <v>0</v>
      </c>
      <c r="HB369">
        <v>0</v>
      </c>
      <c r="HC369">
        <f t="shared" si="325"/>
        <v>0</v>
      </c>
      <c r="HE369" t="s">
        <v>108</v>
      </c>
      <c r="HF369" t="s">
        <v>108</v>
      </c>
      <c r="IK369">
        <v>0</v>
      </c>
    </row>
    <row r="370" spans="1:245" x14ac:dyDescent="0.2">
      <c r="A370">
        <v>18</v>
      </c>
      <c r="B370">
        <v>1</v>
      </c>
      <c r="C370">
        <v>349</v>
      </c>
      <c r="E370" t="s">
        <v>321</v>
      </c>
      <c r="F370" t="s">
        <v>104</v>
      </c>
      <c r="G370" t="s">
        <v>113</v>
      </c>
      <c r="H370" t="s">
        <v>106</v>
      </c>
      <c r="I370">
        <f>I361*J370</f>
        <v>1</v>
      </c>
      <c r="J370">
        <v>25</v>
      </c>
      <c r="O370">
        <f t="shared" si="286"/>
        <v>62333.33</v>
      </c>
      <c r="P370">
        <f t="shared" si="287"/>
        <v>62333.33</v>
      </c>
      <c r="Q370">
        <f t="shared" si="288"/>
        <v>0</v>
      </c>
      <c r="R370">
        <f t="shared" si="289"/>
        <v>0</v>
      </c>
      <c r="S370">
        <f t="shared" si="290"/>
        <v>0</v>
      </c>
      <c r="T370">
        <f t="shared" si="291"/>
        <v>0</v>
      </c>
      <c r="U370">
        <f t="shared" si="292"/>
        <v>0</v>
      </c>
      <c r="V370">
        <f t="shared" si="293"/>
        <v>0</v>
      </c>
      <c r="W370">
        <f t="shared" si="294"/>
        <v>0</v>
      </c>
      <c r="X370">
        <f t="shared" si="295"/>
        <v>0</v>
      </c>
      <c r="Y370">
        <f t="shared" si="296"/>
        <v>0</v>
      </c>
      <c r="AA370">
        <v>52430918</v>
      </c>
      <c r="AB370">
        <f t="shared" si="297"/>
        <v>62333.33</v>
      </c>
      <c r="AC370">
        <f t="shared" si="298"/>
        <v>62333.33</v>
      </c>
      <c r="AD370">
        <f t="shared" si="299"/>
        <v>0</v>
      </c>
      <c r="AE370">
        <f t="shared" si="300"/>
        <v>0</v>
      </c>
      <c r="AF370">
        <f t="shared" si="301"/>
        <v>0</v>
      </c>
      <c r="AG370">
        <f t="shared" si="302"/>
        <v>0</v>
      </c>
      <c r="AH370">
        <f t="shared" si="303"/>
        <v>0</v>
      </c>
      <c r="AI370">
        <f t="shared" si="304"/>
        <v>0</v>
      </c>
      <c r="AJ370">
        <f t="shared" si="305"/>
        <v>0</v>
      </c>
      <c r="AK370">
        <v>62333.33</v>
      </c>
      <c r="AL370">
        <v>62333.33</v>
      </c>
      <c r="AM370">
        <v>0</v>
      </c>
      <c r="AN370">
        <v>0</v>
      </c>
      <c r="AO370">
        <v>0</v>
      </c>
      <c r="AP370">
        <v>0</v>
      </c>
      <c r="AQ370">
        <v>0</v>
      </c>
      <c r="AR370">
        <v>0</v>
      </c>
      <c r="AS370">
        <v>0</v>
      </c>
      <c r="AT370">
        <v>70</v>
      </c>
      <c r="AU370">
        <v>10</v>
      </c>
      <c r="AV370">
        <v>1</v>
      </c>
      <c r="AW370">
        <v>1</v>
      </c>
      <c r="AZ370">
        <v>1</v>
      </c>
      <c r="BA370">
        <v>1</v>
      </c>
      <c r="BB370">
        <v>1</v>
      </c>
      <c r="BC370">
        <v>1</v>
      </c>
      <c r="BD370" t="s">
        <v>3</v>
      </c>
      <c r="BE370" t="s">
        <v>3</v>
      </c>
      <c r="BF370" t="s">
        <v>3</v>
      </c>
      <c r="BG370" t="s">
        <v>3</v>
      </c>
      <c r="BH370">
        <v>3</v>
      </c>
      <c r="BI370">
        <v>4</v>
      </c>
      <c r="BJ370" t="s">
        <v>3</v>
      </c>
      <c r="BM370">
        <v>0</v>
      </c>
      <c r="BN370">
        <v>0</v>
      </c>
      <c r="BO370" t="s">
        <v>3</v>
      </c>
      <c r="BP370">
        <v>0</v>
      </c>
      <c r="BQ370">
        <v>1</v>
      </c>
      <c r="BR370">
        <v>0</v>
      </c>
      <c r="BS370">
        <v>1</v>
      </c>
      <c r="BT370">
        <v>1</v>
      </c>
      <c r="BU370">
        <v>1</v>
      </c>
      <c r="BV370">
        <v>1</v>
      </c>
      <c r="BW370">
        <v>1</v>
      </c>
      <c r="BX370">
        <v>1</v>
      </c>
      <c r="BY370" t="s">
        <v>3</v>
      </c>
      <c r="BZ370">
        <v>70</v>
      </c>
      <c r="CA370">
        <v>10</v>
      </c>
      <c r="CE370">
        <v>0</v>
      </c>
      <c r="CF370">
        <v>0</v>
      </c>
      <c r="CG370">
        <v>0</v>
      </c>
      <c r="CM370">
        <v>0</v>
      </c>
      <c r="CN370" t="s">
        <v>3</v>
      </c>
      <c r="CO370">
        <v>0</v>
      </c>
      <c r="CP370">
        <f t="shared" si="306"/>
        <v>62333.33</v>
      </c>
      <c r="CQ370">
        <f t="shared" si="307"/>
        <v>62333.33</v>
      </c>
      <c r="CR370">
        <f t="shared" si="308"/>
        <v>0</v>
      </c>
      <c r="CS370">
        <f t="shared" si="309"/>
        <v>0</v>
      </c>
      <c r="CT370">
        <f t="shared" si="310"/>
        <v>0</v>
      </c>
      <c r="CU370">
        <f t="shared" si="311"/>
        <v>0</v>
      </c>
      <c r="CV370">
        <f t="shared" si="312"/>
        <v>0</v>
      </c>
      <c r="CW370">
        <f t="shared" si="313"/>
        <v>0</v>
      </c>
      <c r="CX370">
        <f t="shared" si="314"/>
        <v>0</v>
      </c>
      <c r="CY370">
        <f t="shared" si="315"/>
        <v>0</v>
      </c>
      <c r="CZ370">
        <f t="shared" si="316"/>
        <v>0</v>
      </c>
      <c r="DC370" t="s">
        <v>3</v>
      </c>
      <c r="DD370" t="s">
        <v>3</v>
      </c>
      <c r="DE370" t="s">
        <v>3</v>
      </c>
      <c r="DF370" t="s">
        <v>3</v>
      </c>
      <c r="DG370" t="s">
        <v>3</v>
      </c>
      <c r="DH370" t="s">
        <v>3</v>
      </c>
      <c r="DI370" t="s">
        <v>3</v>
      </c>
      <c r="DJ370" t="s">
        <v>3</v>
      </c>
      <c r="DK370" t="s">
        <v>3</v>
      </c>
      <c r="DL370" t="s">
        <v>3</v>
      </c>
      <c r="DM370" t="s">
        <v>3</v>
      </c>
      <c r="DN370">
        <v>0</v>
      </c>
      <c r="DO370">
        <v>0</v>
      </c>
      <c r="DP370">
        <v>1</v>
      </c>
      <c r="DQ370">
        <v>1</v>
      </c>
      <c r="DU370">
        <v>1010</v>
      </c>
      <c r="DV370" t="s">
        <v>106</v>
      </c>
      <c r="DW370" t="s">
        <v>106</v>
      </c>
      <c r="DX370">
        <v>1</v>
      </c>
      <c r="EE370">
        <v>52362078</v>
      </c>
      <c r="EF370">
        <v>1</v>
      </c>
      <c r="EG370" t="s">
        <v>22</v>
      </c>
      <c r="EH370">
        <v>0</v>
      </c>
      <c r="EI370" t="s">
        <v>3</v>
      </c>
      <c r="EJ370">
        <v>4</v>
      </c>
      <c r="EK370">
        <v>0</v>
      </c>
      <c r="EL370" t="s">
        <v>23</v>
      </c>
      <c r="EM370" t="s">
        <v>24</v>
      </c>
      <c r="EO370" t="s">
        <v>3</v>
      </c>
      <c r="EQ370">
        <v>0</v>
      </c>
      <c r="ER370">
        <v>62333.33</v>
      </c>
      <c r="ES370">
        <v>62333.33</v>
      </c>
      <c r="ET370">
        <v>0</v>
      </c>
      <c r="EU370">
        <v>0</v>
      </c>
      <c r="EV370">
        <v>0</v>
      </c>
      <c r="EW370">
        <v>0</v>
      </c>
      <c r="EX370">
        <v>0</v>
      </c>
      <c r="EZ370">
        <v>5</v>
      </c>
      <c r="FC370">
        <v>1</v>
      </c>
      <c r="FD370">
        <v>18</v>
      </c>
      <c r="FF370">
        <v>74800</v>
      </c>
      <c r="FQ370">
        <v>0</v>
      </c>
      <c r="FR370">
        <f t="shared" si="317"/>
        <v>0</v>
      </c>
      <c r="FS370">
        <v>0</v>
      </c>
      <c r="FX370">
        <v>70</v>
      </c>
      <c r="FY370">
        <v>10</v>
      </c>
      <c r="GA370" t="s">
        <v>114</v>
      </c>
      <c r="GD370">
        <v>0</v>
      </c>
      <c r="GF370">
        <v>1794000053</v>
      </c>
      <c r="GG370">
        <v>2</v>
      </c>
      <c r="GH370">
        <v>3</v>
      </c>
      <c r="GI370">
        <v>-2</v>
      </c>
      <c r="GJ370">
        <v>0</v>
      </c>
      <c r="GK370">
        <f>ROUND(R370*(R12)/100,2)</f>
        <v>0</v>
      </c>
      <c r="GL370">
        <f t="shared" si="318"/>
        <v>0</v>
      </c>
      <c r="GM370">
        <f t="shared" si="319"/>
        <v>62333.33</v>
      </c>
      <c r="GN370">
        <f t="shared" si="320"/>
        <v>0</v>
      </c>
      <c r="GO370">
        <f t="shared" si="321"/>
        <v>0</v>
      </c>
      <c r="GP370">
        <f t="shared" si="322"/>
        <v>62333.33</v>
      </c>
      <c r="GR370">
        <v>1</v>
      </c>
      <c r="GS370">
        <v>1</v>
      </c>
      <c r="GT370">
        <v>0</v>
      </c>
      <c r="GU370" t="s">
        <v>3</v>
      </c>
      <c r="GV370">
        <f t="shared" si="323"/>
        <v>0</v>
      </c>
      <c r="GW370">
        <v>1</v>
      </c>
      <c r="GX370">
        <f t="shared" si="324"/>
        <v>0</v>
      </c>
      <c r="HA370">
        <v>0</v>
      </c>
      <c r="HB370">
        <v>0</v>
      </c>
      <c r="HC370">
        <f t="shared" si="325"/>
        <v>0</v>
      </c>
      <c r="HE370" t="s">
        <v>108</v>
      </c>
      <c r="HF370" t="s">
        <v>108</v>
      </c>
      <c r="IK370">
        <v>0</v>
      </c>
    </row>
    <row r="371" spans="1:245" x14ac:dyDescent="0.2">
      <c r="A371">
        <v>18</v>
      </c>
      <c r="B371">
        <v>1</v>
      </c>
      <c r="C371">
        <v>350</v>
      </c>
      <c r="E371" t="s">
        <v>322</v>
      </c>
      <c r="F371" t="s">
        <v>104</v>
      </c>
      <c r="G371" t="s">
        <v>209</v>
      </c>
      <c r="H371" t="s">
        <v>106</v>
      </c>
      <c r="I371">
        <f>I361*J371</f>
        <v>1</v>
      </c>
      <c r="J371">
        <v>25</v>
      </c>
      <c r="O371">
        <f t="shared" si="286"/>
        <v>10833.33</v>
      </c>
      <c r="P371">
        <f t="shared" si="287"/>
        <v>10833.33</v>
      </c>
      <c r="Q371">
        <f t="shared" si="288"/>
        <v>0</v>
      </c>
      <c r="R371">
        <f t="shared" si="289"/>
        <v>0</v>
      </c>
      <c r="S371">
        <f t="shared" si="290"/>
        <v>0</v>
      </c>
      <c r="T371">
        <f t="shared" si="291"/>
        <v>0</v>
      </c>
      <c r="U371">
        <f t="shared" si="292"/>
        <v>0</v>
      </c>
      <c r="V371">
        <f t="shared" si="293"/>
        <v>0</v>
      </c>
      <c r="W371">
        <f t="shared" si="294"/>
        <v>0</v>
      </c>
      <c r="X371">
        <f t="shared" si="295"/>
        <v>0</v>
      </c>
      <c r="Y371">
        <f t="shared" si="296"/>
        <v>0</v>
      </c>
      <c r="AA371">
        <v>52430918</v>
      </c>
      <c r="AB371">
        <f t="shared" si="297"/>
        <v>10833.33</v>
      </c>
      <c r="AC371">
        <f t="shared" si="298"/>
        <v>10833.33</v>
      </c>
      <c r="AD371">
        <f t="shared" si="299"/>
        <v>0</v>
      </c>
      <c r="AE371">
        <f t="shared" si="300"/>
        <v>0</v>
      </c>
      <c r="AF371">
        <f t="shared" si="301"/>
        <v>0</v>
      </c>
      <c r="AG371">
        <f t="shared" si="302"/>
        <v>0</v>
      </c>
      <c r="AH371">
        <f t="shared" si="303"/>
        <v>0</v>
      </c>
      <c r="AI371">
        <f t="shared" si="304"/>
        <v>0</v>
      </c>
      <c r="AJ371">
        <f t="shared" si="305"/>
        <v>0</v>
      </c>
      <c r="AK371">
        <v>10833.33</v>
      </c>
      <c r="AL371">
        <v>10833.33</v>
      </c>
      <c r="AM371">
        <v>0</v>
      </c>
      <c r="AN371">
        <v>0</v>
      </c>
      <c r="AO371">
        <v>0</v>
      </c>
      <c r="AP371">
        <v>0</v>
      </c>
      <c r="AQ371">
        <v>0</v>
      </c>
      <c r="AR371">
        <v>0</v>
      </c>
      <c r="AS371">
        <v>0</v>
      </c>
      <c r="AT371">
        <v>70</v>
      </c>
      <c r="AU371">
        <v>10</v>
      </c>
      <c r="AV371">
        <v>1</v>
      </c>
      <c r="AW371">
        <v>1</v>
      </c>
      <c r="AZ371">
        <v>1</v>
      </c>
      <c r="BA371">
        <v>1</v>
      </c>
      <c r="BB371">
        <v>1</v>
      </c>
      <c r="BC371">
        <v>1</v>
      </c>
      <c r="BD371" t="s">
        <v>3</v>
      </c>
      <c r="BE371" t="s">
        <v>3</v>
      </c>
      <c r="BF371" t="s">
        <v>3</v>
      </c>
      <c r="BG371" t="s">
        <v>3</v>
      </c>
      <c r="BH371">
        <v>3</v>
      </c>
      <c r="BI371">
        <v>4</v>
      </c>
      <c r="BJ371" t="s">
        <v>3</v>
      </c>
      <c r="BM371">
        <v>0</v>
      </c>
      <c r="BN371">
        <v>0</v>
      </c>
      <c r="BO371" t="s">
        <v>3</v>
      </c>
      <c r="BP371">
        <v>0</v>
      </c>
      <c r="BQ371">
        <v>1</v>
      </c>
      <c r="BR371">
        <v>0</v>
      </c>
      <c r="BS371">
        <v>1</v>
      </c>
      <c r="BT371">
        <v>1</v>
      </c>
      <c r="BU371">
        <v>1</v>
      </c>
      <c r="BV371">
        <v>1</v>
      </c>
      <c r="BW371">
        <v>1</v>
      </c>
      <c r="BX371">
        <v>1</v>
      </c>
      <c r="BY371" t="s">
        <v>3</v>
      </c>
      <c r="BZ371">
        <v>70</v>
      </c>
      <c r="CA371">
        <v>10</v>
      </c>
      <c r="CE371">
        <v>0</v>
      </c>
      <c r="CF371">
        <v>0</v>
      </c>
      <c r="CG371">
        <v>0</v>
      </c>
      <c r="CM371">
        <v>0</v>
      </c>
      <c r="CN371" t="s">
        <v>3</v>
      </c>
      <c r="CO371">
        <v>0</v>
      </c>
      <c r="CP371">
        <f t="shared" si="306"/>
        <v>10833.33</v>
      </c>
      <c r="CQ371">
        <f t="shared" si="307"/>
        <v>10833.33</v>
      </c>
      <c r="CR371">
        <f t="shared" si="308"/>
        <v>0</v>
      </c>
      <c r="CS371">
        <f t="shared" si="309"/>
        <v>0</v>
      </c>
      <c r="CT371">
        <f t="shared" si="310"/>
        <v>0</v>
      </c>
      <c r="CU371">
        <f t="shared" si="311"/>
        <v>0</v>
      </c>
      <c r="CV371">
        <f t="shared" si="312"/>
        <v>0</v>
      </c>
      <c r="CW371">
        <f t="shared" si="313"/>
        <v>0</v>
      </c>
      <c r="CX371">
        <f t="shared" si="314"/>
        <v>0</v>
      </c>
      <c r="CY371">
        <f t="shared" si="315"/>
        <v>0</v>
      </c>
      <c r="CZ371">
        <f t="shared" si="316"/>
        <v>0</v>
      </c>
      <c r="DC371" t="s">
        <v>3</v>
      </c>
      <c r="DD371" t="s">
        <v>3</v>
      </c>
      <c r="DE371" t="s">
        <v>3</v>
      </c>
      <c r="DF371" t="s">
        <v>3</v>
      </c>
      <c r="DG371" t="s">
        <v>3</v>
      </c>
      <c r="DH371" t="s">
        <v>3</v>
      </c>
      <c r="DI371" t="s">
        <v>3</v>
      </c>
      <c r="DJ371" t="s">
        <v>3</v>
      </c>
      <c r="DK371" t="s">
        <v>3</v>
      </c>
      <c r="DL371" t="s">
        <v>3</v>
      </c>
      <c r="DM371" t="s">
        <v>3</v>
      </c>
      <c r="DN371">
        <v>0</v>
      </c>
      <c r="DO371">
        <v>0</v>
      </c>
      <c r="DP371">
        <v>1</v>
      </c>
      <c r="DQ371">
        <v>1</v>
      </c>
      <c r="DU371">
        <v>1010</v>
      </c>
      <c r="DV371" t="s">
        <v>106</v>
      </c>
      <c r="DW371" t="s">
        <v>106</v>
      </c>
      <c r="DX371">
        <v>1</v>
      </c>
      <c r="EE371">
        <v>52362078</v>
      </c>
      <c r="EF371">
        <v>1</v>
      </c>
      <c r="EG371" t="s">
        <v>22</v>
      </c>
      <c r="EH371">
        <v>0</v>
      </c>
      <c r="EI371" t="s">
        <v>3</v>
      </c>
      <c r="EJ371">
        <v>4</v>
      </c>
      <c r="EK371">
        <v>0</v>
      </c>
      <c r="EL371" t="s">
        <v>23</v>
      </c>
      <c r="EM371" t="s">
        <v>24</v>
      </c>
      <c r="EO371" t="s">
        <v>3</v>
      </c>
      <c r="EQ371">
        <v>0</v>
      </c>
      <c r="ER371">
        <v>10833.33</v>
      </c>
      <c r="ES371">
        <v>10833.33</v>
      </c>
      <c r="ET371">
        <v>0</v>
      </c>
      <c r="EU371">
        <v>0</v>
      </c>
      <c r="EV371">
        <v>0</v>
      </c>
      <c r="EW371">
        <v>0</v>
      </c>
      <c r="EX371">
        <v>0</v>
      </c>
      <c r="EZ371">
        <v>5</v>
      </c>
      <c r="FC371">
        <v>1</v>
      </c>
      <c r="FD371">
        <v>18</v>
      </c>
      <c r="FF371">
        <v>13000</v>
      </c>
      <c r="FQ371">
        <v>0</v>
      </c>
      <c r="FR371">
        <f t="shared" si="317"/>
        <v>0</v>
      </c>
      <c r="FS371">
        <v>0</v>
      </c>
      <c r="FX371">
        <v>70</v>
      </c>
      <c r="FY371">
        <v>10</v>
      </c>
      <c r="GA371" t="s">
        <v>210</v>
      </c>
      <c r="GD371">
        <v>0</v>
      </c>
      <c r="GF371">
        <v>1617365214</v>
      </c>
      <c r="GG371">
        <v>2</v>
      </c>
      <c r="GH371">
        <v>3</v>
      </c>
      <c r="GI371">
        <v>-2</v>
      </c>
      <c r="GJ371">
        <v>0</v>
      </c>
      <c r="GK371">
        <f>ROUND(R371*(R12)/100,2)</f>
        <v>0</v>
      </c>
      <c r="GL371">
        <f t="shared" si="318"/>
        <v>0</v>
      </c>
      <c r="GM371">
        <f t="shared" si="319"/>
        <v>10833.33</v>
      </c>
      <c r="GN371">
        <f t="shared" si="320"/>
        <v>0</v>
      </c>
      <c r="GO371">
        <f t="shared" si="321"/>
        <v>0</v>
      </c>
      <c r="GP371">
        <f t="shared" si="322"/>
        <v>10833.33</v>
      </c>
      <c r="GR371">
        <v>1</v>
      </c>
      <c r="GS371">
        <v>1</v>
      </c>
      <c r="GT371">
        <v>0</v>
      </c>
      <c r="GU371" t="s">
        <v>3</v>
      </c>
      <c r="GV371">
        <f t="shared" si="323"/>
        <v>0</v>
      </c>
      <c r="GW371">
        <v>1</v>
      </c>
      <c r="GX371">
        <f t="shared" si="324"/>
        <v>0</v>
      </c>
      <c r="HA371">
        <v>0</v>
      </c>
      <c r="HB371">
        <v>0</v>
      </c>
      <c r="HC371">
        <f t="shared" si="325"/>
        <v>0</v>
      </c>
      <c r="HE371" t="s">
        <v>108</v>
      </c>
      <c r="HF371" t="s">
        <v>108</v>
      </c>
      <c r="IK371">
        <v>0</v>
      </c>
    </row>
    <row r="373" spans="1:245" x14ac:dyDescent="0.2">
      <c r="A373" s="2">
        <v>51</v>
      </c>
      <c r="B373" s="2">
        <f>B357</f>
        <v>1</v>
      </c>
      <c r="C373" s="2">
        <f>A357</f>
        <v>5</v>
      </c>
      <c r="D373" s="2">
        <f>ROW(A357)</f>
        <v>357</v>
      </c>
      <c r="E373" s="2"/>
      <c r="F373" s="2" t="str">
        <f>IF(F357&lt;&gt;"",F357,"")</f>
        <v>Новый подраздел</v>
      </c>
      <c r="G373" s="2" t="str">
        <f>IF(G357&lt;&gt;"",G357,"")</f>
        <v>Установка МАФов площадка группы № 5</v>
      </c>
      <c r="H373" s="2">
        <v>0</v>
      </c>
      <c r="I373" s="2"/>
      <c r="J373" s="2"/>
      <c r="K373" s="2"/>
      <c r="L373" s="2"/>
      <c r="M373" s="2"/>
      <c r="N373" s="2"/>
      <c r="O373" s="2">
        <f t="shared" ref="O373:T373" si="326">ROUND(AB373,2)</f>
        <v>179161.31</v>
      </c>
      <c r="P373" s="2">
        <f t="shared" si="326"/>
        <v>170002</v>
      </c>
      <c r="Q373" s="2">
        <f t="shared" si="326"/>
        <v>0.01</v>
      </c>
      <c r="R373" s="2">
        <f t="shared" si="326"/>
        <v>-0.01</v>
      </c>
      <c r="S373" s="2">
        <f t="shared" si="326"/>
        <v>9159.2999999999993</v>
      </c>
      <c r="T373" s="2">
        <f t="shared" si="326"/>
        <v>0</v>
      </c>
      <c r="U373" s="2">
        <f>AH373</f>
        <v>36.11</v>
      </c>
      <c r="V373" s="2">
        <f>AI373</f>
        <v>0</v>
      </c>
      <c r="W373" s="2">
        <f>ROUND(AJ373,2)</f>
        <v>0</v>
      </c>
      <c r="X373" s="2">
        <f>ROUND(AK373,2)</f>
        <v>6411.51</v>
      </c>
      <c r="Y373" s="2">
        <f>ROUND(AL373,2)</f>
        <v>915.93</v>
      </c>
      <c r="Z373" s="2"/>
      <c r="AA373" s="2"/>
      <c r="AB373" s="2">
        <f>ROUND(SUMIF(AA361:AA371,"=52430918",O361:O371),2)</f>
        <v>179161.31</v>
      </c>
      <c r="AC373" s="2">
        <f>ROUND(SUMIF(AA361:AA371,"=52430918",P361:P371),2)</f>
        <v>170002</v>
      </c>
      <c r="AD373" s="2">
        <f>ROUND(SUMIF(AA361:AA371,"=52430918",Q361:Q371),2)</f>
        <v>0.01</v>
      </c>
      <c r="AE373" s="2">
        <f>ROUND(SUMIF(AA361:AA371,"=52430918",R361:R371),2)</f>
        <v>-0.01</v>
      </c>
      <c r="AF373" s="2">
        <f>ROUND(SUMIF(AA361:AA371,"=52430918",S361:S371),2)</f>
        <v>9159.2999999999993</v>
      </c>
      <c r="AG373" s="2">
        <f>ROUND(SUMIF(AA361:AA371,"=52430918",T361:T371),2)</f>
        <v>0</v>
      </c>
      <c r="AH373" s="2">
        <f>SUMIF(AA361:AA371,"=52430918",U361:U371)</f>
        <v>36.11</v>
      </c>
      <c r="AI373" s="2">
        <f>SUMIF(AA361:AA371,"=52430918",V361:V371)</f>
        <v>0</v>
      </c>
      <c r="AJ373" s="2">
        <f>ROUND(SUMIF(AA361:AA371,"=52430918",W361:W371),2)</f>
        <v>0</v>
      </c>
      <c r="AK373" s="2">
        <f>ROUND(SUMIF(AA361:AA371,"=52430918",X361:X371),2)</f>
        <v>6411.51</v>
      </c>
      <c r="AL373" s="2">
        <f>ROUND(SUMIF(AA361:AA371,"=52430918",Y361:Y371),2)</f>
        <v>915.93</v>
      </c>
      <c r="AM373" s="2"/>
      <c r="AN373" s="2"/>
      <c r="AO373" s="2">
        <f t="shared" ref="AO373:BD373" si="327">ROUND(BX373,2)</f>
        <v>0</v>
      </c>
      <c r="AP373" s="2">
        <f t="shared" si="327"/>
        <v>0</v>
      </c>
      <c r="AQ373" s="2">
        <f t="shared" si="327"/>
        <v>0</v>
      </c>
      <c r="AR373" s="2">
        <f t="shared" si="327"/>
        <v>186488.74</v>
      </c>
      <c r="AS373" s="2">
        <f t="shared" si="327"/>
        <v>0</v>
      </c>
      <c r="AT373" s="2">
        <f t="shared" si="327"/>
        <v>0</v>
      </c>
      <c r="AU373" s="2">
        <f t="shared" si="327"/>
        <v>186488.74</v>
      </c>
      <c r="AV373" s="2">
        <f t="shared" si="327"/>
        <v>170002</v>
      </c>
      <c r="AW373" s="2">
        <f t="shared" si="327"/>
        <v>170002</v>
      </c>
      <c r="AX373" s="2">
        <f t="shared" si="327"/>
        <v>0</v>
      </c>
      <c r="AY373" s="2">
        <f t="shared" si="327"/>
        <v>170002</v>
      </c>
      <c r="AZ373" s="2">
        <f t="shared" si="327"/>
        <v>0</v>
      </c>
      <c r="BA373" s="2">
        <f t="shared" si="327"/>
        <v>0</v>
      </c>
      <c r="BB373" s="2">
        <f t="shared" si="327"/>
        <v>0</v>
      </c>
      <c r="BC373" s="2">
        <f t="shared" si="327"/>
        <v>0</v>
      </c>
      <c r="BD373" s="2">
        <f t="shared" si="327"/>
        <v>0</v>
      </c>
      <c r="BE373" s="2"/>
      <c r="BF373" s="2"/>
      <c r="BG373" s="2"/>
      <c r="BH373" s="2"/>
      <c r="BI373" s="2"/>
      <c r="BJ373" s="2"/>
      <c r="BK373" s="2"/>
      <c r="BL373" s="2"/>
      <c r="BM373" s="2"/>
      <c r="BN373" s="2"/>
      <c r="BO373" s="2"/>
      <c r="BP373" s="2"/>
      <c r="BQ373" s="2"/>
      <c r="BR373" s="2"/>
      <c r="BS373" s="2"/>
      <c r="BT373" s="2"/>
      <c r="BU373" s="2"/>
      <c r="BV373" s="2"/>
      <c r="BW373" s="2"/>
      <c r="BX373" s="2">
        <f>ROUND(SUMIF(AA361:AA371,"=52430918",FQ361:FQ371),2)</f>
        <v>0</v>
      </c>
      <c r="BY373" s="2">
        <f>ROUND(SUMIF(AA361:AA371,"=52430918",FR361:FR371),2)</f>
        <v>0</v>
      </c>
      <c r="BZ373" s="2">
        <f>ROUND(SUMIF(AA361:AA371,"=52430918",GL361:GL371),2)</f>
        <v>0</v>
      </c>
      <c r="CA373" s="2">
        <f>ROUND(SUMIF(AA361:AA371,"=52430918",GM361:GM371),2)</f>
        <v>186488.74</v>
      </c>
      <c r="CB373" s="2">
        <f>ROUND(SUMIF(AA361:AA371,"=52430918",GN361:GN371),2)</f>
        <v>0</v>
      </c>
      <c r="CC373" s="2">
        <f>ROUND(SUMIF(AA361:AA371,"=52430918",GO361:GO371),2)</f>
        <v>0</v>
      </c>
      <c r="CD373" s="2">
        <f>ROUND(SUMIF(AA361:AA371,"=52430918",GP361:GP371),2)</f>
        <v>186488.74</v>
      </c>
      <c r="CE373" s="2">
        <f>AC373-BX373</f>
        <v>170002</v>
      </c>
      <c r="CF373" s="2">
        <f>AC373-BY373</f>
        <v>170002</v>
      </c>
      <c r="CG373" s="2">
        <f>BX373-BZ373</f>
        <v>0</v>
      </c>
      <c r="CH373" s="2">
        <f>AC373-BX373-BY373+BZ373</f>
        <v>170002</v>
      </c>
      <c r="CI373" s="2">
        <f>BY373-BZ373</f>
        <v>0</v>
      </c>
      <c r="CJ373" s="2">
        <f>ROUND(SUMIF(AA361:AA371,"=52430918",GX361:GX371),2)</f>
        <v>0</v>
      </c>
      <c r="CK373" s="2">
        <f>ROUND(SUMIF(AA361:AA371,"=52430918",GY361:GY371),2)</f>
        <v>0</v>
      </c>
      <c r="CL373" s="2">
        <f>ROUND(SUMIF(AA361:AA371,"=52430918",GZ361:GZ371),2)</f>
        <v>0</v>
      </c>
      <c r="CM373" s="2">
        <f>ROUND(SUMIF(AA361:AA371,"=52430918",HD361:HD371),2)</f>
        <v>0</v>
      </c>
      <c r="CN373" s="2"/>
      <c r="CO373" s="2"/>
      <c r="CP373" s="2"/>
      <c r="CQ373" s="2"/>
      <c r="CR373" s="2"/>
      <c r="CS373" s="2"/>
      <c r="CT373" s="2"/>
      <c r="CU373" s="2"/>
      <c r="CV373" s="2"/>
      <c r="CW373" s="2"/>
      <c r="CX373" s="2"/>
      <c r="CY373" s="2"/>
      <c r="CZ373" s="2"/>
      <c r="DA373" s="2"/>
      <c r="DB373" s="2"/>
      <c r="DC373" s="2"/>
      <c r="DD373" s="2"/>
      <c r="DE373" s="2"/>
      <c r="DF373" s="2"/>
      <c r="DG373" s="3"/>
      <c r="DH373" s="3"/>
      <c r="DI373" s="3"/>
      <c r="DJ373" s="3"/>
      <c r="DK373" s="3"/>
      <c r="DL373" s="3"/>
      <c r="DM373" s="3"/>
      <c r="DN373" s="3"/>
      <c r="DO373" s="3"/>
      <c r="DP373" s="3"/>
      <c r="DQ373" s="3"/>
      <c r="DR373" s="3"/>
      <c r="DS373" s="3"/>
      <c r="DT373" s="3"/>
      <c r="DU373" s="3"/>
      <c r="DV373" s="3"/>
      <c r="DW373" s="3"/>
      <c r="DX373" s="3"/>
      <c r="DY373" s="3"/>
      <c r="DZ373" s="3"/>
      <c r="EA373" s="3"/>
      <c r="EB373" s="3"/>
      <c r="EC373" s="3"/>
      <c r="ED373" s="3"/>
      <c r="EE373" s="3"/>
      <c r="EF373" s="3"/>
      <c r="EG373" s="3"/>
      <c r="EH373" s="3"/>
      <c r="EI373" s="3"/>
      <c r="EJ373" s="3"/>
      <c r="EK373" s="3"/>
      <c r="EL373" s="3"/>
      <c r="EM373" s="3"/>
      <c r="EN373" s="3"/>
      <c r="EO373" s="3"/>
      <c r="EP373" s="3"/>
      <c r="EQ373" s="3"/>
      <c r="ER373" s="3"/>
      <c r="ES373" s="3"/>
      <c r="ET373" s="3"/>
      <c r="EU373" s="3"/>
      <c r="EV373" s="3"/>
      <c r="EW373" s="3"/>
      <c r="EX373" s="3"/>
      <c r="EY373" s="3"/>
      <c r="EZ373" s="3"/>
      <c r="FA373" s="3"/>
      <c r="FB373" s="3"/>
      <c r="FC373" s="3"/>
      <c r="FD373" s="3"/>
      <c r="FE373" s="3"/>
      <c r="FF373" s="3"/>
      <c r="FG373" s="3"/>
      <c r="FH373" s="3"/>
      <c r="FI373" s="3"/>
      <c r="FJ373" s="3"/>
      <c r="FK373" s="3"/>
      <c r="FL373" s="3"/>
      <c r="FM373" s="3"/>
      <c r="FN373" s="3"/>
      <c r="FO373" s="3"/>
      <c r="FP373" s="3"/>
      <c r="FQ373" s="3"/>
      <c r="FR373" s="3"/>
      <c r="FS373" s="3"/>
      <c r="FT373" s="3"/>
      <c r="FU373" s="3"/>
      <c r="FV373" s="3"/>
      <c r="FW373" s="3"/>
      <c r="FX373" s="3"/>
      <c r="FY373" s="3"/>
      <c r="FZ373" s="3"/>
      <c r="GA373" s="3"/>
      <c r="GB373" s="3"/>
      <c r="GC373" s="3"/>
      <c r="GD373" s="3"/>
      <c r="GE373" s="3"/>
      <c r="GF373" s="3"/>
      <c r="GG373" s="3"/>
      <c r="GH373" s="3"/>
      <c r="GI373" s="3"/>
      <c r="GJ373" s="3"/>
      <c r="GK373" s="3"/>
      <c r="GL373" s="3"/>
      <c r="GM373" s="3"/>
      <c r="GN373" s="3"/>
      <c r="GO373" s="3"/>
      <c r="GP373" s="3"/>
      <c r="GQ373" s="3"/>
      <c r="GR373" s="3"/>
      <c r="GS373" s="3"/>
      <c r="GT373" s="3"/>
      <c r="GU373" s="3"/>
      <c r="GV373" s="3"/>
      <c r="GW373" s="3"/>
      <c r="GX373" s="3">
        <v>0</v>
      </c>
    </row>
    <row r="375" spans="1:245" x14ac:dyDescent="0.2">
      <c r="A375" s="4">
        <v>50</v>
      </c>
      <c r="B375" s="4">
        <v>0</v>
      </c>
      <c r="C375" s="4">
        <v>0</v>
      </c>
      <c r="D375" s="4">
        <v>1</v>
      </c>
      <c r="E375" s="4">
        <v>201</v>
      </c>
      <c r="F375" s="4">
        <f>ROUND(Source!O373,O375)</f>
        <v>179161.31</v>
      </c>
      <c r="G375" s="4" t="s">
        <v>118</v>
      </c>
      <c r="H375" s="4" t="s">
        <v>119</v>
      </c>
      <c r="I375" s="4"/>
      <c r="J375" s="4"/>
      <c r="K375" s="4">
        <v>201</v>
      </c>
      <c r="L375" s="4">
        <v>1</v>
      </c>
      <c r="M375" s="4">
        <v>3</v>
      </c>
      <c r="N375" s="4" t="s">
        <v>3</v>
      </c>
      <c r="O375" s="4">
        <v>2</v>
      </c>
      <c r="P375" s="4"/>
      <c r="Q375" s="4"/>
      <c r="R375" s="4"/>
      <c r="S375" s="4"/>
      <c r="T375" s="4"/>
      <c r="U375" s="4"/>
      <c r="V375" s="4"/>
      <c r="W375" s="4"/>
    </row>
    <row r="376" spans="1:245" x14ac:dyDescent="0.2">
      <c r="A376" s="4">
        <v>50</v>
      </c>
      <c r="B376" s="4">
        <v>0</v>
      </c>
      <c r="C376" s="4">
        <v>0</v>
      </c>
      <c r="D376" s="4">
        <v>1</v>
      </c>
      <c r="E376" s="4">
        <v>202</v>
      </c>
      <c r="F376" s="4">
        <f>ROUND(Source!P373,O376)</f>
        <v>170002</v>
      </c>
      <c r="G376" s="4" t="s">
        <v>120</v>
      </c>
      <c r="H376" s="4" t="s">
        <v>121</v>
      </c>
      <c r="I376" s="4"/>
      <c r="J376" s="4"/>
      <c r="K376" s="4">
        <v>202</v>
      </c>
      <c r="L376" s="4">
        <v>2</v>
      </c>
      <c r="M376" s="4">
        <v>3</v>
      </c>
      <c r="N376" s="4" t="s">
        <v>3</v>
      </c>
      <c r="O376" s="4">
        <v>2</v>
      </c>
      <c r="P376" s="4"/>
      <c r="Q376" s="4"/>
      <c r="R376" s="4"/>
      <c r="S376" s="4"/>
      <c r="T376" s="4"/>
      <c r="U376" s="4"/>
      <c r="V376" s="4"/>
      <c r="W376" s="4"/>
    </row>
    <row r="377" spans="1:245" x14ac:dyDescent="0.2">
      <c r="A377" s="4">
        <v>50</v>
      </c>
      <c r="B377" s="4">
        <v>0</v>
      </c>
      <c r="C377" s="4">
        <v>0</v>
      </c>
      <c r="D377" s="4">
        <v>1</v>
      </c>
      <c r="E377" s="4">
        <v>222</v>
      </c>
      <c r="F377" s="4">
        <f>ROUND(Source!AO373,O377)</f>
        <v>0</v>
      </c>
      <c r="G377" s="4" t="s">
        <v>122</v>
      </c>
      <c r="H377" s="4" t="s">
        <v>123</v>
      </c>
      <c r="I377" s="4"/>
      <c r="J377" s="4"/>
      <c r="K377" s="4">
        <v>222</v>
      </c>
      <c r="L377" s="4">
        <v>3</v>
      </c>
      <c r="M377" s="4">
        <v>3</v>
      </c>
      <c r="N377" s="4" t="s">
        <v>3</v>
      </c>
      <c r="O377" s="4">
        <v>2</v>
      </c>
      <c r="P377" s="4"/>
      <c r="Q377" s="4"/>
      <c r="R377" s="4"/>
      <c r="S377" s="4"/>
      <c r="T377" s="4"/>
      <c r="U377" s="4"/>
      <c r="V377" s="4"/>
      <c r="W377" s="4"/>
    </row>
    <row r="378" spans="1:245" x14ac:dyDescent="0.2">
      <c r="A378" s="4">
        <v>50</v>
      </c>
      <c r="B378" s="4">
        <v>0</v>
      </c>
      <c r="C378" s="4">
        <v>0</v>
      </c>
      <c r="D378" s="4">
        <v>1</v>
      </c>
      <c r="E378" s="4">
        <v>225</v>
      </c>
      <c r="F378" s="4">
        <f>ROUND(Source!AV373,O378)</f>
        <v>170002</v>
      </c>
      <c r="G378" s="4" t="s">
        <v>124</v>
      </c>
      <c r="H378" s="4" t="s">
        <v>125</v>
      </c>
      <c r="I378" s="4"/>
      <c r="J378" s="4"/>
      <c r="K378" s="4">
        <v>225</v>
      </c>
      <c r="L378" s="4">
        <v>4</v>
      </c>
      <c r="M378" s="4">
        <v>3</v>
      </c>
      <c r="N378" s="4" t="s">
        <v>3</v>
      </c>
      <c r="O378" s="4">
        <v>2</v>
      </c>
      <c r="P378" s="4"/>
      <c r="Q378" s="4"/>
      <c r="R378" s="4"/>
      <c r="S378" s="4"/>
      <c r="T378" s="4"/>
      <c r="U378" s="4"/>
      <c r="V378" s="4"/>
      <c r="W378" s="4"/>
    </row>
    <row r="379" spans="1:245" x14ac:dyDescent="0.2">
      <c r="A379" s="4">
        <v>50</v>
      </c>
      <c r="B379" s="4">
        <v>0</v>
      </c>
      <c r="C379" s="4">
        <v>0</v>
      </c>
      <c r="D379" s="4">
        <v>1</v>
      </c>
      <c r="E379" s="4">
        <v>226</v>
      </c>
      <c r="F379" s="4">
        <f>ROUND(Source!AW373,O379)</f>
        <v>170002</v>
      </c>
      <c r="G379" s="4" t="s">
        <v>126</v>
      </c>
      <c r="H379" s="4" t="s">
        <v>127</v>
      </c>
      <c r="I379" s="4"/>
      <c r="J379" s="4"/>
      <c r="K379" s="4">
        <v>226</v>
      </c>
      <c r="L379" s="4">
        <v>5</v>
      </c>
      <c r="M379" s="4">
        <v>3</v>
      </c>
      <c r="N379" s="4" t="s">
        <v>3</v>
      </c>
      <c r="O379" s="4">
        <v>2</v>
      </c>
      <c r="P379" s="4"/>
      <c r="Q379" s="4"/>
      <c r="R379" s="4"/>
      <c r="S379" s="4"/>
      <c r="T379" s="4"/>
      <c r="U379" s="4"/>
      <c r="V379" s="4"/>
      <c r="W379" s="4"/>
    </row>
    <row r="380" spans="1:245" x14ac:dyDescent="0.2">
      <c r="A380" s="4">
        <v>50</v>
      </c>
      <c r="B380" s="4">
        <v>0</v>
      </c>
      <c r="C380" s="4">
        <v>0</v>
      </c>
      <c r="D380" s="4">
        <v>1</v>
      </c>
      <c r="E380" s="4">
        <v>227</v>
      </c>
      <c r="F380" s="4">
        <f>ROUND(Source!AX373,O380)</f>
        <v>0</v>
      </c>
      <c r="G380" s="4" t="s">
        <v>128</v>
      </c>
      <c r="H380" s="4" t="s">
        <v>129</v>
      </c>
      <c r="I380" s="4"/>
      <c r="J380" s="4"/>
      <c r="K380" s="4">
        <v>227</v>
      </c>
      <c r="L380" s="4">
        <v>6</v>
      </c>
      <c r="M380" s="4">
        <v>3</v>
      </c>
      <c r="N380" s="4" t="s">
        <v>3</v>
      </c>
      <c r="O380" s="4">
        <v>2</v>
      </c>
      <c r="P380" s="4"/>
      <c r="Q380" s="4"/>
      <c r="R380" s="4"/>
      <c r="S380" s="4"/>
      <c r="T380" s="4"/>
      <c r="U380" s="4"/>
      <c r="V380" s="4"/>
      <c r="W380" s="4"/>
    </row>
    <row r="381" spans="1:245" x14ac:dyDescent="0.2">
      <c r="A381" s="4">
        <v>50</v>
      </c>
      <c r="B381" s="4">
        <v>0</v>
      </c>
      <c r="C381" s="4">
        <v>0</v>
      </c>
      <c r="D381" s="4">
        <v>1</v>
      </c>
      <c r="E381" s="4">
        <v>228</v>
      </c>
      <c r="F381" s="4">
        <f>ROUND(Source!AY373,O381)</f>
        <v>170002</v>
      </c>
      <c r="G381" s="4" t="s">
        <v>130</v>
      </c>
      <c r="H381" s="4" t="s">
        <v>131</v>
      </c>
      <c r="I381" s="4"/>
      <c r="J381" s="4"/>
      <c r="K381" s="4">
        <v>228</v>
      </c>
      <c r="L381" s="4">
        <v>7</v>
      </c>
      <c r="M381" s="4">
        <v>3</v>
      </c>
      <c r="N381" s="4" t="s">
        <v>3</v>
      </c>
      <c r="O381" s="4">
        <v>2</v>
      </c>
      <c r="P381" s="4"/>
      <c r="Q381" s="4"/>
      <c r="R381" s="4"/>
      <c r="S381" s="4"/>
      <c r="T381" s="4"/>
      <c r="U381" s="4"/>
      <c r="V381" s="4"/>
      <c r="W381" s="4"/>
    </row>
    <row r="382" spans="1:245" x14ac:dyDescent="0.2">
      <c r="A382" s="4">
        <v>50</v>
      </c>
      <c r="B382" s="4">
        <v>0</v>
      </c>
      <c r="C382" s="4">
        <v>0</v>
      </c>
      <c r="D382" s="4">
        <v>1</v>
      </c>
      <c r="E382" s="4">
        <v>216</v>
      </c>
      <c r="F382" s="4">
        <f>ROUND(Source!AP373,O382)</f>
        <v>0</v>
      </c>
      <c r="G382" s="4" t="s">
        <v>132</v>
      </c>
      <c r="H382" s="4" t="s">
        <v>133</v>
      </c>
      <c r="I382" s="4"/>
      <c r="J382" s="4"/>
      <c r="K382" s="4">
        <v>216</v>
      </c>
      <c r="L382" s="4">
        <v>8</v>
      </c>
      <c r="M382" s="4">
        <v>3</v>
      </c>
      <c r="N382" s="4" t="s">
        <v>3</v>
      </c>
      <c r="O382" s="4">
        <v>2</v>
      </c>
      <c r="P382" s="4"/>
      <c r="Q382" s="4"/>
      <c r="R382" s="4"/>
      <c r="S382" s="4"/>
      <c r="T382" s="4"/>
      <c r="U382" s="4"/>
      <c r="V382" s="4"/>
      <c r="W382" s="4"/>
    </row>
    <row r="383" spans="1:245" x14ac:dyDescent="0.2">
      <c r="A383" s="4">
        <v>50</v>
      </c>
      <c r="B383" s="4">
        <v>0</v>
      </c>
      <c r="C383" s="4">
        <v>0</v>
      </c>
      <c r="D383" s="4">
        <v>1</v>
      </c>
      <c r="E383" s="4">
        <v>223</v>
      </c>
      <c r="F383" s="4">
        <f>ROUND(Source!AQ373,O383)</f>
        <v>0</v>
      </c>
      <c r="G383" s="4" t="s">
        <v>134</v>
      </c>
      <c r="H383" s="4" t="s">
        <v>135</v>
      </c>
      <c r="I383" s="4"/>
      <c r="J383" s="4"/>
      <c r="K383" s="4">
        <v>223</v>
      </c>
      <c r="L383" s="4">
        <v>9</v>
      </c>
      <c r="M383" s="4">
        <v>3</v>
      </c>
      <c r="N383" s="4" t="s">
        <v>3</v>
      </c>
      <c r="O383" s="4">
        <v>2</v>
      </c>
      <c r="P383" s="4"/>
      <c r="Q383" s="4"/>
      <c r="R383" s="4"/>
      <c r="S383" s="4"/>
      <c r="T383" s="4"/>
      <c r="U383" s="4"/>
      <c r="V383" s="4"/>
      <c r="W383" s="4"/>
    </row>
    <row r="384" spans="1:245" x14ac:dyDescent="0.2">
      <c r="A384" s="4">
        <v>50</v>
      </c>
      <c r="B384" s="4">
        <v>0</v>
      </c>
      <c r="C384" s="4">
        <v>0</v>
      </c>
      <c r="D384" s="4">
        <v>1</v>
      </c>
      <c r="E384" s="4">
        <v>229</v>
      </c>
      <c r="F384" s="4">
        <f>ROUND(Source!AZ373,O384)</f>
        <v>0</v>
      </c>
      <c r="G384" s="4" t="s">
        <v>136</v>
      </c>
      <c r="H384" s="4" t="s">
        <v>137</v>
      </c>
      <c r="I384" s="4"/>
      <c r="J384" s="4"/>
      <c r="K384" s="4">
        <v>229</v>
      </c>
      <c r="L384" s="4">
        <v>10</v>
      </c>
      <c r="M384" s="4">
        <v>3</v>
      </c>
      <c r="N384" s="4" t="s">
        <v>3</v>
      </c>
      <c r="O384" s="4">
        <v>2</v>
      </c>
      <c r="P384" s="4"/>
      <c r="Q384" s="4"/>
      <c r="R384" s="4"/>
      <c r="S384" s="4"/>
      <c r="T384" s="4"/>
      <c r="U384" s="4"/>
      <c r="V384" s="4"/>
      <c r="W384" s="4"/>
    </row>
    <row r="385" spans="1:23" x14ac:dyDescent="0.2">
      <c r="A385" s="4">
        <v>50</v>
      </c>
      <c r="B385" s="4">
        <v>0</v>
      </c>
      <c r="C385" s="4">
        <v>0</v>
      </c>
      <c r="D385" s="4">
        <v>1</v>
      </c>
      <c r="E385" s="4">
        <v>203</v>
      </c>
      <c r="F385" s="4">
        <f>ROUND(Source!Q373,O385)</f>
        <v>0.01</v>
      </c>
      <c r="G385" s="4" t="s">
        <v>138</v>
      </c>
      <c r="H385" s="4" t="s">
        <v>139</v>
      </c>
      <c r="I385" s="4"/>
      <c r="J385" s="4"/>
      <c r="K385" s="4">
        <v>203</v>
      </c>
      <c r="L385" s="4">
        <v>11</v>
      </c>
      <c r="M385" s="4">
        <v>3</v>
      </c>
      <c r="N385" s="4" t="s">
        <v>3</v>
      </c>
      <c r="O385" s="4">
        <v>2</v>
      </c>
      <c r="P385" s="4"/>
      <c r="Q385" s="4"/>
      <c r="R385" s="4"/>
      <c r="S385" s="4"/>
      <c r="T385" s="4"/>
      <c r="U385" s="4"/>
      <c r="V385" s="4"/>
      <c r="W385" s="4"/>
    </row>
    <row r="386" spans="1:23" x14ac:dyDescent="0.2">
      <c r="A386" s="4">
        <v>50</v>
      </c>
      <c r="B386" s="4">
        <v>0</v>
      </c>
      <c r="C386" s="4">
        <v>0</v>
      </c>
      <c r="D386" s="4">
        <v>1</v>
      </c>
      <c r="E386" s="4">
        <v>231</v>
      </c>
      <c r="F386" s="4">
        <f>ROUND(Source!BB373,O386)</f>
        <v>0</v>
      </c>
      <c r="G386" s="4" t="s">
        <v>140</v>
      </c>
      <c r="H386" s="4" t="s">
        <v>141</v>
      </c>
      <c r="I386" s="4"/>
      <c r="J386" s="4"/>
      <c r="K386" s="4">
        <v>231</v>
      </c>
      <c r="L386" s="4">
        <v>12</v>
      </c>
      <c r="M386" s="4">
        <v>3</v>
      </c>
      <c r="N386" s="4" t="s">
        <v>3</v>
      </c>
      <c r="O386" s="4">
        <v>2</v>
      </c>
      <c r="P386" s="4"/>
      <c r="Q386" s="4"/>
      <c r="R386" s="4"/>
      <c r="S386" s="4"/>
      <c r="T386" s="4"/>
      <c r="U386" s="4"/>
      <c r="V386" s="4"/>
      <c r="W386" s="4"/>
    </row>
    <row r="387" spans="1:23" x14ac:dyDescent="0.2">
      <c r="A387" s="4">
        <v>50</v>
      </c>
      <c r="B387" s="4">
        <v>0</v>
      </c>
      <c r="C387" s="4">
        <v>0</v>
      </c>
      <c r="D387" s="4">
        <v>1</v>
      </c>
      <c r="E387" s="4">
        <v>204</v>
      </c>
      <c r="F387" s="4">
        <f>ROUND(Source!R373,O387)</f>
        <v>-0.01</v>
      </c>
      <c r="G387" s="4" t="s">
        <v>142</v>
      </c>
      <c r="H387" s="4" t="s">
        <v>143</v>
      </c>
      <c r="I387" s="4"/>
      <c r="J387" s="4"/>
      <c r="K387" s="4">
        <v>204</v>
      </c>
      <c r="L387" s="4">
        <v>13</v>
      </c>
      <c r="M387" s="4">
        <v>3</v>
      </c>
      <c r="N387" s="4" t="s">
        <v>3</v>
      </c>
      <c r="O387" s="4">
        <v>2</v>
      </c>
      <c r="P387" s="4"/>
      <c r="Q387" s="4"/>
      <c r="R387" s="4"/>
      <c r="S387" s="4"/>
      <c r="T387" s="4"/>
      <c r="U387" s="4"/>
      <c r="V387" s="4"/>
      <c r="W387" s="4"/>
    </row>
    <row r="388" spans="1:23" x14ac:dyDescent="0.2">
      <c r="A388" s="4">
        <v>50</v>
      </c>
      <c r="B388" s="4">
        <v>0</v>
      </c>
      <c r="C388" s="4">
        <v>0</v>
      </c>
      <c r="D388" s="4">
        <v>1</v>
      </c>
      <c r="E388" s="4">
        <v>205</v>
      </c>
      <c r="F388" s="4">
        <f>ROUND(Source!S373,O388)</f>
        <v>9159.2999999999993</v>
      </c>
      <c r="G388" s="4" t="s">
        <v>144</v>
      </c>
      <c r="H388" s="4" t="s">
        <v>145</v>
      </c>
      <c r="I388" s="4"/>
      <c r="J388" s="4"/>
      <c r="K388" s="4">
        <v>205</v>
      </c>
      <c r="L388" s="4">
        <v>14</v>
      </c>
      <c r="M388" s="4">
        <v>3</v>
      </c>
      <c r="N388" s="4" t="s">
        <v>3</v>
      </c>
      <c r="O388" s="4">
        <v>2</v>
      </c>
      <c r="P388" s="4"/>
      <c r="Q388" s="4"/>
      <c r="R388" s="4"/>
      <c r="S388" s="4"/>
      <c r="T388" s="4"/>
      <c r="U388" s="4"/>
      <c r="V388" s="4"/>
      <c r="W388" s="4"/>
    </row>
    <row r="389" spans="1:23" x14ac:dyDescent="0.2">
      <c r="A389" s="4">
        <v>50</v>
      </c>
      <c r="B389" s="4">
        <v>0</v>
      </c>
      <c r="C389" s="4">
        <v>0</v>
      </c>
      <c r="D389" s="4">
        <v>1</v>
      </c>
      <c r="E389" s="4">
        <v>232</v>
      </c>
      <c r="F389" s="4">
        <f>ROUND(Source!BC373,O389)</f>
        <v>0</v>
      </c>
      <c r="G389" s="4" t="s">
        <v>146</v>
      </c>
      <c r="H389" s="4" t="s">
        <v>147</v>
      </c>
      <c r="I389" s="4"/>
      <c r="J389" s="4"/>
      <c r="K389" s="4">
        <v>232</v>
      </c>
      <c r="L389" s="4">
        <v>15</v>
      </c>
      <c r="M389" s="4">
        <v>3</v>
      </c>
      <c r="N389" s="4" t="s">
        <v>3</v>
      </c>
      <c r="O389" s="4">
        <v>2</v>
      </c>
      <c r="P389" s="4"/>
      <c r="Q389" s="4"/>
      <c r="R389" s="4"/>
      <c r="S389" s="4"/>
      <c r="T389" s="4"/>
      <c r="U389" s="4"/>
      <c r="V389" s="4"/>
      <c r="W389" s="4"/>
    </row>
    <row r="390" spans="1:23" x14ac:dyDescent="0.2">
      <c r="A390" s="4">
        <v>50</v>
      </c>
      <c r="B390" s="4">
        <v>0</v>
      </c>
      <c r="C390" s="4">
        <v>0</v>
      </c>
      <c r="D390" s="4">
        <v>1</v>
      </c>
      <c r="E390" s="4">
        <v>214</v>
      </c>
      <c r="F390" s="4">
        <f>ROUND(Source!AS373,O390)</f>
        <v>0</v>
      </c>
      <c r="G390" s="4" t="s">
        <v>148</v>
      </c>
      <c r="H390" s="4" t="s">
        <v>149</v>
      </c>
      <c r="I390" s="4"/>
      <c r="J390" s="4"/>
      <c r="K390" s="4">
        <v>214</v>
      </c>
      <c r="L390" s="4">
        <v>16</v>
      </c>
      <c r="M390" s="4">
        <v>3</v>
      </c>
      <c r="N390" s="4" t="s">
        <v>3</v>
      </c>
      <c r="O390" s="4">
        <v>2</v>
      </c>
      <c r="P390" s="4"/>
      <c r="Q390" s="4"/>
      <c r="R390" s="4"/>
      <c r="S390" s="4"/>
      <c r="T390" s="4"/>
      <c r="U390" s="4"/>
      <c r="V390" s="4"/>
      <c r="W390" s="4"/>
    </row>
    <row r="391" spans="1:23" x14ac:dyDescent="0.2">
      <c r="A391" s="4">
        <v>50</v>
      </c>
      <c r="B391" s="4">
        <v>0</v>
      </c>
      <c r="C391" s="4">
        <v>0</v>
      </c>
      <c r="D391" s="4">
        <v>1</v>
      </c>
      <c r="E391" s="4">
        <v>215</v>
      </c>
      <c r="F391" s="4">
        <f>ROUND(Source!AT373,O391)</f>
        <v>0</v>
      </c>
      <c r="G391" s="4" t="s">
        <v>150</v>
      </c>
      <c r="H391" s="4" t="s">
        <v>151</v>
      </c>
      <c r="I391" s="4"/>
      <c r="J391" s="4"/>
      <c r="K391" s="4">
        <v>215</v>
      </c>
      <c r="L391" s="4">
        <v>17</v>
      </c>
      <c r="M391" s="4">
        <v>3</v>
      </c>
      <c r="N391" s="4" t="s">
        <v>3</v>
      </c>
      <c r="O391" s="4">
        <v>2</v>
      </c>
      <c r="P391" s="4"/>
      <c r="Q391" s="4"/>
      <c r="R391" s="4"/>
      <c r="S391" s="4"/>
      <c r="T391" s="4"/>
      <c r="U391" s="4"/>
      <c r="V391" s="4"/>
      <c r="W391" s="4"/>
    </row>
    <row r="392" spans="1:23" x14ac:dyDescent="0.2">
      <c r="A392" s="4">
        <v>50</v>
      </c>
      <c r="B392" s="4">
        <v>0</v>
      </c>
      <c r="C392" s="4">
        <v>0</v>
      </c>
      <c r="D392" s="4">
        <v>1</v>
      </c>
      <c r="E392" s="4">
        <v>217</v>
      </c>
      <c r="F392" s="4">
        <f>ROUND(Source!AU373,O392)</f>
        <v>186488.74</v>
      </c>
      <c r="G392" s="4" t="s">
        <v>152</v>
      </c>
      <c r="H392" s="4" t="s">
        <v>153</v>
      </c>
      <c r="I392" s="4"/>
      <c r="J392" s="4"/>
      <c r="K392" s="4">
        <v>217</v>
      </c>
      <c r="L392" s="4">
        <v>18</v>
      </c>
      <c r="M392" s="4">
        <v>3</v>
      </c>
      <c r="N392" s="4" t="s">
        <v>3</v>
      </c>
      <c r="O392" s="4">
        <v>2</v>
      </c>
      <c r="P392" s="4"/>
      <c r="Q392" s="4"/>
      <c r="R392" s="4"/>
      <c r="S392" s="4"/>
      <c r="T392" s="4"/>
      <c r="U392" s="4"/>
      <c r="V392" s="4"/>
      <c r="W392" s="4"/>
    </row>
    <row r="393" spans="1:23" x14ac:dyDescent="0.2">
      <c r="A393" s="4">
        <v>50</v>
      </c>
      <c r="B393" s="4">
        <v>0</v>
      </c>
      <c r="C393" s="4">
        <v>0</v>
      </c>
      <c r="D393" s="4">
        <v>1</v>
      </c>
      <c r="E393" s="4">
        <v>230</v>
      </c>
      <c r="F393" s="4">
        <f>ROUND(Source!BA373,O393)</f>
        <v>0</v>
      </c>
      <c r="G393" s="4" t="s">
        <v>154</v>
      </c>
      <c r="H393" s="4" t="s">
        <v>155</v>
      </c>
      <c r="I393" s="4"/>
      <c r="J393" s="4"/>
      <c r="K393" s="4">
        <v>230</v>
      </c>
      <c r="L393" s="4">
        <v>19</v>
      </c>
      <c r="M393" s="4">
        <v>3</v>
      </c>
      <c r="N393" s="4" t="s">
        <v>3</v>
      </c>
      <c r="O393" s="4">
        <v>2</v>
      </c>
      <c r="P393" s="4"/>
      <c r="Q393" s="4"/>
      <c r="R393" s="4"/>
      <c r="S393" s="4"/>
      <c r="T393" s="4"/>
      <c r="U393" s="4"/>
      <c r="V393" s="4"/>
      <c r="W393" s="4"/>
    </row>
    <row r="394" spans="1:23" x14ac:dyDescent="0.2">
      <c r="A394" s="4">
        <v>50</v>
      </c>
      <c r="B394" s="4">
        <v>0</v>
      </c>
      <c r="C394" s="4">
        <v>0</v>
      </c>
      <c r="D394" s="4">
        <v>1</v>
      </c>
      <c r="E394" s="4">
        <v>206</v>
      </c>
      <c r="F394" s="4">
        <f>ROUND(Source!T373,O394)</f>
        <v>0</v>
      </c>
      <c r="G394" s="4" t="s">
        <v>156</v>
      </c>
      <c r="H394" s="4" t="s">
        <v>157</v>
      </c>
      <c r="I394" s="4"/>
      <c r="J394" s="4"/>
      <c r="K394" s="4">
        <v>206</v>
      </c>
      <c r="L394" s="4">
        <v>20</v>
      </c>
      <c r="M394" s="4">
        <v>3</v>
      </c>
      <c r="N394" s="4" t="s">
        <v>3</v>
      </c>
      <c r="O394" s="4">
        <v>2</v>
      </c>
      <c r="P394" s="4"/>
      <c r="Q394" s="4"/>
      <c r="R394" s="4"/>
      <c r="S394" s="4"/>
      <c r="T394" s="4"/>
      <c r="U394" s="4"/>
      <c r="V394" s="4"/>
      <c r="W394" s="4"/>
    </row>
    <row r="395" spans="1:23" x14ac:dyDescent="0.2">
      <c r="A395" s="4">
        <v>50</v>
      </c>
      <c r="B395" s="4">
        <v>0</v>
      </c>
      <c r="C395" s="4">
        <v>0</v>
      </c>
      <c r="D395" s="4">
        <v>1</v>
      </c>
      <c r="E395" s="4">
        <v>207</v>
      </c>
      <c r="F395" s="4">
        <f>Source!U373</f>
        <v>36.11</v>
      </c>
      <c r="G395" s="4" t="s">
        <v>158</v>
      </c>
      <c r="H395" s="4" t="s">
        <v>159</v>
      </c>
      <c r="I395" s="4"/>
      <c r="J395" s="4"/>
      <c r="K395" s="4">
        <v>207</v>
      </c>
      <c r="L395" s="4">
        <v>21</v>
      </c>
      <c r="M395" s="4">
        <v>3</v>
      </c>
      <c r="N395" s="4" t="s">
        <v>3</v>
      </c>
      <c r="O395" s="4">
        <v>-1</v>
      </c>
      <c r="P395" s="4"/>
      <c r="Q395" s="4"/>
      <c r="R395" s="4"/>
      <c r="S395" s="4"/>
      <c r="T395" s="4"/>
      <c r="U395" s="4"/>
      <c r="V395" s="4"/>
      <c r="W395" s="4"/>
    </row>
    <row r="396" spans="1:23" x14ac:dyDescent="0.2">
      <c r="A396" s="4">
        <v>50</v>
      </c>
      <c r="B396" s="4">
        <v>0</v>
      </c>
      <c r="C396" s="4">
        <v>0</v>
      </c>
      <c r="D396" s="4">
        <v>1</v>
      </c>
      <c r="E396" s="4">
        <v>208</v>
      </c>
      <c r="F396" s="4">
        <f>Source!V373</f>
        <v>0</v>
      </c>
      <c r="G396" s="4" t="s">
        <v>160</v>
      </c>
      <c r="H396" s="4" t="s">
        <v>161</v>
      </c>
      <c r="I396" s="4"/>
      <c r="J396" s="4"/>
      <c r="K396" s="4">
        <v>208</v>
      </c>
      <c r="L396" s="4">
        <v>22</v>
      </c>
      <c r="M396" s="4">
        <v>3</v>
      </c>
      <c r="N396" s="4" t="s">
        <v>3</v>
      </c>
      <c r="O396" s="4">
        <v>-1</v>
      </c>
      <c r="P396" s="4"/>
      <c r="Q396" s="4"/>
      <c r="R396" s="4"/>
      <c r="S396" s="4"/>
      <c r="T396" s="4"/>
      <c r="U396" s="4"/>
      <c r="V396" s="4"/>
      <c r="W396" s="4"/>
    </row>
    <row r="397" spans="1:23" x14ac:dyDescent="0.2">
      <c r="A397" s="4">
        <v>50</v>
      </c>
      <c r="B397" s="4">
        <v>0</v>
      </c>
      <c r="C397" s="4">
        <v>0</v>
      </c>
      <c r="D397" s="4">
        <v>1</v>
      </c>
      <c r="E397" s="4">
        <v>209</v>
      </c>
      <c r="F397" s="4">
        <f>ROUND(Source!W373,O397)</f>
        <v>0</v>
      </c>
      <c r="G397" s="4" t="s">
        <v>162</v>
      </c>
      <c r="H397" s="4" t="s">
        <v>163</v>
      </c>
      <c r="I397" s="4"/>
      <c r="J397" s="4"/>
      <c r="K397" s="4">
        <v>209</v>
      </c>
      <c r="L397" s="4">
        <v>23</v>
      </c>
      <c r="M397" s="4">
        <v>3</v>
      </c>
      <c r="N397" s="4" t="s">
        <v>3</v>
      </c>
      <c r="O397" s="4">
        <v>2</v>
      </c>
      <c r="P397" s="4"/>
      <c r="Q397" s="4"/>
      <c r="R397" s="4"/>
      <c r="S397" s="4"/>
      <c r="T397" s="4"/>
      <c r="U397" s="4"/>
      <c r="V397" s="4"/>
      <c r="W397" s="4"/>
    </row>
    <row r="398" spans="1:23" x14ac:dyDescent="0.2">
      <c r="A398" s="4">
        <v>50</v>
      </c>
      <c r="B398" s="4">
        <v>0</v>
      </c>
      <c r="C398" s="4">
        <v>0</v>
      </c>
      <c r="D398" s="4">
        <v>1</v>
      </c>
      <c r="E398" s="4">
        <v>233</v>
      </c>
      <c r="F398" s="4">
        <f>ROUND(Source!BD373,O398)</f>
        <v>0</v>
      </c>
      <c r="G398" s="4" t="s">
        <v>164</v>
      </c>
      <c r="H398" s="4" t="s">
        <v>165</v>
      </c>
      <c r="I398" s="4"/>
      <c r="J398" s="4"/>
      <c r="K398" s="4">
        <v>233</v>
      </c>
      <c r="L398" s="4">
        <v>24</v>
      </c>
      <c r="M398" s="4">
        <v>3</v>
      </c>
      <c r="N398" s="4" t="s">
        <v>3</v>
      </c>
      <c r="O398" s="4">
        <v>2</v>
      </c>
      <c r="P398" s="4"/>
      <c r="Q398" s="4"/>
      <c r="R398" s="4"/>
      <c r="S398" s="4"/>
      <c r="T398" s="4"/>
      <c r="U398" s="4"/>
      <c r="V398" s="4"/>
      <c r="W398" s="4"/>
    </row>
    <row r="399" spans="1:23" x14ac:dyDescent="0.2">
      <c r="A399" s="4">
        <v>50</v>
      </c>
      <c r="B399" s="4">
        <v>0</v>
      </c>
      <c r="C399" s="4">
        <v>0</v>
      </c>
      <c r="D399" s="4">
        <v>1</v>
      </c>
      <c r="E399" s="4">
        <v>210</v>
      </c>
      <c r="F399" s="4">
        <f>ROUND(Source!X373,O399)</f>
        <v>6411.51</v>
      </c>
      <c r="G399" s="4" t="s">
        <v>166</v>
      </c>
      <c r="H399" s="4" t="s">
        <v>167</v>
      </c>
      <c r="I399" s="4"/>
      <c r="J399" s="4"/>
      <c r="K399" s="4">
        <v>210</v>
      </c>
      <c r="L399" s="4">
        <v>25</v>
      </c>
      <c r="M399" s="4">
        <v>3</v>
      </c>
      <c r="N399" s="4" t="s">
        <v>3</v>
      </c>
      <c r="O399" s="4">
        <v>2</v>
      </c>
      <c r="P399" s="4"/>
      <c r="Q399" s="4"/>
      <c r="R399" s="4"/>
      <c r="S399" s="4"/>
      <c r="T399" s="4"/>
      <c r="U399" s="4"/>
      <c r="V399" s="4"/>
      <c r="W399" s="4"/>
    </row>
    <row r="400" spans="1:23" x14ac:dyDescent="0.2">
      <c r="A400" s="4">
        <v>50</v>
      </c>
      <c r="B400" s="4">
        <v>0</v>
      </c>
      <c r="C400" s="4">
        <v>0</v>
      </c>
      <c r="D400" s="4">
        <v>1</v>
      </c>
      <c r="E400" s="4">
        <v>211</v>
      </c>
      <c r="F400" s="4">
        <f>ROUND(Source!Y373,O400)</f>
        <v>915.93</v>
      </c>
      <c r="G400" s="4" t="s">
        <v>168</v>
      </c>
      <c r="H400" s="4" t="s">
        <v>169</v>
      </c>
      <c r="I400" s="4"/>
      <c r="J400" s="4"/>
      <c r="K400" s="4">
        <v>211</v>
      </c>
      <c r="L400" s="4">
        <v>26</v>
      </c>
      <c r="M400" s="4">
        <v>3</v>
      </c>
      <c r="N400" s="4" t="s">
        <v>3</v>
      </c>
      <c r="O400" s="4">
        <v>2</v>
      </c>
      <c r="P400" s="4"/>
      <c r="Q400" s="4"/>
      <c r="R400" s="4"/>
      <c r="S400" s="4"/>
      <c r="T400" s="4"/>
      <c r="U400" s="4"/>
      <c r="V400" s="4"/>
      <c r="W400" s="4"/>
    </row>
    <row r="401" spans="1:245" x14ac:dyDescent="0.2">
      <c r="A401" s="4">
        <v>50</v>
      </c>
      <c r="B401" s="4">
        <v>0</v>
      </c>
      <c r="C401" s="4">
        <v>0</v>
      </c>
      <c r="D401" s="4">
        <v>1</v>
      </c>
      <c r="E401" s="4">
        <v>224</v>
      </c>
      <c r="F401" s="4">
        <f>ROUND(Source!AR373,O401)</f>
        <v>186488.74</v>
      </c>
      <c r="G401" s="4" t="s">
        <v>170</v>
      </c>
      <c r="H401" s="4" t="s">
        <v>171</v>
      </c>
      <c r="I401" s="4"/>
      <c r="J401" s="4"/>
      <c r="K401" s="4">
        <v>224</v>
      </c>
      <c r="L401" s="4">
        <v>27</v>
      </c>
      <c r="M401" s="4">
        <v>3</v>
      </c>
      <c r="N401" s="4" t="s">
        <v>3</v>
      </c>
      <c r="O401" s="4">
        <v>2</v>
      </c>
      <c r="P401" s="4"/>
      <c r="Q401" s="4"/>
      <c r="R401" s="4"/>
      <c r="S401" s="4"/>
      <c r="T401" s="4"/>
      <c r="U401" s="4"/>
      <c r="V401" s="4"/>
      <c r="W401" s="4"/>
    </row>
    <row r="403" spans="1:245" x14ac:dyDescent="0.2">
      <c r="A403" s="1">
        <v>5</v>
      </c>
      <c r="B403" s="1">
        <v>1</v>
      </c>
      <c r="C403" s="1"/>
      <c r="D403" s="1">
        <f>ROW(A418)</f>
        <v>418</v>
      </c>
      <c r="E403" s="1"/>
      <c r="F403" s="1" t="s">
        <v>15</v>
      </c>
      <c r="G403" s="1" t="s">
        <v>323</v>
      </c>
      <c r="H403" s="1" t="s">
        <v>3</v>
      </c>
      <c r="I403" s="1">
        <v>0</v>
      </c>
      <c r="J403" s="1"/>
      <c r="K403" s="1">
        <v>0</v>
      </c>
      <c r="L403" s="1"/>
      <c r="M403" s="1"/>
      <c r="N403" s="1"/>
      <c r="O403" s="1"/>
      <c r="P403" s="1"/>
      <c r="Q403" s="1"/>
      <c r="R403" s="1"/>
      <c r="S403" s="1"/>
      <c r="T403" s="1"/>
      <c r="U403" s="1" t="s">
        <v>3</v>
      </c>
      <c r="V403" s="1">
        <v>0</v>
      </c>
      <c r="W403" s="1"/>
      <c r="X403" s="1"/>
      <c r="Y403" s="1"/>
      <c r="Z403" s="1"/>
      <c r="AA403" s="1"/>
      <c r="AB403" s="1" t="s">
        <v>3</v>
      </c>
      <c r="AC403" s="1" t="s">
        <v>3</v>
      </c>
      <c r="AD403" s="1" t="s">
        <v>3</v>
      </c>
      <c r="AE403" s="1" t="s">
        <v>3</v>
      </c>
      <c r="AF403" s="1" t="s">
        <v>3</v>
      </c>
      <c r="AG403" s="1" t="s">
        <v>3</v>
      </c>
      <c r="AH403" s="1"/>
      <c r="AI403" s="1"/>
      <c r="AJ403" s="1"/>
      <c r="AK403" s="1"/>
      <c r="AL403" s="1"/>
      <c r="AM403" s="1"/>
      <c r="AN403" s="1"/>
      <c r="AO403" s="1"/>
      <c r="AP403" s="1" t="s">
        <v>3</v>
      </c>
      <c r="AQ403" s="1" t="s">
        <v>3</v>
      </c>
      <c r="AR403" s="1" t="s">
        <v>3</v>
      </c>
      <c r="AS403" s="1"/>
      <c r="AT403" s="1"/>
      <c r="AU403" s="1"/>
      <c r="AV403" s="1"/>
      <c r="AW403" s="1"/>
      <c r="AX403" s="1"/>
      <c r="AY403" s="1"/>
      <c r="AZ403" s="1" t="s">
        <v>3</v>
      </c>
      <c r="BA403" s="1"/>
      <c r="BB403" s="1" t="s">
        <v>3</v>
      </c>
      <c r="BC403" s="1" t="s">
        <v>3</v>
      </c>
      <c r="BD403" s="1" t="s">
        <v>3</v>
      </c>
      <c r="BE403" s="1" t="s">
        <v>3</v>
      </c>
      <c r="BF403" s="1" t="s">
        <v>3</v>
      </c>
      <c r="BG403" s="1" t="s">
        <v>3</v>
      </c>
      <c r="BH403" s="1" t="s">
        <v>3</v>
      </c>
      <c r="BI403" s="1" t="s">
        <v>3</v>
      </c>
      <c r="BJ403" s="1" t="s">
        <v>3</v>
      </c>
      <c r="BK403" s="1" t="s">
        <v>3</v>
      </c>
      <c r="BL403" s="1" t="s">
        <v>3</v>
      </c>
      <c r="BM403" s="1" t="s">
        <v>3</v>
      </c>
      <c r="BN403" s="1" t="s">
        <v>3</v>
      </c>
      <c r="BO403" s="1" t="s">
        <v>3</v>
      </c>
      <c r="BP403" s="1" t="s">
        <v>3</v>
      </c>
      <c r="BQ403" s="1"/>
      <c r="BR403" s="1"/>
      <c r="BS403" s="1"/>
      <c r="BT403" s="1"/>
      <c r="BU403" s="1"/>
      <c r="BV403" s="1"/>
      <c r="BW403" s="1"/>
      <c r="BX403" s="1">
        <v>0</v>
      </c>
      <c r="BY403" s="1"/>
      <c r="BZ403" s="1"/>
      <c r="CA403" s="1"/>
      <c r="CB403" s="1"/>
      <c r="CC403" s="1"/>
      <c r="CD403" s="1"/>
      <c r="CE403" s="1"/>
      <c r="CF403" s="1"/>
      <c r="CG403" s="1"/>
      <c r="CH403" s="1"/>
      <c r="CI403" s="1"/>
      <c r="CJ403" s="1">
        <v>0</v>
      </c>
    </row>
    <row r="405" spans="1:245" x14ac:dyDescent="0.2">
      <c r="A405" s="2">
        <v>52</v>
      </c>
      <c r="B405" s="2">
        <f t="shared" ref="B405:G405" si="328">B418</f>
        <v>1</v>
      </c>
      <c r="C405" s="2">
        <f t="shared" si="328"/>
        <v>5</v>
      </c>
      <c r="D405" s="2">
        <f t="shared" si="328"/>
        <v>403</v>
      </c>
      <c r="E405" s="2">
        <f t="shared" si="328"/>
        <v>0</v>
      </c>
      <c r="F405" s="2" t="str">
        <f t="shared" si="328"/>
        <v>Новый подраздел</v>
      </c>
      <c r="G405" s="2" t="str">
        <f t="shared" si="328"/>
        <v>Установка МАФов площадка группы № 7</v>
      </c>
      <c r="H405" s="2"/>
      <c r="I405" s="2"/>
      <c r="J405" s="2"/>
      <c r="K405" s="2"/>
      <c r="L405" s="2"/>
      <c r="M405" s="2"/>
      <c r="N405" s="2"/>
      <c r="O405" s="2">
        <f t="shared" ref="O405:AT405" si="329">O418</f>
        <v>138262.63</v>
      </c>
      <c r="P405" s="2">
        <f t="shared" si="329"/>
        <v>131393.16</v>
      </c>
      <c r="Q405" s="2">
        <f t="shared" si="329"/>
        <v>-0.01</v>
      </c>
      <c r="R405" s="2">
        <f t="shared" si="329"/>
        <v>0</v>
      </c>
      <c r="S405" s="2">
        <f t="shared" si="329"/>
        <v>6869.48</v>
      </c>
      <c r="T405" s="2">
        <f t="shared" si="329"/>
        <v>0</v>
      </c>
      <c r="U405" s="2">
        <f t="shared" si="329"/>
        <v>27.0825</v>
      </c>
      <c r="V405" s="2">
        <f t="shared" si="329"/>
        <v>0</v>
      </c>
      <c r="W405" s="2">
        <f t="shared" si="329"/>
        <v>0</v>
      </c>
      <c r="X405" s="2">
        <f t="shared" si="329"/>
        <v>4808.6400000000003</v>
      </c>
      <c r="Y405" s="2">
        <f t="shared" si="329"/>
        <v>686.95</v>
      </c>
      <c r="Z405" s="2">
        <f t="shared" si="329"/>
        <v>0</v>
      </c>
      <c r="AA405" s="2">
        <f t="shared" si="329"/>
        <v>0</v>
      </c>
      <c r="AB405" s="2">
        <f t="shared" si="329"/>
        <v>138262.63</v>
      </c>
      <c r="AC405" s="2">
        <f t="shared" si="329"/>
        <v>131393.16</v>
      </c>
      <c r="AD405" s="2">
        <f t="shared" si="329"/>
        <v>-0.01</v>
      </c>
      <c r="AE405" s="2">
        <f t="shared" si="329"/>
        <v>0</v>
      </c>
      <c r="AF405" s="2">
        <f t="shared" si="329"/>
        <v>6869.48</v>
      </c>
      <c r="AG405" s="2">
        <f t="shared" si="329"/>
        <v>0</v>
      </c>
      <c r="AH405" s="2">
        <f t="shared" si="329"/>
        <v>27.0825</v>
      </c>
      <c r="AI405" s="2">
        <f t="shared" si="329"/>
        <v>0</v>
      </c>
      <c r="AJ405" s="2">
        <f t="shared" si="329"/>
        <v>0</v>
      </c>
      <c r="AK405" s="2">
        <f t="shared" si="329"/>
        <v>4808.6400000000003</v>
      </c>
      <c r="AL405" s="2">
        <f t="shared" si="329"/>
        <v>686.95</v>
      </c>
      <c r="AM405" s="2">
        <f t="shared" si="329"/>
        <v>0</v>
      </c>
      <c r="AN405" s="2">
        <f t="shared" si="329"/>
        <v>0</v>
      </c>
      <c r="AO405" s="2">
        <f t="shared" si="329"/>
        <v>0</v>
      </c>
      <c r="AP405" s="2">
        <f t="shared" si="329"/>
        <v>0</v>
      </c>
      <c r="AQ405" s="2">
        <f t="shared" si="329"/>
        <v>0</v>
      </c>
      <c r="AR405" s="2">
        <f t="shared" si="329"/>
        <v>143758.22</v>
      </c>
      <c r="AS405" s="2">
        <f t="shared" si="329"/>
        <v>0</v>
      </c>
      <c r="AT405" s="2">
        <f t="shared" si="329"/>
        <v>0</v>
      </c>
      <c r="AU405" s="2">
        <f t="shared" ref="AU405:BZ405" si="330">AU418</f>
        <v>143758.22</v>
      </c>
      <c r="AV405" s="2">
        <f t="shared" si="330"/>
        <v>131393.16</v>
      </c>
      <c r="AW405" s="2">
        <f t="shared" si="330"/>
        <v>131393.16</v>
      </c>
      <c r="AX405" s="2">
        <f t="shared" si="330"/>
        <v>0</v>
      </c>
      <c r="AY405" s="2">
        <f t="shared" si="330"/>
        <v>131393.16</v>
      </c>
      <c r="AZ405" s="2">
        <f t="shared" si="330"/>
        <v>0</v>
      </c>
      <c r="BA405" s="2">
        <f t="shared" si="330"/>
        <v>0</v>
      </c>
      <c r="BB405" s="2">
        <f t="shared" si="330"/>
        <v>0</v>
      </c>
      <c r="BC405" s="2">
        <f t="shared" si="330"/>
        <v>0</v>
      </c>
      <c r="BD405" s="2">
        <f t="shared" si="330"/>
        <v>0</v>
      </c>
      <c r="BE405" s="2">
        <f t="shared" si="330"/>
        <v>0</v>
      </c>
      <c r="BF405" s="2">
        <f t="shared" si="330"/>
        <v>0</v>
      </c>
      <c r="BG405" s="2">
        <f t="shared" si="330"/>
        <v>0</v>
      </c>
      <c r="BH405" s="2">
        <f t="shared" si="330"/>
        <v>0</v>
      </c>
      <c r="BI405" s="2">
        <f t="shared" si="330"/>
        <v>0</v>
      </c>
      <c r="BJ405" s="2">
        <f t="shared" si="330"/>
        <v>0</v>
      </c>
      <c r="BK405" s="2">
        <f t="shared" si="330"/>
        <v>0</v>
      </c>
      <c r="BL405" s="2">
        <f t="shared" si="330"/>
        <v>0</v>
      </c>
      <c r="BM405" s="2">
        <f t="shared" si="330"/>
        <v>0</v>
      </c>
      <c r="BN405" s="2">
        <f t="shared" si="330"/>
        <v>0</v>
      </c>
      <c r="BO405" s="2">
        <f t="shared" si="330"/>
        <v>0</v>
      </c>
      <c r="BP405" s="2">
        <f t="shared" si="330"/>
        <v>0</v>
      </c>
      <c r="BQ405" s="2">
        <f t="shared" si="330"/>
        <v>0</v>
      </c>
      <c r="BR405" s="2">
        <f t="shared" si="330"/>
        <v>0</v>
      </c>
      <c r="BS405" s="2">
        <f t="shared" si="330"/>
        <v>0</v>
      </c>
      <c r="BT405" s="2">
        <f t="shared" si="330"/>
        <v>0</v>
      </c>
      <c r="BU405" s="2">
        <f t="shared" si="330"/>
        <v>0</v>
      </c>
      <c r="BV405" s="2">
        <f t="shared" si="330"/>
        <v>0</v>
      </c>
      <c r="BW405" s="2">
        <f t="shared" si="330"/>
        <v>0</v>
      </c>
      <c r="BX405" s="2">
        <f t="shared" si="330"/>
        <v>0</v>
      </c>
      <c r="BY405" s="2">
        <f t="shared" si="330"/>
        <v>0</v>
      </c>
      <c r="BZ405" s="2">
        <f t="shared" si="330"/>
        <v>0</v>
      </c>
      <c r="CA405" s="2">
        <f t="shared" ref="CA405:DF405" si="331">CA418</f>
        <v>143758.22</v>
      </c>
      <c r="CB405" s="2">
        <f t="shared" si="331"/>
        <v>0</v>
      </c>
      <c r="CC405" s="2">
        <f t="shared" si="331"/>
        <v>0</v>
      </c>
      <c r="CD405" s="2">
        <f t="shared" si="331"/>
        <v>143758.22</v>
      </c>
      <c r="CE405" s="2">
        <f t="shared" si="331"/>
        <v>131393.16</v>
      </c>
      <c r="CF405" s="2">
        <f t="shared" si="331"/>
        <v>131393.16</v>
      </c>
      <c r="CG405" s="2">
        <f t="shared" si="331"/>
        <v>0</v>
      </c>
      <c r="CH405" s="2">
        <f t="shared" si="331"/>
        <v>131393.16</v>
      </c>
      <c r="CI405" s="2">
        <f t="shared" si="331"/>
        <v>0</v>
      </c>
      <c r="CJ405" s="2">
        <f t="shared" si="331"/>
        <v>0</v>
      </c>
      <c r="CK405" s="2">
        <f t="shared" si="331"/>
        <v>0</v>
      </c>
      <c r="CL405" s="2">
        <f t="shared" si="331"/>
        <v>0</v>
      </c>
      <c r="CM405" s="2">
        <f t="shared" si="331"/>
        <v>0</v>
      </c>
      <c r="CN405" s="2">
        <f t="shared" si="331"/>
        <v>0</v>
      </c>
      <c r="CO405" s="2">
        <f t="shared" si="331"/>
        <v>0</v>
      </c>
      <c r="CP405" s="2">
        <f t="shared" si="331"/>
        <v>0</v>
      </c>
      <c r="CQ405" s="2">
        <f t="shared" si="331"/>
        <v>0</v>
      </c>
      <c r="CR405" s="2">
        <f t="shared" si="331"/>
        <v>0</v>
      </c>
      <c r="CS405" s="2">
        <f t="shared" si="331"/>
        <v>0</v>
      </c>
      <c r="CT405" s="2">
        <f t="shared" si="331"/>
        <v>0</v>
      </c>
      <c r="CU405" s="2">
        <f t="shared" si="331"/>
        <v>0</v>
      </c>
      <c r="CV405" s="2">
        <f t="shared" si="331"/>
        <v>0</v>
      </c>
      <c r="CW405" s="2">
        <f t="shared" si="331"/>
        <v>0</v>
      </c>
      <c r="CX405" s="2">
        <f t="shared" si="331"/>
        <v>0</v>
      </c>
      <c r="CY405" s="2">
        <f t="shared" si="331"/>
        <v>0</v>
      </c>
      <c r="CZ405" s="2">
        <f t="shared" si="331"/>
        <v>0</v>
      </c>
      <c r="DA405" s="2">
        <f t="shared" si="331"/>
        <v>0</v>
      </c>
      <c r="DB405" s="2">
        <f t="shared" si="331"/>
        <v>0</v>
      </c>
      <c r="DC405" s="2">
        <f t="shared" si="331"/>
        <v>0</v>
      </c>
      <c r="DD405" s="2">
        <f t="shared" si="331"/>
        <v>0</v>
      </c>
      <c r="DE405" s="2">
        <f t="shared" si="331"/>
        <v>0</v>
      </c>
      <c r="DF405" s="2">
        <f t="shared" si="331"/>
        <v>0</v>
      </c>
      <c r="DG405" s="3">
        <f t="shared" ref="DG405:EL405" si="332">DG418</f>
        <v>0</v>
      </c>
      <c r="DH405" s="3">
        <f t="shared" si="332"/>
        <v>0</v>
      </c>
      <c r="DI405" s="3">
        <f t="shared" si="332"/>
        <v>0</v>
      </c>
      <c r="DJ405" s="3">
        <f t="shared" si="332"/>
        <v>0</v>
      </c>
      <c r="DK405" s="3">
        <f t="shared" si="332"/>
        <v>0</v>
      </c>
      <c r="DL405" s="3">
        <f t="shared" si="332"/>
        <v>0</v>
      </c>
      <c r="DM405" s="3">
        <f t="shared" si="332"/>
        <v>0</v>
      </c>
      <c r="DN405" s="3">
        <f t="shared" si="332"/>
        <v>0</v>
      </c>
      <c r="DO405" s="3">
        <f t="shared" si="332"/>
        <v>0</v>
      </c>
      <c r="DP405" s="3">
        <f t="shared" si="332"/>
        <v>0</v>
      </c>
      <c r="DQ405" s="3">
        <f t="shared" si="332"/>
        <v>0</v>
      </c>
      <c r="DR405" s="3">
        <f t="shared" si="332"/>
        <v>0</v>
      </c>
      <c r="DS405" s="3">
        <f t="shared" si="332"/>
        <v>0</v>
      </c>
      <c r="DT405" s="3">
        <f t="shared" si="332"/>
        <v>0</v>
      </c>
      <c r="DU405" s="3">
        <f t="shared" si="332"/>
        <v>0</v>
      </c>
      <c r="DV405" s="3">
        <f t="shared" si="332"/>
        <v>0</v>
      </c>
      <c r="DW405" s="3">
        <f t="shared" si="332"/>
        <v>0</v>
      </c>
      <c r="DX405" s="3">
        <f t="shared" si="332"/>
        <v>0</v>
      </c>
      <c r="DY405" s="3">
        <f t="shared" si="332"/>
        <v>0</v>
      </c>
      <c r="DZ405" s="3">
        <f t="shared" si="332"/>
        <v>0</v>
      </c>
      <c r="EA405" s="3">
        <f t="shared" si="332"/>
        <v>0</v>
      </c>
      <c r="EB405" s="3">
        <f t="shared" si="332"/>
        <v>0</v>
      </c>
      <c r="EC405" s="3">
        <f t="shared" si="332"/>
        <v>0</v>
      </c>
      <c r="ED405" s="3">
        <f t="shared" si="332"/>
        <v>0</v>
      </c>
      <c r="EE405" s="3">
        <f t="shared" si="332"/>
        <v>0</v>
      </c>
      <c r="EF405" s="3">
        <f t="shared" si="332"/>
        <v>0</v>
      </c>
      <c r="EG405" s="3">
        <f t="shared" si="332"/>
        <v>0</v>
      </c>
      <c r="EH405" s="3">
        <f t="shared" si="332"/>
        <v>0</v>
      </c>
      <c r="EI405" s="3">
        <f t="shared" si="332"/>
        <v>0</v>
      </c>
      <c r="EJ405" s="3">
        <f t="shared" si="332"/>
        <v>0</v>
      </c>
      <c r="EK405" s="3">
        <f t="shared" si="332"/>
        <v>0</v>
      </c>
      <c r="EL405" s="3">
        <f t="shared" si="332"/>
        <v>0</v>
      </c>
      <c r="EM405" s="3">
        <f t="shared" ref="EM405:FR405" si="333">EM418</f>
        <v>0</v>
      </c>
      <c r="EN405" s="3">
        <f t="shared" si="333"/>
        <v>0</v>
      </c>
      <c r="EO405" s="3">
        <f t="shared" si="333"/>
        <v>0</v>
      </c>
      <c r="EP405" s="3">
        <f t="shared" si="333"/>
        <v>0</v>
      </c>
      <c r="EQ405" s="3">
        <f t="shared" si="333"/>
        <v>0</v>
      </c>
      <c r="ER405" s="3">
        <f t="shared" si="333"/>
        <v>0</v>
      </c>
      <c r="ES405" s="3">
        <f t="shared" si="333"/>
        <v>0</v>
      </c>
      <c r="ET405" s="3">
        <f t="shared" si="333"/>
        <v>0</v>
      </c>
      <c r="EU405" s="3">
        <f t="shared" si="333"/>
        <v>0</v>
      </c>
      <c r="EV405" s="3">
        <f t="shared" si="333"/>
        <v>0</v>
      </c>
      <c r="EW405" s="3">
        <f t="shared" si="333"/>
        <v>0</v>
      </c>
      <c r="EX405" s="3">
        <f t="shared" si="333"/>
        <v>0</v>
      </c>
      <c r="EY405" s="3">
        <f t="shared" si="333"/>
        <v>0</v>
      </c>
      <c r="EZ405" s="3">
        <f t="shared" si="333"/>
        <v>0</v>
      </c>
      <c r="FA405" s="3">
        <f t="shared" si="333"/>
        <v>0</v>
      </c>
      <c r="FB405" s="3">
        <f t="shared" si="333"/>
        <v>0</v>
      </c>
      <c r="FC405" s="3">
        <f t="shared" si="333"/>
        <v>0</v>
      </c>
      <c r="FD405" s="3">
        <f t="shared" si="333"/>
        <v>0</v>
      </c>
      <c r="FE405" s="3">
        <f t="shared" si="333"/>
        <v>0</v>
      </c>
      <c r="FF405" s="3">
        <f t="shared" si="333"/>
        <v>0</v>
      </c>
      <c r="FG405" s="3">
        <f t="shared" si="333"/>
        <v>0</v>
      </c>
      <c r="FH405" s="3">
        <f t="shared" si="333"/>
        <v>0</v>
      </c>
      <c r="FI405" s="3">
        <f t="shared" si="333"/>
        <v>0</v>
      </c>
      <c r="FJ405" s="3">
        <f t="shared" si="333"/>
        <v>0</v>
      </c>
      <c r="FK405" s="3">
        <f t="shared" si="333"/>
        <v>0</v>
      </c>
      <c r="FL405" s="3">
        <f t="shared" si="333"/>
        <v>0</v>
      </c>
      <c r="FM405" s="3">
        <f t="shared" si="333"/>
        <v>0</v>
      </c>
      <c r="FN405" s="3">
        <f t="shared" si="333"/>
        <v>0</v>
      </c>
      <c r="FO405" s="3">
        <f t="shared" si="333"/>
        <v>0</v>
      </c>
      <c r="FP405" s="3">
        <f t="shared" si="333"/>
        <v>0</v>
      </c>
      <c r="FQ405" s="3">
        <f t="shared" si="333"/>
        <v>0</v>
      </c>
      <c r="FR405" s="3">
        <f t="shared" si="333"/>
        <v>0</v>
      </c>
      <c r="FS405" s="3">
        <f t="shared" ref="FS405:GX405" si="334">FS418</f>
        <v>0</v>
      </c>
      <c r="FT405" s="3">
        <f t="shared" si="334"/>
        <v>0</v>
      </c>
      <c r="FU405" s="3">
        <f t="shared" si="334"/>
        <v>0</v>
      </c>
      <c r="FV405" s="3">
        <f t="shared" si="334"/>
        <v>0</v>
      </c>
      <c r="FW405" s="3">
        <f t="shared" si="334"/>
        <v>0</v>
      </c>
      <c r="FX405" s="3">
        <f t="shared" si="334"/>
        <v>0</v>
      </c>
      <c r="FY405" s="3">
        <f t="shared" si="334"/>
        <v>0</v>
      </c>
      <c r="FZ405" s="3">
        <f t="shared" si="334"/>
        <v>0</v>
      </c>
      <c r="GA405" s="3">
        <f t="shared" si="334"/>
        <v>0</v>
      </c>
      <c r="GB405" s="3">
        <f t="shared" si="334"/>
        <v>0</v>
      </c>
      <c r="GC405" s="3">
        <f t="shared" si="334"/>
        <v>0</v>
      </c>
      <c r="GD405" s="3">
        <f t="shared" si="334"/>
        <v>0</v>
      </c>
      <c r="GE405" s="3">
        <f t="shared" si="334"/>
        <v>0</v>
      </c>
      <c r="GF405" s="3">
        <f t="shared" si="334"/>
        <v>0</v>
      </c>
      <c r="GG405" s="3">
        <f t="shared" si="334"/>
        <v>0</v>
      </c>
      <c r="GH405" s="3">
        <f t="shared" si="334"/>
        <v>0</v>
      </c>
      <c r="GI405" s="3">
        <f t="shared" si="334"/>
        <v>0</v>
      </c>
      <c r="GJ405" s="3">
        <f t="shared" si="334"/>
        <v>0</v>
      </c>
      <c r="GK405" s="3">
        <f t="shared" si="334"/>
        <v>0</v>
      </c>
      <c r="GL405" s="3">
        <f t="shared" si="334"/>
        <v>0</v>
      </c>
      <c r="GM405" s="3">
        <f t="shared" si="334"/>
        <v>0</v>
      </c>
      <c r="GN405" s="3">
        <f t="shared" si="334"/>
        <v>0</v>
      </c>
      <c r="GO405" s="3">
        <f t="shared" si="334"/>
        <v>0</v>
      </c>
      <c r="GP405" s="3">
        <f t="shared" si="334"/>
        <v>0</v>
      </c>
      <c r="GQ405" s="3">
        <f t="shared" si="334"/>
        <v>0</v>
      </c>
      <c r="GR405" s="3">
        <f t="shared" si="334"/>
        <v>0</v>
      </c>
      <c r="GS405" s="3">
        <f t="shared" si="334"/>
        <v>0</v>
      </c>
      <c r="GT405" s="3">
        <f t="shared" si="334"/>
        <v>0</v>
      </c>
      <c r="GU405" s="3">
        <f t="shared" si="334"/>
        <v>0</v>
      </c>
      <c r="GV405" s="3">
        <f t="shared" si="334"/>
        <v>0</v>
      </c>
      <c r="GW405" s="3">
        <f t="shared" si="334"/>
        <v>0</v>
      </c>
      <c r="GX405" s="3">
        <f t="shared" si="334"/>
        <v>0</v>
      </c>
    </row>
    <row r="407" spans="1:245" x14ac:dyDescent="0.2">
      <c r="A407">
        <v>17</v>
      </c>
      <c r="B407">
        <v>1</v>
      </c>
      <c r="C407">
        <f>ROW(SmtRes!A361)</f>
        <v>361</v>
      </c>
      <c r="D407">
        <f>ROW(EtalonRes!A344)</f>
        <v>344</v>
      </c>
      <c r="E407" t="s">
        <v>324</v>
      </c>
      <c r="F407" t="s">
        <v>72</v>
      </c>
      <c r="G407" t="s">
        <v>246</v>
      </c>
      <c r="H407" t="s">
        <v>74</v>
      </c>
      <c r="I407">
        <f>ROUND(3/100,9)</f>
        <v>0.03</v>
      </c>
      <c r="J407">
        <v>0</v>
      </c>
      <c r="O407">
        <f t="shared" ref="O407:O416" si="335">ROUND(CP407,2)</f>
        <v>7421.4</v>
      </c>
      <c r="P407">
        <f t="shared" ref="P407:P416" si="336">ROUND(CQ407*I407,2)</f>
        <v>535.59</v>
      </c>
      <c r="Q407">
        <f t="shared" ref="Q407:Q416" si="337">ROUND(CR407*I407,2)</f>
        <v>16.329999999999998</v>
      </c>
      <c r="R407">
        <f t="shared" ref="R407:R416" si="338">ROUND(CS407*I407,2)</f>
        <v>2.04</v>
      </c>
      <c r="S407">
        <f t="shared" ref="S407:S416" si="339">ROUND(CT407*I407,2)</f>
        <v>6869.48</v>
      </c>
      <c r="T407">
        <f t="shared" ref="T407:T416" si="340">ROUND(CU407*I407,2)</f>
        <v>0</v>
      </c>
      <c r="U407">
        <f t="shared" ref="U407:U416" si="341">CV407*I407</f>
        <v>27.0825</v>
      </c>
      <c r="V407">
        <f t="shared" ref="V407:V416" si="342">CW407*I407</f>
        <v>0</v>
      </c>
      <c r="W407">
        <f t="shared" ref="W407:W416" si="343">ROUND(CX407*I407,2)</f>
        <v>0</v>
      </c>
      <c r="X407">
        <f t="shared" ref="X407:X416" si="344">ROUND(CY407,2)</f>
        <v>4808.6400000000003</v>
      </c>
      <c r="Y407">
        <f t="shared" ref="Y407:Y416" si="345">ROUND(CZ407,2)</f>
        <v>686.95</v>
      </c>
      <c r="AA407">
        <v>52430918</v>
      </c>
      <c r="AB407">
        <f t="shared" ref="AB407:AB416" si="346">ROUND((AC407+AD407+AF407),6)</f>
        <v>247379.69</v>
      </c>
      <c r="AC407">
        <f t="shared" ref="AC407:AC416" si="347">ROUND((ES407),6)</f>
        <v>17852.89</v>
      </c>
      <c r="AD407">
        <f t="shared" ref="AD407:AD416" si="348">ROUND((((ET407)-(EU407))+AE407),6)</f>
        <v>544.27</v>
      </c>
      <c r="AE407">
        <f t="shared" ref="AE407:AE416" si="349">ROUND((EU407),6)</f>
        <v>67.94</v>
      </c>
      <c r="AF407">
        <f t="shared" ref="AF407:AF416" si="350">ROUND((EV407),6)</f>
        <v>228982.53</v>
      </c>
      <c r="AG407">
        <f t="shared" ref="AG407:AG416" si="351">ROUND((AP407),6)</f>
        <v>0</v>
      </c>
      <c r="AH407">
        <f t="shared" ref="AH407:AH416" si="352">(EW407)</f>
        <v>902.75</v>
      </c>
      <c r="AI407">
        <f t="shared" ref="AI407:AI416" si="353">(EX407)</f>
        <v>0</v>
      </c>
      <c r="AJ407">
        <f t="shared" ref="AJ407:AJ416" si="354">(AS407)</f>
        <v>0</v>
      </c>
      <c r="AK407">
        <v>247379.69</v>
      </c>
      <c r="AL407">
        <v>17852.89</v>
      </c>
      <c r="AM407">
        <v>544.27</v>
      </c>
      <c r="AN407">
        <v>67.94</v>
      </c>
      <c r="AO407">
        <v>228982.53</v>
      </c>
      <c r="AP407">
        <v>0</v>
      </c>
      <c r="AQ407">
        <v>902.75</v>
      </c>
      <c r="AR407">
        <v>0</v>
      </c>
      <c r="AS407">
        <v>0</v>
      </c>
      <c r="AT407">
        <v>70</v>
      </c>
      <c r="AU407">
        <v>10</v>
      </c>
      <c r="AV407">
        <v>1</v>
      </c>
      <c r="AW407">
        <v>1</v>
      </c>
      <c r="AZ407">
        <v>1</v>
      </c>
      <c r="BA407">
        <v>1</v>
      </c>
      <c r="BB407">
        <v>1</v>
      </c>
      <c r="BC407">
        <v>1</v>
      </c>
      <c r="BD407" t="s">
        <v>3</v>
      </c>
      <c r="BE407" t="s">
        <v>3</v>
      </c>
      <c r="BF407" t="s">
        <v>3</v>
      </c>
      <c r="BG407" t="s">
        <v>3</v>
      </c>
      <c r="BH407">
        <v>0</v>
      </c>
      <c r="BI407">
        <v>4</v>
      </c>
      <c r="BJ407" t="s">
        <v>75</v>
      </c>
      <c r="BM407">
        <v>0</v>
      </c>
      <c r="BN407">
        <v>0</v>
      </c>
      <c r="BO407" t="s">
        <v>3</v>
      </c>
      <c r="BP407">
        <v>0</v>
      </c>
      <c r="BQ407">
        <v>1</v>
      </c>
      <c r="BR407">
        <v>0</v>
      </c>
      <c r="BS407">
        <v>1</v>
      </c>
      <c r="BT407">
        <v>1</v>
      </c>
      <c r="BU407">
        <v>1</v>
      </c>
      <c r="BV407">
        <v>1</v>
      </c>
      <c r="BW407">
        <v>1</v>
      </c>
      <c r="BX407">
        <v>1</v>
      </c>
      <c r="BY407" t="s">
        <v>3</v>
      </c>
      <c r="BZ407">
        <v>70</v>
      </c>
      <c r="CA407">
        <v>10</v>
      </c>
      <c r="CE407">
        <v>0</v>
      </c>
      <c r="CF407">
        <v>0</v>
      </c>
      <c r="CG407">
        <v>0</v>
      </c>
      <c r="CM407">
        <v>0</v>
      </c>
      <c r="CN407" t="s">
        <v>3</v>
      </c>
      <c r="CO407">
        <v>0</v>
      </c>
      <c r="CP407">
        <f t="shared" ref="CP407:CP416" si="355">(P407+Q407+S407)</f>
        <v>7421.4</v>
      </c>
      <c r="CQ407">
        <f t="shared" ref="CQ407:CQ416" si="356">(AC407*BC407*AW407)</f>
        <v>17852.89</v>
      </c>
      <c r="CR407">
        <f t="shared" ref="CR407:CR416" si="357">((((ET407)*BB407-(EU407)*BS407)+AE407*BS407)*AV407)</f>
        <v>544.27</v>
      </c>
      <c r="CS407">
        <f t="shared" ref="CS407:CS416" si="358">(AE407*BS407*AV407)</f>
        <v>67.94</v>
      </c>
      <c r="CT407">
        <f t="shared" ref="CT407:CT416" si="359">(AF407*BA407*AV407)</f>
        <v>228982.53</v>
      </c>
      <c r="CU407">
        <f t="shared" ref="CU407:CU416" si="360">AG407</f>
        <v>0</v>
      </c>
      <c r="CV407">
        <f t="shared" ref="CV407:CV416" si="361">(AH407*AV407)</f>
        <v>902.75</v>
      </c>
      <c r="CW407">
        <f t="shared" ref="CW407:CW416" si="362">AI407</f>
        <v>0</v>
      </c>
      <c r="CX407">
        <f t="shared" ref="CX407:CX416" si="363">AJ407</f>
        <v>0</v>
      </c>
      <c r="CY407">
        <f t="shared" ref="CY407:CY416" si="364">((S407*BZ407)/100)</f>
        <v>4808.6359999999995</v>
      </c>
      <c r="CZ407">
        <f t="shared" ref="CZ407:CZ416" si="365">((S407*CA407)/100)</f>
        <v>686.94799999999987</v>
      </c>
      <c r="DC407" t="s">
        <v>3</v>
      </c>
      <c r="DD407" t="s">
        <v>3</v>
      </c>
      <c r="DE407" t="s">
        <v>3</v>
      </c>
      <c r="DF407" t="s">
        <v>3</v>
      </c>
      <c r="DG407" t="s">
        <v>3</v>
      </c>
      <c r="DH407" t="s">
        <v>3</v>
      </c>
      <c r="DI407" t="s">
        <v>3</v>
      </c>
      <c r="DJ407" t="s">
        <v>3</v>
      </c>
      <c r="DK407" t="s">
        <v>3</v>
      </c>
      <c r="DL407" t="s">
        <v>3</v>
      </c>
      <c r="DM407" t="s">
        <v>3</v>
      </c>
      <c r="DN407">
        <v>0</v>
      </c>
      <c r="DO407">
        <v>0</v>
      </c>
      <c r="DP407">
        <v>1</v>
      </c>
      <c r="DQ407">
        <v>1</v>
      </c>
      <c r="DU407">
        <v>1010</v>
      </c>
      <c r="DV407" t="s">
        <v>74</v>
      </c>
      <c r="DW407" t="s">
        <v>74</v>
      </c>
      <c r="DX407">
        <v>100</v>
      </c>
      <c r="EE407">
        <v>52362078</v>
      </c>
      <c r="EF407">
        <v>1</v>
      </c>
      <c r="EG407" t="s">
        <v>22</v>
      </c>
      <c r="EH407">
        <v>0</v>
      </c>
      <c r="EI407" t="s">
        <v>3</v>
      </c>
      <c r="EJ407">
        <v>4</v>
      </c>
      <c r="EK407">
        <v>0</v>
      </c>
      <c r="EL407" t="s">
        <v>23</v>
      </c>
      <c r="EM407" t="s">
        <v>24</v>
      </c>
      <c r="EO407" t="s">
        <v>3</v>
      </c>
      <c r="EQ407">
        <v>0</v>
      </c>
      <c r="ER407">
        <v>247379.69</v>
      </c>
      <c r="ES407">
        <v>17852.89</v>
      </c>
      <c r="ET407">
        <v>544.27</v>
      </c>
      <c r="EU407">
        <v>67.94</v>
      </c>
      <c r="EV407">
        <v>228982.53</v>
      </c>
      <c r="EW407">
        <v>902.75</v>
      </c>
      <c r="EX407">
        <v>0</v>
      </c>
      <c r="EY407">
        <v>0</v>
      </c>
      <c r="FQ407">
        <v>0</v>
      </c>
      <c r="FR407">
        <f t="shared" ref="FR407:FR416" si="366">ROUND(IF(AND(BH407=3,BI407=3),P407,0),2)</f>
        <v>0</v>
      </c>
      <c r="FS407">
        <v>0</v>
      </c>
      <c r="FX407">
        <v>70</v>
      </c>
      <c r="FY407">
        <v>10</v>
      </c>
      <c r="GA407" t="s">
        <v>3</v>
      </c>
      <c r="GD407">
        <v>0</v>
      </c>
      <c r="GF407">
        <v>1660792619</v>
      </c>
      <c r="GG407">
        <v>2</v>
      </c>
      <c r="GH407">
        <v>1</v>
      </c>
      <c r="GI407">
        <v>-2</v>
      </c>
      <c r="GJ407">
        <v>0</v>
      </c>
      <c r="GK407">
        <f>ROUND(R407*(R12)/100,2)</f>
        <v>2.2000000000000002</v>
      </c>
      <c r="GL407">
        <f t="shared" ref="GL407:GL416" si="367">ROUND(IF(AND(BH407=3,BI407=3,FS407&lt;&gt;0),P407,0),2)</f>
        <v>0</v>
      </c>
      <c r="GM407">
        <f t="shared" ref="GM407:GM416" si="368">ROUND(O407+X407+Y407+GK407,2)+GX407</f>
        <v>12919.19</v>
      </c>
      <c r="GN407">
        <f t="shared" ref="GN407:GN416" si="369">IF(OR(BI407=0,BI407=1),ROUND(O407+X407+Y407+GK407,2),0)</f>
        <v>0</v>
      </c>
      <c r="GO407">
        <f t="shared" ref="GO407:GO416" si="370">IF(BI407=2,ROUND(O407+X407+Y407+GK407,2),0)</f>
        <v>0</v>
      </c>
      <c r="GP407">
        <f t="shared" ref="GP407:GP416" si="371">IF(BI407=4,ROUND(O407+X407+Y407+GK407,2)+GX407,0)</f>
        <v>12919.19</v>
      </c>
      <c r="GR407">
        <v>0</v>
      </c>
      <c r="GS407">
        <v>3</v>
      </c>
      <c r="GT407">
        <v>0</v>
      </c>
      <c r="GU407" t="s">
        <v>3</v>
      </c>
      <c r="GV407">
        <f t="shared" ref="GV407:GV416" si="372">ROUND((GT407),6)</f>
        <v>0</v>
      </c>
      <c r="GW407">
        <v>1</v>
      </c>
      <c r="GX407">
        <f t="shared" ref="GX407:GX416" si="373">ROUND(HC407*I407,2)</f>
        <v>0</v>
      </c>
      <c r="HA407">
        <v>0</v>
      </c>
      <c r="HB407">
        <v>0</v>
      </c>
      <c r="HC407">
        <f t="shared" ref="HC407:HC416" si="374">GV407*GW407</f>
        <v>0</v>
      </c>
      <c r="HE407" t="s">
        <v>3</v>
      </c>
      <c r="HF407" t="s">
        <v>3</v>
      </c>
      <c r="IK407">
        <v>0</v>
      </c>
    </row>
    <row r="408" spans="1:245" x14ac:dyDescent="0.2">
      <c r="A408">
        <v>18</v>
      </c>
      <c r="B408">
        <v>1</v>
      </c>
      <c r="C408">
        <v>356</v>
      </c>
      <c r="E408" t="s">
        <v>325</v>
      </c>
      <c r="F408" t="s">
        <v>77</v>
      </c>
      <c r="G408" t="s">
        <v>78</v>
      </c>
      <c r="H408" t="s">
        <v>79</v>
      </c>
      <c r="I408">
        <f>I407*J408</f>
        <v>-1.1100000000000001E-3</v>
      </c>
      <c r="J408">
        <v>-3.7000000000000005E-2</v>
      </c>
      <c r="O408">
        <f t="shared" si="335"/>
        <v>-11.57</v>
      </c>
      <c r="P408">
        <f t="shared" si="336"/>
        <v>-11.57</v>
      </c>
      <c r="Q408">
        <f t="shared" si="337"/>
        <v>0</v>
      </c>
      <c r="R408">
        <f t="shared" si="338"/>
        <v>0</v>
      </c>
      <c r="S408">
        <f t="shared" si="339"/>
        <v>0</v>
      </c>
      <c r="T408">
        <f t="shared" si="340"/>
        <v>0</v>
      </c>
      <c r="U408">
        <f t="shared" si="341"/>
        <v>0</v>
      </c>
      <c r="V408">
        <f t="shared" si="342"/>
        <v>0</v>
      </c>
      <c r="W408">
        <f t="shared" si="343"/>
        <v>0</v>
      </c>
      <c r="X408">
        <f t="shared" si="344"/>
        <v>0</v>
      </c>
      <c r="Y408">
        <f t="shared" si="345"/>
        <v>0</v>
      </c>
      <c r="AA408">
        <v>52430918</v>
      </c>
      <c r="AB408">
        <f t="shared" si="346"/>
        <v>10419.43</v>
      </c>
      <c r="AC408">
        <f t="shared" si="347"/>
        <v>10419.43</v>
      </c>
      <c r="AD408">
        <f t="shared" si="348"/>
        <v>0</v>
      </c>
      <c r="AE408">
        <f t="shared" si="349"/>
        <v>0</v>
      </c>
      <c r="AF408">
        <f t="shared" si="350"/>
        <v>0</v>
      </c>
      <c r="AG408">
        <f t="shared" si="351"/>
        <v>0</v>
      </c>
      <c r="AH408">
        <f t="shared" si="352"/>
        <v>0</v>
      </c>
      <c r="AI408">
        <f t="shared" si="353"/>
        <v>0</v>
      </c>
      <c r="AJ408">
        <f t="shared" si="354"/>
        <v>0</v>
      </c>
      <c r="AK408">
        <v>10419.43</v>
      </c>
      <c r="AL408">
        <v>10419.43</v>
      </c>
      <c r="AM408">
        <v>0</v>
      </c>
      <c r="AN408">
        <v>0</v>
      </c>
      <c r="AO408">
        <v>0</v>
      </c>
      <c r="AP408">
        <v>0</v>
      </c>
      <c r="AQ408">
        <v>0</v>
      </c>
      <c r="AR408">
        <v>0</v>
      </c>
      <c r="AS408">
        <v>0</v>
      </c>
      <c r="AT408">
        <v>70</v>
      </c>
      <c r="AU408">
        <v>10</v>
      </c>
      <c r="AV408">
        <v>1</v>
      </c>
      <c r="AW408">
        <v>1</v>
      </c>
      <c r="AZ408">
        <v>1</v>
      </c>
      <c r="BA408">
        <v>1</v>
      </c>
      <c r="BB408">
        <v>1</v>
      </c>
      <c r="BC408">
        <v>1</v>
      </c>
      <c r="BD408" t="s">
        <v>3</v>
      </c>
      <c r="BE408" t="s">
        <v>3</v>
      </c>
      <c r="BF408" t="s">
        <v>3</v>
      </c>
      <c r="BG408" t="s">
        <v>3</v>
      </c>
      <c r="BH408">
        <v>3</v>
      </c>
      <c r="BI408">
        <v>4</v>
      </c>
      <c r="BJ408" t="s">
        <v>80</v>
      </c>
      <c r="BM408">
        <v>0</v>
      </c>
      <c r="BN408">
        <v>0</v>
      </c>
      <c r="BO408" t="s">
        <v>3</v>
      </c>
      <c r="BP408">
        <v>0</v>
      </c>
      <c r="BQ408">
        <v>1</v>
      </c>
      <c r="BR408">
        <v>1</v>
      </c>
      <c r="BS408">
        <v>1</v>
      </c>
      <c r="BT408">
        <v>1</v>
      </c>
      <c r="BU408">
        <v>1</v>
      </c>
      <c r="BV408">
        <v>1</v>
      </c>
      <c r="BW408">
        <v>1</v>
      </c>
      <c r="BX408">
        <v>1</v>
      </c>
      <c r="BY408" t="s">
        <v>3</v>
      </c>
      <c r="BZ408">
        <v>70</v>
      </c>
      <c r="CA408">
        <v>10</v>
      </c>
      <c r="CE408">
        <v>0</v>
      </c>
      <c r="CF408">
        <v>0</v>
      </c>
      <c r="CG408">
        <v>0</v>
      </c>
      <c r="CM408">
        <v>0</v>
      </c>
      <c r="CN408" t="s">
        <v>3</v>
      </c>
      <c r="CO408">
        <v>0</v>
      </c>
      <c r="CP408">
        <f t="shared" si="355"/>
        <v>-11.57</v>
      </c>
      <c r="CQ408">
        <f t="shared" si="356"/>
        <v>10419.43</v>
      </c>
      <c r="CR408">
        <f t="shared" si="357"/>
        <v>0</v>
      </c>
      <c r="CS408">
        <f t="shared" si="358"/>
        <v>0</v>
      </c>
      <c r="CT408">
        <f t="shared" si="359"/>
        <v>0</v>
      </c>
      <c r="CU408">
        <f t="shared" si="360"/>
        <v>0</v>
      </c>
      <c r="CV408">
        <f t="shared" si="361"/>
        <v>0</v>
      </c>
      <c r="CW408">
        <f t="shared" si="362"/>
        <v>0</v>
      </c>
      <c r="CX408">
        <f t="shared" si="363"/>
        <v>0</v>
      </c>
      <c r="CY408">
        <f t="shared" si="364"/>
        <v>0</v>
      </c>
      <c r="CZ408">
        <f t="shared" si="365"/>
        <v>0</v>
      </c>
      <c r="DC408" t="s">
        <v>3</v>
      </c>
      <c r="DD408" t="s">
        <v>3</v>
      </c>
      <c r="DE408" t="s">
        <v>3</v>
      </c>
      <c r="DF408" t="s">
        <v>3</v>
      </c>
      <c r="DG408" t="s">
        <v>3</v>
      </c>
      <c r="DH408" t="s">
        <v>3</v>
      </c>
      <c r="DI408" t="s">
        <v>3</v>
      </c>
      <c r="DJ408" t="s">
        <v>3</v>
      </c>
      <c r="DK408" t="s">
        <v>3</v>
      </c>
      <c r="DL408" t="s">
        <v>3</v>
      </c>
      <c r="DM408" t="s">
        <v>3</v>
      </c>
      <c r="DN408">
        <v>0</v>
      </c>
      <c r="DO408">
        <v>0</v>
      </c>
      <c r="DP408">
        <v>1</v>
      </c>
      <c r="DQ408">
        <v>1</v>
      </c>
      <c r="DU408">
        <v>1010</v>
      </c>
      <c r="DV408" t="s">
        <v>79</v>
      </c>
      <c r="DW408" t="s">
        <v>79</v>
      </c>
      <c r="DX408">
        <v>1000</v>
      </c>
      <c r="EE408">
        <v>52362078</v>
      </c>
      <c r="EF408">
        <v>1</v>
      </c>
      <c r="EG408" t="s">
        <v>22</v>
      </c>
      <c r="EH408">
        <v>0</v>
      </c>
      <c r="EI408" t="s">
        <v>3</v>
      </c>
      <c r="EJ408">
        <v>4</v>
      </c>
      <c r="EK408">
        <v>0</v>
      </c>
      <c r="EL408" t="s">
        <v>23</v>
      </c>
      <c r="EM408" t="s">
        <v>24</v>
      </c>
      <c r="EO408" t="s">
        <v>3</v>
      </c>
      <c r="EQ408">
        <v>32768</v>
      </c>
      <c r="ER408">
        <v>10419.43</v>
      </c>
      <c r="ES408">
        <v>10419.43</v>
      </c>
      <c r="ET408">
        <v>0</v>
      </c>
      <c r="EU408">
        <v>0</v>
      </c>
      <c r="EV408">
        <v>0</v>
      </c>
      <c r="EW408">
        <v>0</v>
      </c>
      <c r="EX408">
        <v>0</v>
      </c>
      <c r="FQ408">
        <v>0</v>
      </c>
      <c r="FR408">
        <f t="shared" si="366"/>
        <v>0</v>
      </c>
      <c r="FS408">
        <v>0</v>
      </c>
      <c r="FX408">
        <v>70</v>
      </c>
      <c r="FY408">
        <v>10</v>
      </c>
      <c r="GA408" t="s">
        <v>3</v>
      </c>
      <c r="GD408">
        <v>0</v>
      </c>
      <c r="GF408">
        <v>-477329452</v>
      </c>
      <c r="GG408">
        <v>2</v>
      </c>
      <c r="GH408">
        <v>1</v>
      </c>
      <c r="GI408">
        <v>-2</v>
      </c>
      <c r="GJ408">
        <v>0</v>
      </c>
      <c r="GK408">
        <f>ROUND(R408*(R12)/100,2)</f>
        <v>0</v>
      </c>
      <c r="GL408">
        <f t="shared" si="367"/>
        <v>0</v>
      </c>
      <c r="GM408">
        <f t="shared" si="368"/>
        <v>-11.57</v>
      </c>
      <c r="GN408">
        <f t="shared" si="369"/>
        <v>0</v>
      </c>
      <c r="GO408">
        <f t="shared" si="370"/>
        <v>0</v>
      </c>
      <c r="GP408">
        <f t="shared" si="371"/>
        <v>-11.57</v>
      </c>
      <c r="GR408">
        <v>0</v>
      </c>
      <c r="GS408">
        <v>3</v>
      </c>
      <c r="GT408">
        <v>0</v>
      </c>
      <c r="GU408" t="s">
        <v>3</v>
      </c>
      <c r="GV408">
        <f t="shared" si="372"/>
        <v>0</v>
      </c>
      <c r="GW408">
        <v>1</v>
      </c>
      <c r="GX408">
        <f t="shared" si="373"/>
        <v>0</v>
      </c>
      <c r="HA408">
        <v>0</v>
      </c>
      <c r="HB408">
        <v>0</v>
      </c>
      <c r="HC408">
        <f t="shared" si="374"/>
        <v>0</v>
      </c>
      <c r="HE408" t="s">
        <v>3</v>
      </c>
      <c r="HF408" t="s">
        <v>3</v>
      </c>
      <c r="IK408">
        <v>0</v>
      </c>
    </row>
    <row r="409" spans="1:245" x14ac:dyDescent="0.2">
      <c r="A409">
        <v>18</v>
      </c>
      <c r="B409">
        <v>1</v>
      </c>
      <c r="C409">
        <v>354</v>
      </c>
      <c r="E409" t="s">
        <v>326</v>
      </c>
      <c r="F409" t="s">
        <v>82</v>
      </c>
      <c r="G409" t="s">
        <v>83</v>
      </c>
      <c r="H409" t="s">
        <v>84</v>
      </c>
      <c r="I409">
        <f>I407*J409</f>
        <v>-0.16320000000000001</v>
      </c>
      <c r="J409">
        <v>-5.44</v>
      </c>
      <c r="O409">
        <f t="shared" si="335"/>
        <v>-1.77</v>
      </c>
      <c r="P409">
        <f t="shared" si="336"/>
        <v>0</v>
      </c>
      <c r="Q409">
        <f t="shared" si="337"/>
        <v>-1.77</v>
      </c>
      <c r="R409">
        <f t="shared" si="338"/>
        <v>-0.48</v>
      </c>
      <c r="S409">
        <f t="shared" si="339"/>
        <v>0</v>
      </c>
      <c r="T409">
        <f t="shared" si="340"/>
        <v>0</v>
      </c>
      <c r="U409">
        <f t="shared" si="341"/>
        <v>0</v>
      </c>
      <c r="V409">
        <f t="shared" si="342"/>
        <v>0</v>
      </c>
      <c r="W409">
        <f t="shared" si="343"/>
        <v>0</v>
      </c>
      <c r="X409">
        <f t="shared" si="344"/>
        <v>0</v>
      </c>
      <c r="Y409">
        <f t="shared" si="345"/>
        <v>0</v>
      </c>
      <c r="AA409">
        <v>52430918</v>
      </c>
      <c r="AB409">
        <f t="shared" si="346"/>
        <v>10.82</v>
      </c>
      <c r="AC409">
        <f t="shared" si="347"/>
        <v>0</v>
      </c>
      <c r="AD409">
        <f t="shared" si="348"/>
        <v>10.82</v>
      </c>
      <c r="AE409">
        <f t="shared" si="349"/>
        <v>2.97</v>
      </c>
      <c r="AF409">
        <f t="shared" si="350"/>
        <v>0</v>
      </c>
      <c r="AG409">
        <f t="shared" si="351"/>
        <v>0</v>
      </c>
      <c r="AH409">
        <f t="shared" si="352"/>
        <v>0</v>
      </c>
      <c r="AI409">
        <f t="shared" si="353"/>
        <v>0</v>
      </c>
      <c r="AJ409">
        <f t="shared" si="354"/>
        <v>0</v>
      </c>
      <c r="AK409">
        <v>10.82</v>
      </c>
      <c r="AL409">
        <v>0</v>
      </c>
      <c r="AM409">
        <v>10.82</v>
      </c>
      <c r="AN409">
        <v>2.97</v>
      </c>
      <c r="AO409">
        <v>0</v>
      </c>
      <c r="AP409">
        <v>0</v>
      </c>
      <c r="AQ409">
        <v>0</v>
      </c>
      <c r="AR409">
        <v>0</v>
      </c>
      <c r="AS409">
        <v>0</v>
      </c>
      <c r="AT409">
        <v>70</v>
      </c>
      <c r="AU409">
        <v>10</v>
      </c>
      <c r="AV409">
        <v>1</v>
      </c>
      <c r="AW409">
        <v>1</v>
      </c>
      <c r="AZ409">
        <v>1</v>
      </c>
      <c r="BA409">
        <v>1</v>
      </c>
      <c r="BB409">
        <v>1</v>
      </c>
      <c r="BC409">
        <v>1</v>
      </c>
      <c r="BD409" t="s">
        <v>3</v>
      </c>
      <c r="BE409" t="s">
        <v>3</v>
      </c>
      <c r="BF409" t="s">
        <v>3</v>
      </c>
      <c r="BG409" t="s">
        <v>3</v>
      </c>
      <c r="BH409">
        <v>2</v>
      </c>
      <c r="BI409">
        <v>4</v>
      </c>
      <c r="BJ409" t="s">
        <v>85</v>
      </c>
      <c r="BM409">
        <v>0</v>
      </c>
      <c r="BN409">
        <v>0</v>
      </c>
      <c r="BO409" t="s">
        <v>3</v>
      </c>
      <c r="BP409">
        <v>0</v>
      </c>
      <c r="BQ409">
        <v>1</v>
      </c>
      <c r="BR409">
        <v>1</v>
      </c>
      <c r="BS409">
        <v>1</v>
      </c>
      <c r="BT409">
        <v>1</v>
      </c>
      <c r="BU409">
        <v>1</v>
      </c>
      <c r="BV409">
        <v>1</v>
      </c>
      <c r="BW409">
        <v>1</v>
      </c>
      <c r="BX409">
        <v>1</v>
      </c>
      <c r="BY409" t="s">
        <v>3</v>
      </c>
      <c r="BZ409">
        <v>70</v>
      </c>
      <c r="CA409">
        <v>10</v>
      </c>
      <c r="CE409">
        <v>0</v>
      </c>
      <c r="CF409">
        <v>0</v>
      </c>
      <c r="CG409">
        <v>0</v>
      </c>
      <c r="CM409">
        <v>0</v>
      </c>
      <c r="CN409" t="s">
        <v>3</v>
      </c>
      <c r="CO409">
        <v>0</v>
      </c>
      <c r="CP409">
        <f t="shared" si="355"/>
        <v>-1.77</v>
      </c>
      <c r="CQ409">
        <f t="shared" si="356"/>
        <v>0</v>
      </c>
      <c r="CR409">
        <f t="shared" si="357"/>
        <v>10.82</v>
      </c>
      <c r="CS409">
        <f t="shared" si="358"/>
        <v>2.97</v>
      </c>
      <c r="CT409">
        <f t="shared" si="359"/>
        <v>0</v>
      </c>
      <c r="CU409">
        <f t="shared" si="360"/>
        <v>0</v>
      </c>
      <c r="CV409">
        <f t="shared" si="361"/>
        <v>0</v>
      </c>
      <c r="CW409">
        <f t="shared" si="362"/>
        <v>0</v>
      </c>
      <c r="CX409">
        <f t="shared" si="363"/>
        <v>0</v>
      </c>
      <c r="CY409">
        <f t="shared" si="364"/>
        <v>0</v>
      </c>
      <c r="CZ409">
        <f t="shared" si="365"/>
        <v>0</v>
      </c>
      <c r="DC409" t="s">
        <v>3</v>
      </c>
      <c r="DD409" t="s">
        <v>3</v>
      </c>
      <c r="DE409" t="s">
        <v>3</v>
      </c>
      <c r="DF409" t="s">
        <v>3</v>
      </c>
      <c r="DG409" t="s">
        <v>3</v>
      </c>
      <c r="DH409" t="s">
        <v>3</v>
      </c>
      <c r="DI409" t="s">
        <v>3</v>
      </c>
      <c r="DJ409" t="s">
        <v>3</v>
      </c>
      <c r="DK409" t="s">
        <v>3</v>
      </c>
      <c r="DL409" t="s">
        <v>3</v>
      </c>
      <c r="DM409" t="s">
        <v>3</v>
      </c>
      <c r="DN409">
        <v>0</v>
      </c>
      <c r="DO409">
        <v>0</v>
      </c>
      <c r="DP409">
        <v>1</v>
      </c>
      <c r="DQ409">
        <v>1</v>
      </c>
      <c r="DU409">
        <v>1011</v>
      </c>
      <c r="DV409" t="s">
        <v>84</v>
      </c>
      <c r="DW409" t="s">
        <v>84</v>
      </c>
      <c r="DX409">
        <v>1</v>
      </c>
      <c r="EE409">
        <v>52362078</v>
      </c>
      <c r="EF409">
        <v>1</v>
      </c>
      <c r="EG409" t="s">
        <v>22</v>
      </c>
      <c r="EH409">
        <v>0</v>
      </c>
      <c r="EI409" t="s">
        <v>3</v>
      </c>
      <c r="EJ409">
        <v>4</v>
      </c>
      <c r="EK409">
        <v>0</v>
      </c>
      <c r="EL409" t="s">
        <v>23</v>
      </c>
      <c r="EM409" t="s">
        <v>24</v>
      </c>
      <c r="EO409" t="s">
        <v>3</v>
      </c>
      <c r="EQ409">
        <v>32768</v>
      </c>
      <c r="ER409">
        <v>10.82</v>
      </c>
      <c r="ES409">
        <v>0</v>
      </c>
      <c r="ET409">
        <v>10.82</v>
      </c>
      <c r="EU409">
        <v>2.97</v>
      </c>
      <c r="EV409">
        <v>0</v>
      </c>
      <c r="EW409">
        <v>0</v>
      </c>
      <c r="EX409">
        <v>0</v>
      </c>
      <c r="FQ409">
        <v>0</v>
      </c>
      <c r="FR409">
        <f t="shared" si="366"/>
        <v>0</v>
      </c>
      <c r="FS409">
        <v>0</v>
      </c>
      <c r="FX409">
        <v>70</v>
      </c>
      <c r="FY409">
        <v>10</v>
      </c>
      <c r="GA409" t="s">
        <v>3</v>
      </c>
      <c r="GD409">
        <v>0</v>
      </c>
      <c r="GF409">
        <v>1349119844</v>
      </c>
      <c r="GG409">
        <v>2</v>
      </c>
      <c r="GH409">
        <v>1</v>
      </c>
      <c r="GI409">
        <v>-2</v>
      </c>
      <c r="GJ409">
        <v>0</v>
      </c>
      <c r="GK409">
        <f>ROUND(R409*(R12)/100,2)</f>
        <v>-0.52</v>
      </c>
      <c r="GL409">
        <f t="shared" si="367"/>
        <v>0</v>
      </c>
      <c r="GM409">
        <f t="shared" si="368"/>
        <v>-2.29</v>
      </c>
      <c r="GN409">
        <f t="shared" si="369"/>
        <v>0</v>
      </c>
      <c r="GO409">
        <f t="shared" si="370"/>
        <v>0</v>
      </c>
      <c r="GP409">
        <f t="shared" si="371"/>
        <v>-2.29</v>
      </c>
      <c r="GR409">
        <v>0</v>
      </c>
      <c r="GS409">
        <v>7</v>
      </c>
      <c r="GT409">
        <v>0</v>
      </c>
      <c r="GU409" t="s">
        <v>3</v>
      </c>
      <c r="GV409">
        <f t="shared" si="372"/>
        <v>0</v>
      </c>
      <c r="GW409">
        <v>1</v>
      </c>
      <c r="GX409">
        <f t="shared" si="373"/>
        <v>0</v>
      </c>
      <c r="HA409">
        <v>0</v>
      </c>
      <c r="HB409">
        <v>0</v>
      </c>
      <c r="HC409">
        <f t="shared" si="374"/>
        <v>0</v>
      </c>
      <c r="HE409" t="s">
        <v>3</v>
      </c>
      <c r="HF409" t="s">
        <v>3</v>
      </c>
      <c r="IK409">
        <v>0</v>
      </c>
    </row>
    <row r="410" spans="1:245" x14ac:dyDescent="0.2">
      <c r="A410">
        <v>18</v>
      </c>
      <c r="B410">
        <v>1</v>
      </c>
      <c r="C410">
        <v>353</v>
      </c>
      <c r="E410" t="s">
        <v>327</v>
      </c>
      <c r="F410" t="s">
        <v>87</v>
      </c>
      <c r="G410" t="s">
        <v>88</v>
      </c>
      <c r="H410" t="s">
        <v>84</v>
      </c>
      <c r="I410">
        <f>I407*J410</f>
        <v>-0.435</v>
      </c>
      <c r="J410">
        <v>-14.5</v>
      </c>
      <c r="O410">
        <f t="shared" si="335"/>
        <v>-11.84</v>
      </c>
      <c r="P410">
        <f t="shared" si="336"/>
        <v>0</v>
      </c>
      <c r="Q410">
        <f t="shared" si="337"/>
        <v>-11.84</v>
      </c>
      <c r="R410">
        <f t="shared" si="338"/>
        <v>-0.06</v>
      </c>
      <c r="S410">
        <f t="shared" si="339"/>
        <v>0</v>
      </c>
      <c r="T410">
        <f t="shared" si="340"/>
        <v>0</v>
      </c>
      <c r="U410">
        <f t="shared" si="341"/>
        <v>0</v>
      </c>
      <c r="V410">
        <f t="shared" si="342"/>
        <v>0</v>
      </c>
      <c r="W410">
        <f t="shared" si="343"/>
        <v>0</v>
      </c>
      <c r="X410">
        <f t="shared" si="344"/>
        <v>0</v>
      </c>
      <c r="Y410">
        <f t="shared" si="345"/>
        <v>0</v>
      </c>
      <c r="AA410">
        <v>52430918</v>
      </c>
      <c r="AB410">
        <f t="shared" si="346"/>
        <v>27.21</v>
      </c>
      <c r="AC410">
        <f t="shared" si="347"/>
        <v>0</v>
      </c>
      <c r="AD410">
        <f t="shared" si="348"/>
        <v>27.21</v>
      </c>
      <c r="AE410">
        <f t="shared" si="349"/>
        <v>0.13</v>
      </c>
      <c r="AF410">
        <f t="shared" si="350"/>
        <v>0</v>
      </c>
      <c r="AG410">
        <f t="shared" si="351"/>
        <v>0</v>
      </c>
      <c r="AH410">
        <f t="shared" si="352"/>
        <v>0</v>
      </c>
      <c r="AI410">
        <f t="shared" si="353"/>
        <v>0</v>
      </c>
      <c r="AJ410">
        <f t="shared" si="354"/>
        <v>0</v>
      </c>
      <c r="AK410">
        <v>27.21</v>
      </c>
      <c r="AL410">
        <v>0</v>
      </c>
      <c r="AM410">
        <v>27.21</v>
      </c>
      <c r="AN410">
        <v>0.13</v>
      </c>
      <c r="AO410">
        <v>0</v>
      </c>
      <c r="AP410">
        <v>0</v>
      </c>
      <c r="AQ410">
        <v>0</v>
      </c>
      <c r="AR410">
        <v>0</v>
      </c>
      <c r="AS410">
        <v>0</v>
      </c>
      <c r="AT410">
        <v>70</v>
      </c>
      <c r="AU410">
        <v>10</v>
      </c>
      <c r="AV410">
        <v>1</v>
      </c>
      <c r="AW410">
        <v>1</v>
      </c>
      <c r="AZ410">
        <v>1</v>
      </c>
      <c r="BA410">
        <v>1</v>
      </c>
      <c r="BB410">
        <v>1</v>
      </c>
      <c r="BC410">
        <v>1</v>
      </c>
      <c r="BD410" t="s">
        <v>3</v>
      </c>
      <c r="BE410" t="s">
        <v>3</v>
      </c>
      <c r="BF410" t="s">
        <v>3</v>
      </c>
      <c r="BG410" t="s">
        <v>3</v>
      </c>
      <c r="BH410">
        <v>2</v>
      </c>
      <c r="BI410">
        <v>4</v>
      </c>
      <c r="BJ410" t="s">
        <v>89</v>
      </c>
      <c r="BM410">
        <v>0</v>
      </c>
      <c r="BN410">
        <v>0</v>
      </c>
      <c r="BO410" t="s">
        <v>3</v>
      </c>
      <c r="BP410">
        <v>0</v>
      </c>
      <c r="BQ410">
        <v>1</v>
      </c>
      <c r="BR410">
        <v>1</v>
      </c>
      <c r="BS410">
        <v>1</v>
      </c>
      <c r="BT410">
        <v>1</v>
      </c>
      <c r="BU410">
        <v>1</v>
      </c>
      <c r="BV410">
        <v>1</v>
      </c>
      <c r="BW410">
        <v>1</v>
      </c>
      <c r="BX410">
        <v>1</v>
      </c>
      <c r="BY410" t="s">
        <v>3</v>
      </c>
      <c r="BZ410">
        <v>70</v>
      </c>
      <c r="CA410">
        <v>10</v>
      </c>
      <c r="CE410">
        <v>0</v>
      </c>
      <c r="CF410">
        <v>0</v>
      </c>
      <c r="CG410">
        <v>0</v>
      </c>
      <c r="CM410">
        <v>0</v>
      </c>
      <c r="CN410" t="s">
        <v>3</v>
      </c>
      <c r="CO410">
        <v>0</v>
      </c>
      <c r="CP410">
        <f t="shared" si="355"/>
        <v>-11.84</v>
      </c>
      <c r="CQ410">
        <f t="shared" si="356"/>
        <v>0</v>
      </c>
      <c r="CR410">
        <f t="shared" si="357"/>
        <v>27.21</v>
      </c>
      <c r="CS410">
        <f t="shared" si="358"/>
        <v>0.13</v>
      </c>
      <c r="CT410">
        <f t="shared" si="359"/>
        <v>0</v>
      </c>
      <c r="CU410">
        <f t="shared" si="360"/>
        <v>0</v>
      </c>
      <c r="CV410">
        <f t="shared" si="361"/>
        <v>0</v>
      </c>
      <c r="CW410">
        <f t="shared" si="362"/>
        <v>0</v>
      </c>
      <c r="CX410">
        <f t="shared" si="363"/>
        <v>0</v>
      </c>
      <c r="CY410">
        <f t="shared" si="364"/>
        <v>0</v>
      </c>
      <c r="CZ410">
        <f t="shared" si="365"/>
        <v>0</v>
      </c>
      <c r="DC410" t="s">
        <v>3</v>
      </c>
      <c r="DD410" t="s">
        <v>3</v>
      </c>
      <c r="DE410" t="s">
        <v>3</v>
      </c>
      <c r="DF410" t="s">
        <v>3</v>
      </c>
      <c r="DG410" t="s">
        <v>3</v>
      </c>
      <c r="DH410" t="s">
        <v>3</v>
      </c>
      <c r="DI410" t="s">
        <v>3</v>
      </c>
      <c r="DJ410" t="s">
        <v>3</v>
      </c>
      <c r="DK410" t="s">
        <v>3</v>
      </c>
      <c r="DL410" t="s">
        <v>3</v>
      </c>
      <c r="DM410" t="s">
        <v>3</v>
      </c>
      <c r="DN410">
        <v>0</v>
      </c>
      <c r="DO410">
        <v>0</v>
      </c>
      <c r="DP410">
        <v>1</v>
      </c>
      <c r="DQ410">
        <v>1</v>
      </c>
      <c r="DU410">
        <v>1011</v>
      </c>
      <c r="DV410" t="s">
        <v>84</v>
      </c>
      <c r="DW410" t="s">
        <v>84</v>
      </c>
      <c r="DX410">
        <v>1</v>
      </c>
      <c r="EE410">
        <v>52362078</v>
      </c>
      <c r="EF410">
        <v>1</v>
      </c>
      <c r="EG410" t="s">
        <v>22</v>
      </c>
      <c r="EH410">
        <v>0</v>
      </c>
      <c r="EI410" t="s">
        <v>3</v>
      </c>
      <c r="EJ410">
        <v>4</v>
      </c>
      <c r="EK410">
        <v>0</v>
      </c>
      <c r="EL410" t="s">
        <v>23</v>
      </c>
      <c r="EM410" t="s">
        <v>24</v>
      </c>
      <c r="EO410" t="s">
        <v>3</v>
      </c>
      <c r="EQ410">
        <v>32768</v>
      </c>
      <c r="ER410">
        <v>27.21</v>
      </c>
      <c r="ES410">
        <v>0</v>
      </c>
      <c r="ET410">
        <v>27.21</v>
      </c>
      <c r="EU410">
        <v>0.13</v>
      </c>
      <c r="EV410">
        <v>0</v>
      </c>
      <c r="EW410">
        <v>0</v>
      </c>
      <c r="EX410">
        <v>0</v>
      </c>
      <c r="FQ410">
        <v>0</v>
      </c>
      <c r="FR410">
        <f t="shared" si="366"/>
        <v>0</v>
      </c>
      <c r="FS410">
        <v>0</v>
      </c>
      <c r="FX410">
        <v>70</v>
      </c>
      <c r="FY410">
        <v>10</v>
      </c>
      <c r="GA410" t="s">
        <v>3</v>
      </c>
      <c r="GD410">
        <v>0</v>
      </c>
      <c r="GF410">
        <v>-1757825014</v>
      </c>
      <c r="GG410">
        <v>2</v>
      </c>
      <c r="GH410">
        <v>1</v>
      </c>
      <c r="GI410">
        <v>-2</v>
      </c>
      <c r="GJ410">
        <v>0</v>
      </c>
      <c r="GK410">
        <f>ROUND(R410*(R12)/100,2)</f>
        <v>-0.06</v>
      </c>
      <c r="GL410">
        <f t="shared" si="367"/>
        <v>0</v>
      </c>
      <c r="GM410">
        <f t="shared" si="368"/>
        <v>-11.9</v>
      </c>
      <c r="GN410">
        <f t="shared" si="369"/>
        <v>0</v>
      </c>
      <c r="GO410">
        <f t="shared" si="370"/>
        <v>0</v>
      </c>
      <c r="GP410">
        <f t="shared" si="371"/>
        <v>-11.9</v>
      </c>
      <c r="GR410">
        <v>0</v>
      </c>
      <c r="GS410">
        <v>7</v>
      </c>
      <c r="GT410">
        <v>0</v>
      </c>
      <c r="GU410" t="s">
        <v>3</v>
      </c>
      <c r="GV410">
        <f t="shared" si="372"/>
        <v>0</v>
      </c>
      <c r="GW410">
        <v>1</v>
      </c>
      <c r="GX410">
        <f t="shared" si="373"/>
        <v>0</v>
      </c>
      <c r="HA410">
        <v>0</v>
      </c>
      <c r="HB410">
        <v>0</v>
      </c>
      <c r="HC410">
        <f t="shared" si="374"/>
        <v>0</v>
      </c>
      <c r="HE410" t="s">
        <v>3</v>
      </c>
      <c r="HF410" t="s">
        <v>3</v>
      </c>
      <c r="IK410">
        <v>0</v>
      </c>
    </row>
    <row r="411" spans="1:245" x14ac:dyDescent="0.2">
      <c r="A411">
        <v>18</v>
      </c>
      <c r="B411">
        <v>1</v>
      </c>
      <c r="C411">
        <v>352</v>
      </c>
      <c r="E411" t="s">
        <v>328</v>
      </c>
      <c r="F411" t="s">
        <v>91</v>
      </c>
      <c r="G411" t="s">
        <v>92</v>
      </c>
      <c r="H411" t="s">
        <v>84</v>
      </c>
      <c r="I411">
        <f>I407*J411</f>
        <v>-2.7000000000000001E-3</v>
      </c>
      <c r="J411">
        <v>-9.0000000000000011E-2</v>
      </c>
      <c r="O411">
        <f t="shared" si="335"/>
        <v>-2.73</v>
      </c>
      <c r="P411">
        <f t="shared" si="336"/>
        <v>0</v>
      </c>
      <c r="Q411">
        <f t="shared" si="337"/>
        <v>-2.73</v>
      </c>
      <c r="R411">
        <f t="shared" si="338"/>
        <v>-1.5</v>
      </c>
      <c r="S411">
        <f t="shared" si="339"/>
        <v>0</v>
      </c>
      <c r="T411">
        <f t="shared" si="340"/>
        <v>0</v>
      </c>
      <c r="U411">
        <f t="shared" si="341"/>
        <v>0</v>
      </c>
      <c r="V411">
        <f t="shared" si="342"/>
        <v>0</v>
      </c>
      <c r="W411">
        <f t="shared" si="343"/>
        <v>0</v>
      </c>
      <c r="X411">
        <f t="shared" si="344"/>
        <v>0</v>
      </c>
      <c r="Y411">
        <f t="shared" si="345"/>
        <v>0</v>
      </c>
      <c r="AA411">
        <v>52430918</v>
      </c>
      <c r="AB411">
        <f t="shared" si="346"/>
        <v>1009.65</v>
      </c>
      <c r="AC411">
        <f t="shared" si="347"/>
        <v>0</v>
      </c>
      <c r="AD411">
        <f t="shared" si="348"/>
        <v>1009.65</v>
      </c>
      <c r="AE411">
        <f t="shared" si="349"/>
        <v>554.42999999999995</v>
      </c>
      <c r="AF411">
        <f t="shared" si="350"/>
        <v>0</v>
      </c>
      <c r="AG411">
        <f t="shared" si="351"/>
        <v>0</v>
      </c>
      <c r="AH411">
        <f t="shared" si="352"/>
        <v>0</v>
      </c>
      <c r="AI411">
        <f t="shared" si="353"/>
        <v>0</v>
      </c>
      <c r="AJ411">
        <f t="shared" si="354"/>
        <v>0</v>
      </c>
      <c r="AK411">
        <v>1009.65</v>
      </c>
      <c r="AL411">
        <v>0</v>
      </c>
      <c r="AM411">
        <v>1009.65</v>
      </c>
      <c r="AN411">
        <v>554.42999999999995</v>
      </c>
      <c r="AO411">
        <v>0</v>
      </c>
      <c r="AP411">
        <v>0</v>
      </c>
      <c r="AQ411">
        <v>0</v>
      </c>
      <c r="AR411">
        <v>0</v>
      </c>
      <c r="AS411">
        <v>0</v>
      </c>
      <c r="AT411">
        <v>70</v>
      </c>
      <c r="AU411">
        <v>10</v>
      </c>
      <c r="AV411">
        <v>1</v>
      </c>
      <c r="AW411">
        <v>1</v>
      </c>
      <c r="AZ411">
        <v>1</v>
      </c>
      <c r="BA411">
        <v>1</v>
      </c>
      <c r="BB411">
        <v>1</v>
      </c>
      <c r="BC411">
        <v>1</v>
      </c>
      <c r="BD411" t="s">
        <v>3</v>
      </c>
      <c r="BE411" t="s">
        <v>3</v>
      </c>
      <c r="BF411" t="s">
        <v>3</v>
      </c>
      <c r="BG411" t="s">
        <v>3</v>
      </c>
      <c r="BH411">
        <v>2</v>
      </c>
      <c r="BI411">
        <v>4</v>
      </c>
      <c r="BJ411" t="s">
        <v>93</v>
      </c>
      <c r="BM411">
        <v>0</v>
      </c>
      <c r="BN411">
        <v>0</v>
      </c>
      <c r="BO411" t="s">
        <v>3</v>
      </c>
      <c r="BP411">
        <v>0</v>
      </c>
      <c r="BQ411">
        <v>1</v>
      </c>
      <c r="BR411">
        <v>1</v>
      </c>
      <c r="BS411">
        <v>1</v>
      </c>
      <c r="BT411">
        <v>1</v>
      </c>
      <c r="BU411">
        <v>1</v>
      </c>
      <c r="BV411">
        <v>1</v>
      </c>
      <c r="BW411">
        <v>1</v>
      </c>
      <c r="BX411">
        <v>1</v>
      </c>
      <c r="BY411" t="s">
        <v>3</v>
      </c>
      <c r="BZ411">
        <v>70</v>
      </c>
      <c r="CA411">
        <v>10</v>
      </c>
      <c r="CE411">
        <v>0</v>
      </c>
      <c r="CF411">
        <v>0</v>
      </c>
      <c r="CG411">
        <v>0</v>
      </c>
      <c r="CM411">
        <v>0</v>
      </c>
      <c r="CN411" t="s">
        <v>3</v>
      </c>
      <c r="CO411">
        <v>0</v>
      </c>
      <c r="CP411">
        <f t="shared" si="355"/>
        <v>-2.73</v>
      </c>
      <c r="CQ411">
        <f t="shared" si="356"/>
        <v>0</v>
      </c>
      <c r="CR411">
        <f t="shared" si="357"/>
        <v>1009.65</v>
      </c>
      <c r="CS411">
        <f t="shared" si="358"/>
        <v>554.42999999999995</v>
      </c>
      <c r="CT411">
        <f t="shared" si="359"/>
        <v>0</v>
      </c>
      <c r="CU411">
        <f t="shared" si="360"/>
        <v>0</v>
      </c>
      <c r="CV411">
        <f t="shared" si="361"/>
        <v>0</v>
      </c>
      <c r="CW411">
        <f t="shared" si="362"/>
        <v>0</v>
      </c>
      <c r="CX411">
        <f t="shared" si="363"/>
        <v>0</v>
      </c>
      <c r="CY411">
        <f t="shared" si="364"/>
        <v>0</v>
      </c>
      <c r="CZ411">
        <f t="shared" si="365"/>
        <v>0</v>
      </c>
      <c r="DC411" t="s">
        <v>3</v>
      </c>
      <c r="DD411" t="s">
        <v>3</v>
      </c>
      <c r="DE411" t="s">
        <v>3</v>
      </c>
      <c r="DF411" t="s">
        <v>3</v>
      </c>
      <c r="DG411" t="s">
        <v>3</v>
      </c>
      <c r="DH411" t="s">
        <v>3</v>
      </c>
      <c r="DI411" t="s">
        <v>3</v>
      </c>
      <c r="DJ411" t="s">
        <v>3</v>
      </c>
      <c r="DK411" t="s">
        <v>3</v>
      </c>
      <c r="DL411" t="s">
        <v>3</v>
      </c>
      <c r="DM411" t="s">
        <v>3</v>
      </c>
      <c r="DN411">
        <v>0</v>
      </c>
      <c r="DO411">
        <v>0</v>
      </c>
      <c r="DP411">
        <v>1</v>
      </c>
      <c r="DQ411">
        <v>1</v>
      </c>
      <c r="DU411">
        <v>1011</v>
      </c>
      <c r="DV411" t="s">
        <v>84</v>
      </c>
      <c r="DW411" t="s">
        <v>84</v>
      </c>
      <c r="DX411">
        <v>1</v>
      </c>
      <c r="EE411">
        <v>52362078</v>
      </c>
      <c r="EF411">
        <v>1</v>
      </c>
      <c r="EG411" t="s">
        <v>22</v>
      </c>
      <c r="EH411">
        <v>0</v>
      </c>
      <c r="EI411" t="s">
        <v>3</v>
      </c>
      <c r="EJ411">
        <v>4</v>
      </c>
      <c r="EK411">
        <v>0</v>
      </c>
      <c r="EL411" t="s">
        <v>23</v>
      </c>
      <c r="EM411" t="s">
        <v>24</v>
      </c>
      <c r="EO411" t="s">
        <v>3</v>
      </c>
      <c r="EQ411">
        <v>32768</v>
      </c>
      <c r="ER411">
        <v>1009.65</v>
      </c>
      <c r="ES411">
        <v>0</v>
      </c>
      <c r="ET411">
        <v>1009.65</v>
      </c>
      <c r="EU411">
        <v>554.42999999999995</v>
      </c>
      <c r="EV411">
        <v>0</v>
      </c>
      <c r="EW411">
        <v>0</v>
      </c>
      <c r="EX411">
        <v>0</v>
      </c>
      <c r="FQ411">
        <v>0</v>
      </c>
      <c r="FR411">
        <f t="shared" si="366"/>
        <v>0</v>
      </c>
      <c r="FS411">
        <v>0</v>
      </c>
      <c r="FX411">
        <v>70</v>
      </c>
      <c r="FY411">
        <v>10</v>
      </c>
      <c r="GA411" t="s">
        <v>3</v>
      </c>
      <c r="GD411">
        <v>0</v>
      </c>
      <c r="GF411">
        <v>-1957514721</v>
      </c>
      <c r="GG411">
        <v>2</v>
      </c>
      <c r="GH411">
        <v>1</v>
      </c>
      <c r="GI411">
        <v>-2</v>
      </c>
      <c r="GJ411">
        <v>0</v>
      </c>
      <c r="GK411">
        <f>ROUND(R411*(R12)/100,2)</f>
        <v>-1.62</v>
      </c>
      <c r="GL411">
        <f t="shared" si="367"/>
        <v>0</v>
      </c>
      <c r="GM411">
        <f t="shared" si="368"/>
        <v>-4.3499999999999996</v>
      </c>
      <c r="GN411">
        <f t="shared" si="369"/>
        <v>0</v>
      </c>
      <c r="GO411">
        <f t="shared" si="370"/>
        <v>0</v>
      </c>
      <c r="GP411">
        <f t="shared" si="371"/>
        <v>-4.3499999999999996</v>
      </c>
      <c r="GR411">
        <v>0</v>
      </c>
      <c r="GS411">
        <v>7</v>
      </c>
      <c r="GT411">
        <v>0</v>
      </c>
      <c r="GU411" t="s">
        <v>3</v>
      </c>
      <c r="GV411">
        <f t="shared" si="372"/>
        <v>0</v>
      </c>
      <c r="GW411">
        <v>1</v>
      </c>
      <c r="GX411">
        <f t="shared" si="373"/>
        <v>0</v>
      </c>
      <c r="HA411">
        <v>0</v>
      </c>
      <c r="HB411">
        <v>0</v>
      </c>
      <c r="HC411">
        <f t="shared" si="374"/>
        <v>0</v>
      </c>
      <c r="HE411" t="s">
        <v>3</v>
      </c>
      <c r="HF411" t="s">
        <v>3</v>
      </c>
      <c r="IK411">
        <v>0</v>
      </c>
    </row>
    <row r="412" spans="1:245" x14ac:dyDescent="0.2">
      <c r="A412">
        <v>18</v>
      </c>
      <c r="B412">
        <v>1</v>
      </c>
      <c r="C412">
        <v>357</v>
      </c>
      <c r="E412" t="s">
        <v>329</v>
      </c>
      <c r="F412" t="s">
        <v>95</v>
      </c>
      <c r="G412" t="s">
        <v>96</v>
      </c>
      <c r="H412" t="s">
        <v>28</v>
      </c>
      <c r="I412">
        <f>I407*J412</f>
        <v>-0.15</v>
      </c>
      <c r="J412">
        <v>-5</v>
      </c>
      <c r="O412">
        <f t="shared" si="335"/>
        <v>-456.06</v>
      </c>
      <c r="P412">
        <f t="shared" si="336"/>
        <v>-456.06</v>
      </c>
      <c r="Q412">
        <f t="shared" si="337"/>
        <v>0</v>
      </c>
      <c r="R412">
        <f t="shared" si="338"/>
        <v>0</v>
      </c>
      <c r="S412">
        <f t="shared" si="339"/>
        <v>0</v>
      </c>
      <c r="T412">
        <f t="shared" si="340"/>
        <v>0</v>
      </c>
      <c r="U412">
        <f t="shared" si="341"/>
        <v>0</v>
      </c>
      <c r="V412">
        <f t="shared" si="342"/>
        <v>0</v>
      </c>
      <c r="W412">
        <f t="shared" si="343"/>
        <v>0</v>
      </c>
      <c r="X412">
        <f t="shared" si="344"/>
        <v>0</v>
      </c>
      <c r="Y412">
        <f t="shared" si="345"/>
        <v>0</v>
      </c>
      <c r="AA412">
        <v>52430918</v>
      </c>
      <c r="AB412">
        <f t="shared" si="346"/>
        <v>3040.38</v>
      </c>
      <c r="AC412">
        <f t="shared" si="347"/>
        <v>3040.38</v>
      </c>
      <c r="AD412">
        <f t="shared" si="348"/>
        <v>0</v>
      </c>
      <c r="AE412">
        <f t="shared" si="349"/>
        <v>0</v>
      </c>
      <c r="AF412">
        <f t="shared" si="350"/>
        <v>0</v>
      </c>
      <c r="AG412">
        <f t="shared" si="351"/>
        <v>0</v>
      </c>
      <c r="AH412">
        <f t="shared" si="352"/>
        <v>0</v>
      </c>
      <c r="AI412">
        <f t="shared" si="353"/>
        <v>0</v>
      </c>
      <c r="AJ412">
        <f t="shared" si="354"/>
        <v>0</v>
      </c>
      <c r="AK412">
        <v>3040.38</v>
      </c>
      <c r="AL412">
        <v>3040.38</v>
      </c>
      <c r="AM412">
        <v>0</v>
      </c>
      <c r="AN412">
        <v>0</v>
      </c>
      <c r="AO412">
        <v>0</v>
      </c>
      <c r="AP412">
        <v>0</v>
      </c>
      <c r="AQ412">
        <v>0</v>
      </c>
      <c r="AR412">
        <v>0</v>
      </c>
      <c r="AS412">
        <v>0</v>
      </c>
      <c r="AT412">
        <v>70</v>
      </c>
      <c r="AU412">
        <v>10</v>
      </c>
      <c r="AV412">
        <v>1</v>
      </c>
      <c r="AW412">
        <v>1</v>
      </c>
      <c r="AZ412">
        <v>1</v>
      </c>
      <c r="BA412">
        <v>1</v>
      </c>
      <c r="BB412">
        <v>1</v>
      </c>
      <c r="BC412">
        <v>1</v>
      </c>
      <c r="BD412" t="s">
        <v>3</v>
      </c>
      <c r="BE412" t="s">
        <v>3</v>
      </c>
      <c r="BF412" t="s">
        <v>3</v>
      </c>
      <c r="BG412" t="s">
        <v>3</v>
      </c>
      <c r="BH412">
        <v>3</v>
      </c>
      <c r="BI412">
        <v>4</v>
      </c>
      <c r="BJ412" t="s">
        <v>97</v>
      </c>
      <c r="BM412">
        <v>0</v>
      </c>
      <c r="BN412">
        <v>0</v>
      </c>
      <c r="BO412" t="s">
        <v>3</v>
      </c>
      <c r="BP412">
        <v>0</v>
      </c>
      <c r="BQ412">
        <v>1</v>
      </c>
      <c r="BR412">
        <v>1</v>
      </c>
      <c r="BS412">
        <v>1</v>
      </c>
      <c r="BT412">
        <v>1</v>
      </c>
      <c r="BU412">
        <v>1</v>
      </c>
      <c r="BV412">
        <v>1</v>
      </c>
      <c r="BW412">
        <v>1</v>
      </c>
      <c r="BX412">
        <v>1</v>
      </c>
      <c r="BY412" t="s">
        <v>3</v>
      </c>
      <c r="BZ412">
        <v>70</v>
      </c>
      <c r="CA412">
        <v>10</v>
      </c>
      <c r="CE412">
        <v>0</v>
      </c>
      <c r="CF412">
        <v>0</v>
      </c>
      <c r="CG412">
        <v>0</v>
      </c>
      <c r="CM412">
        <v>0</v>
      </c>
      <c r="CN412" t="s">
        <v>3</v>
      </c>
      <c r="CO412">
        <v>0</v>
      </c>
      <c r="CP412">
        <f t="shared" si="355"/>
        <v>-456.06</v>
      </c>
      <c r="CQ412">
        <f t="shared" si="356"/>
        <v>3040.38</v>
      </c>
      <c r="CR412">
        <f t="shared" si="357"/>
        <v>0</v>
      </c>
      <c r="CS412">
        <f t="shared" si="358"/>
        <v>0</v>
      </c>
      <c r="CT412">
        <f t="shared" si="359"/>
        <v>0</v>
      </c>
      <c r="CU412">
        <f t="shared" si="360"/>
        <v>0</v>
      </c>
      <c r="CV412">
        <f t="shared" si="361"/>
        <v>0</v>
      </c>
      <c r="CW412">
        <f t="shared" si="362"/>
        <v>0</v>
      </c>
      <c r="CX412">
        <f t="shared" si="363"/>
        <v>0</v>
      </c>
      <c r="CY412">
        <f t="shared" si="364"/>
        <v>0</v>
      </c>
      <c r="CZ412">
        <f t="shared" si="365"/>
        <v>0</v>
      </c>
      <c r="DC412" t="s">
        <v>3</v>
      </c>
      <c r="DD412" t="s">
        <v>3</v>
      </c>
      <c r="DE412" t="s">
        <v>3</v>
      </c>
      <c r="DF412" t="s">
        <v>3</v>
      </c>
      <c r="DG412" t="s">
        <v>3</v>
      </c>
      <c r="DH412" t="s">
        <v>3</v>
      </c>
      <c r="DI412" t="s">
        <v>3</v>
      </c>
      <c r="DJ412" t="s">
        <v>3</v>
      </c>
      <c r="DK412" t="s">
        <v>3</v>
      </c>
      <c r="DL412" t="s">
        <v>3</v>
      </c>
      <c r="DM412" t="s">
        <v>3</v>
      </c>
      <c r="DN412">
        <v>0</v>
      </c>
      <c r="DO412">
        <v>0</v>
      </c>
      <c r="DP412">
        <v>1</v>
      </c>
      <c r="DQ412">
        <v>1</v>
      </c>
      <c r="DU412">
        <v>1007</v>
      </c>
      <c r="DV412" t="s">
        <v>28</v>
      </c>
      <c r="DW412" t="s">
        <v>28</v>
      </c>
      <c r="DX412">
        <v>1</v>
      </c>
      <c r="EE412">
        <v>52362078</v>
      </c>
      <c r="EF412">
        <v>1</v>
      </c>
      <c r="EG412" t="s">
        <v>22</v>
      </c>
      <c r="EH412">
        <v>0</v>
      </c>
      <c r="EI412" t="s">
        <v>3</v>
      </c>
      <c r="EJ412">
        <v>4</v>
      </c>
      <c r="EK412">
        <v>0</v>
      </c>
      <c r="EL412" t="s">
        <v>23</v>
      </c>
      <c r="EM412" t="s">
        <v>24</v>
      </c>
      <c r="EO412" t="s">
        <v>3</v>
      </c>
      <c r="EQ412">
        <v>32768</v>
      </c>
      <c r="ER412">
        <v>3040.38</v>
      </c>
      <c r="ES412">
        <v>3040.38</v>
      </c>
      <c r="ET412">
        <v>0</v>
      </c>
      <c r="EU412">
        <v>0</v>
      </c>
      <c r="EV412">
        <v>0</v>
      </c>
      <c r="EW412">
        <v>0</v>
      </c>
      <c r="EX412">
        <v>0</v>
      </c>
      <c r="FQ412">
        <v>0</v>
      </c>
      <c r="FR412">
        <f t="shared" si="366"/>
        <v>0</v>
      </c>
      <c r="FS412">
        <v>0</v>
      </c>
      <c r="FX412">
        <v>70</v>
      </c>
      <c r="FY412">
        <v>10</v>
      </c>
      <c r="GA412" t="s">
        <v>3</v>
      </c>
      <c r="GD412">
        <v>0</v>
      </c>
      <c r="GF412">
        <v>395141172</v>
      </c>
      <c r="GG412">
        <v>2</v>
      </c>
      <c r="GH412">
        <v>1</v>
      </c>
      <c r="GI412">
        <v>-2</v>
      </c>
      <c r="GJ412">
        <v>0</v>
      </c>
      <c r="GK412">
        <f>ROUND(R412*(R12)/100,2)</f>
        <v>0</v>
      </c>
      <c r="GL412">
        <f t="shared" si="367"/>
        <v>0</v>
      </c>
      <c r="GM412">
        <f t="shared" si="368"/>
        <v>-456.06</v>
      </c>
      <c r="GN412">
        <f t="shared" si="369"/>
        <v>0</v>
      </c>
      <c r="GO412">
        <f t="shared" si="370"/>
        <v>0</v>
      </c>
      <c r="GP412">
        <f t="shared" si="371"/>
        <v>-456.06</v>
      </c>
      <c r="GR412">
        <v>0</v>
      </c>
      <c r="GS412">
        <v>3</v>
      </c>
      <c r="GT412">
        <v>0</v>
      </c>
      <c r="GU412" t="s">
        <v>3</v>
      </c>
      <c r="GV412">
        <f t="shared" si="372"/>
        <v>0</v>
      </c>
      <c r="GW412">
        <v>1</v>
      </c>
      <c r="GX412">
        <f t="shared" si="373"/>
        <v>0</v>
      </c>
      <c r="HA412">
        <v>0</v>
      </c>
      <c r="HB412">
        <v>0</v>
      </c>
      <c r="HC412">
        <f t="shared" si="374"/>
        <v>0</v>
      </c>
      <c r="HE412" t="s">
        <v>3</v>
      </c>
      <c r="HF412" t="s">
        <v>3</v>
      </c>
      <c r="IK412">
        <v>0</v>
      </c>
    </row>
    <row r="413" spans="1:245" x14ac:dyDescent="0.2">
      <c r="A413">
        <v>18</v>
      </c>
      <c r="B413">
        <v>1</v>
      </c>
      <c r="C413">
        <v>355</v>
      </c>
      <c r="E413" t="s">
        <v>330</v>
      </c>
      <c r="F413" t="s">
        <v>99</v>
      </c>
      <c r="G413" t="s">
        <v>100</v>
      </c>
      <c r="H413" t="s">
        <v>101</v>
      </c>
      <c r="I413">
        <f>I407*J413</f>
        <v>-5.9999999999999995E-4</v>
      </c>
      <c r="J413">
        <v>-0.02</v>
      </c>
      <c r="O413">
        <f t="shared" si="335"/>
        <v>-66.47</v>
      </c>
      <c r="P413">
        <f t="shared" si="336"/>
        <v>-66.47</v>
      </c>
      <c r="Q413">
        <f t="shared" si="337"/>
        <v>0</v>
      </c>
      <c r="R413">
        <f t="shared" si="338"/>
        <v>0</v>
      </c>
      <c r="S413">
        <f t="shared" si="339"/>
        <v>0</v>
      </c>
      <c r="T413">
        <f t="shared" si="340"/>
        <v>0</v>
      </c>
      <c r="U413">
        <f t="shared" si="341"/>
        <v>0</v>
      </c>
      <c r="V413">
        <f t="shared" si="342"/>
        <v>0</v>
      </c>
      <c r="W413">
        <f t="shared" si="343"/>
        <v>0</v>
      </c>
      <c r="X413">
        <f t="shared" si="344"/>
        <v>0</v>
      </c>
      <c r="Y413">
        <f t="shared" si="345"/>
        <v>0</v>
      </c>
      <c r="AA413">
        <v>52430918</v>
      </c>
      <c r="AB413">
        <f t="shared" si="346"/>
        <v>110781.14</v>
      </c>
      <c r="AC413">
        <f t="shared" si="347"/>
        <v>110781.14</v>
      </c>
      <c r="AD413">
        <f t="shared" si="348"/>
        <v>0</v>
      </c>
      <c r="AE413">
        <f t="shared" si="349"/>
        <v>0</v>
      </c>
      <c r="AF413">
        <f t="shared" si="350"/>
        <v>0</v>
      </c>
      <c r="AG413">
        <f t="shared" si="351"/>
        <v>0</v>
      </c>
      <c r="AH413">
        <f t="shared" si="352"/>
        <v>0</v>
      </c>
      <c r="AI413">
        <f t="shared" si="353"/>
        <v>0</v>
      </c>
      <c r="AJ413">
        <f t="shared" si="354"/>
        <v>0</v>
      </c>
      <c r="AK413">
        <v>110781.14</v>
      </c>
      <c r="AL413">
        <v>110781.14</v>
      </c>
      <c r="AM413">
        <v>0</v>
      </c>
      <c r="AN413">
        <v>0</v>
      </c>
      <c r="AO413">
        <v>0</v>
      </c>
      <c r="AP413">
        <v>0</v>
      </c>
      <c r="AQ413">
        <v>0</v>
      </c>
      <c r="AR413">
        <v>0</v>
      </c>
      <c r="AS413">
        <v>0</v>
      </c>
      <c r="AT413">
        <v>70</v>
      </c>
      <c r="AU413">
        <v>10</v>
      </c>
      <c r="AV413">
        <v>1</v>
      </c>
      <c r="AW413">
        <v>1</v>
      </c>
      <c r="AZ413">
        <v>1</v>
      </c>
      <c r="BA413">
        <v>1</v>
      </c>
      <c r="BB413">
        <v>1</v>
      </c>
      <c r="BC413">
        <v>1</v>
      </c>
      <c r="BD413" t="s">
        <v>3</v>
      </c>
      <c r="BE413" t="s">
        <v>3</v>
      </c>
      <c r="BF413" t="s">
        <v>3</v>
      </c>
      <c r="BG413" t="s">
        <v>3</v>
      </c>
      <c r="BH413">
        <v>3</v>
      </c>
      <c r="BI413">
        <v>4</v>
      </c>
      <c r="BJ413" t="s">
        <v>102</v>
      </c>
      <c r="BM413">
        <v>0</v>
      </c>
      <c r="BN413">
        <v>0</v>
      </c>
      <c r="BO413" t="s">
        <v>3</v>
      </c>
      <c r="BP413">
        <v>0</v>
      </c>
      <c r="BQ413">
        <v>1</v>
      </c>
      <c r="BR413">
        <v>1</v>
      </c>
      <c r="BS413">
        <v>1</v>
      </c>
      <c r="BT413">
        <v>1</v>
      </c>
      <c r="BU413">
        <v>1</v>
      </c>
      <c r="BV413">
        <v>1</v>
      </c>
      <c r="BW413">
        <v>1</v>
      </c>
      <c r="BX413">
        <v>1</v>
      </c>
      <c r="BY413" t="s">
        <v>3</v>
      </c>
      <c r="BZ413">
        <v>70</v>
      </c>
      <c r="CA413">
        <v>10</v>
      </c>
      <c r="CE413">
        <v>0</v>
      </c>
      <c r="CF413">
        <v>0</v>
      </c>
      <c r="CG413">
        <v>0</v>
      </c>
      <c r="CM413">
        <v>0</v>
      </c>
      <c r="CN413" t="s">
        <v>3</v>
      </c>
      <c r="CO413">
        <v>0</v>
      </c>
      <c r="CP413">
        <f t="shared" si="355"/>
        <v>-66.47</v>
      </c>
      <c r="CQ413">
        <f t="shared" si="356"/>
        <v>110781.14</v>
      </c>
      <c r="CR413">
        <f t="shared" si="357"/>
        <v>0</v>
      </c>
      <c r="CS413">
        <f t="shared" si="358"/>
        <v>0</v>
      </c>
      <c r="CT413">
        <f t="shared" si="359"/>
        <v>0</v>
      </c>
      <c r="CU413">
        <f t="shared" si="360"/>
        <v>0</v>
      </c>
      <c r="CV413">
        <f t="shared" si="361"/>
        <v>0</v>
      </c>
      <c r="CW413">
        <f t="shared" si="362"/>
        <v>0</v>
      </c>
      <c r="CX413">
        <f t="shared" si="363"/>
        <v>0</v>
      </c>
      <c r="CY413">
        <f t="shared" si="364"/>
        <v>0</v>
      </c>
      <c r="CZ413">
        <f t="shared" si="365"/>
        <v>0</v>
      </c>
      <c r="DC413" t="s">
        <v>3</v>
      </c>
      <c r="DD413" t="s">
        <v>3</v>
      </c>
      <c r="DE413" t="s">
        <v>3</v>
      </c>
      <c r="DF413" t="s">
        <v>3</v>
      </c>
      <c r="DG413" t="s">
        <v>3</v>
      </c>
      <c r="DH413" t="s">
        <v>3</v>
      </c>
      <c r="DI413" t="s">
        <v>3</v>
      </c>
      <c r="DJ413" t="s">
        <v>3</v>
      </c>
      <c r="DK413" t="s">
        <v>3</v>
      </c>
      <c r="DL413" t="s">
        <v>3</v>
      </c>
      <c r="DM413" t="s">
        <v>3</v>
      </c>
      <c r="DN413">
        <v>0</v>
      </c>
      <c r="DO413">
        <v>0</v>
      </c>
      <c r="DP413">
        <v>1</v>
      </c>
      <c r="DQ413">
        <v>1</v>
      </c>
      <c r="DU413">
        <v>1009</v>
      </c>
      <c r="DV413" t="s">
        <v>101</v>
      </c>
      <c r="DW413" t="s">
        <v>101</v>
      </c>
      <c r="DX413">
        <v>1000</v>
      </c>
      <c r="EE413">
        <v>52362078</v>
      </c>
      <c r="EF413">
        <v>1</v>
      </c>
      <c r="EG413" t="s">
        <v>22</v>
      </c>
      <c r="EH413">
        <v>0</v>
      </c>
      <c r="EI413" t="s">
        <v>3</v>
      </c>
      <c r="EJ413">
        <v>4</v>
      </c>
      <c r="EK413">
        <v>0</v>
      </c>
      <c r="EL413" t="s">
        <v>23</v>
      </c>
      <c r="EM413" t="s">
        <v>24</v>
      </c>
      <c r="EO413" t="s">
        <v>3</v>
      </c>
      <c r="EQ413">
        <v>32768</v>
      </c>
      <c r="ER413">
        <v>110781.14</v>
      </c>
      <c r="ES413">
        <v>110781.14</v>
      </c>
      <c r="ET413">
        <v>0</v>
      </c>
      <c r="EU413">
        <v>0</v>
      </c>
      <c r="EV413">
        <v>0</v>
      </c>
      <c r="EW413">
        <v>0</v>
      </c>
      <c r="EX413">
        <v>0</v>
      </c>
      <c r="FQ413">
        <v>0</v>
      </c>
      <c r="FR413">
        <f t="shared" si="366"/>
        <v>0</v>
      </c>
      <c r="FS413">
        <v>0</v>
      </c>
      <c r="FX413">
        <v>70</v>
      </c>
      <c r="FY413">
        <v>10</v>
      </c>
      <c r="GA413" t="s">
        <v>3</v>
      </c>
      <c r="GD413">
        <v>0</v>
      </c>
      <c r="GF413">
        <v>-672771621</v>
      </c>
      <c r="GG413">
        <v>2</v>
      </c>
      <c r="GH413">
        <v>1</v>
      </c>
      <c r="GI413">
        <v>-2</v>
      </c>
      <c r="GJ413">
        <v>0</v>
      </c>
      <c r="GK413">
        <f>ROUND(R413*(R12)/100,2)</f>
        <v>0</v>
      </c>
      <c r="GL413">
        <f t="shared" si="367"/>
        <v>0</v>
      </c>
      <c r="GM413">
        <f t="shared" si="368"/>
        <v>-66.47</v>
      </c>
      <c r="GN413">
        <f t="shared" si="369"/>
        <v>0</v>
      </c>
      <c r="GO413">
        <f t="shared" si="370"/>
        <v>0</v>
      </c>
      <c r="GP413">
        <f t="shared" si="371"/>
        <v>-66.47</v>
      </c>
      <c r="GR413">
        <v>0</v>
      </c>
      <c r="GS413">
        <v>3</v>
      </c>
      <c r="GT413">
        <v>0</v>
      </c>
      <c r="GU413" t="s">
        <v>3</v>
      </c>
      <c r="GV413">
        <f t="shared" si="372"/>
        <v>0</v>
      </c>
      <c r="GW413">
        <v>1</v>
      </c>
      <c r="GX413">
        <f t="shared" si="373"/>
        <v>0</v>
      </c>
      <c r="HA413">
        <v>0</v>
      </c>
      <c r="HB413">
        <v>0</v>
      </c>
      <c r="HC413">
        <f t="shared" si="374"/>
        <v>0</v>
      </c>
      <c r="HE413" t="s">
        <v>3</v>
      </c>
      <c r="HF413" t="s">
        <v>3</v>
      </c>
      <c r="IK413">
        <v>0</v>
      </c>
    </row>
    <row r="414" spans="1:245" x14ac:dyDescent="0.2">
      <c r="A414">
        <v>18</v>
      </c>
      <c r="B414">
        <v>1</v>
      </c>
      <c r="C414">
        <v>359</v>
      </c>
      <c r="E414" t="s">
        <v>331</v>
      </c>
      <c r="F414" t="s">
        <v>104</v>
      </c>
      <c r="G414" t="s">
        <v>318</v>
      </c>
      <c r="H414" t="s">
        <v>106</v>
      </c>
      <c r="I414">
        <f>I407*J414</f>
        <v>1</v>
      </c>
      <c r="J414">
        <v>33.333333333333336</v>
      </c>
      <c r="O414">
        <f t="shared" si="335"/>
        <v>56666.67</v>
      </c>
      <c r="P414">
        <f t="shared" si="336"/>
        <v>56666.67</v>
      </c>
      <c r="Q414">
        <f t="shared" si="337"/>
        <v>0</v>
      </c>
      <c r="R414">
        <f t="shared" si="338"/>
        <v>0</v>
      </c>
      <c r="S414">
        <f t="shared" si="339"/>
        <v>0</v>
      </c>
      <c r="T414">
        <f t="shared" si="340"/>
        <v>0</v>
      </c>
      <c r="U414">
        <f t="shared" si="341"/>
        <v>0</v>
      </c>
      <c r="V414">
        <f t="shared" si="342"/>
        <v>0</v>
      </c>
      <c r="W414">
        <f t="shared" si="343"/>
        <v>0</v>
      </c>
      <c r="X414">
        <f t="shared" si="344"/>
        <v>0</v>
      </c>
      <c r="Y414">
        <f t="shared" si="345"/>
        <v>0</v>
      </c>
      <c r="AA414">
        <v>52430918</v>
      </c>
      <c r="AB414">
        <f t="shared" si="346"/>
        <v>56666.67</v>
      </c>
      <c r="AC414">
        <f t="shared" si="347"/>
        <v>56666.67</v>
      </c>
      <c r="AD414">
        <f t="shared" si="348"/>
        <v>0</v>
      </c>
      <c r="AE414">
        <f t="shared" si="349"/>
        <v>0</v>
      </c>
      <c r="AF414">
        <f t="shared" si="350"/>
        <v>0</v>
      </c>
      <c r="AG414">
        <f t="shared" si="351"/>
        <v>0</v>
      </c>
      <c r="AH414">
        <f t="shared" si="352"/>
        <v>0</v>
      </c>
      <c r="AI414">
        <f t="shared" si="353"/>
        <v>0</v>
      </c>
      <c r="AJ414">
        <f t="shared" si="354"/>
        <v>0</v>
      </c>
      <c r="AK414">
        <v>56666.67</v>
      </c>
      <c r="AL414">
        <v>56666.67</v>
      </c>
      <c r="AM414">
        <v>0</v>
      </c>
      <c r="AN414">
        <v>0</v>
      </c>
      <c r="AO414">
        <v>0</v>
      </c>
      <c r="AP414">
        <v>0</v>
      </c>
      <c r="AQ414">
        <v>0</v>
      </c>
      <c r="AR414">
        <v>0</v>
      </c>
      <c r="AS414">
        <v>0</v>
      </c>
      <c r="AT414">
        <v>70</v>
      </c>
      <c r="AU414">
        <v>10</v>
      </c>
      <c r="AV414">
        <v>1</v>
      </c>
      <c r="AW414">
        <v>1</v>
      </c>
      <c r="AZ414">
        <v>1</v>
      </c>
      <c r="BA414">
        <v>1</v>
      </c>
      <c r="BB414">
        <v>1</v>
      </c>
      <c r="BC414">
        <v>1</v>
      </c>
      <c r="BD414" t="s">
        <v>3</v>
      </c>
      <c r="BE414" t="s">
        <v>3</v>
      </c>
      <c r="BF414" t="s">
        <v>3</v>
      </c>
      <c r="BG414" t="s">
        <v>3</v>
      </c>
      <c r="BH414">
        <v>3</v>
      </c>
      <c r="BI414">
        <v>4</v>
      </c>
      <c r="BJ414" t="s">
        <v>3</v>
      </c>
      <c r="BM414">
        <v>0</v>
      </c>
      <c r="BN414">
        <v>0</v>
      </c>
      <c r="BO414" t="s">
        <v>3</v>
      </c>
      <c r="BP414">
        <v>0</v>
      </c>
      <c r="BQ414">
        <v>1</v>
      </c>
      <c r="BR414">
        <v>0</v>
      </c>
      <c r="BS414">
        <v>1</v>
      </c>
      <c r="BT414">
        <v>1</v>
      </c>
      <c r="BU414">
        <v>1</v>
      </c>
      <c r="BV414">
        <v>1</v>
      </c>
      <c r="BW414">
        <v>1</v>
      </c>
      <c r="BX414">
        <v>1</v>
      </c>
      <c r="BY414" t="s">
        <v>3</v>
      </c>
      <c r="BZ414">
        <v>70</v>
      </c>
      <c r="CA414">
        <v>10</v>
      </c>
      <c r="CE414">
        <v>0</v>
      </c>
      <c r="CF414">
        <v>0</v>
      </c>
      <c r="CG414">
        <v>0</v>
      </c>
      <c r="CM414">
        <v>0</v>
      </c>
      <c r="CN414" t="s">
        <v>3</v>
      </c>
      <c r="CO414">
        <v>0</v>
      </c>
      <c r="CP414">
        <f t="shared" si="355"/>
        <v>56666.67</v>
      </c>
      <c r="CQ414">
        <f t="shared" si="356"/>
        <v>56666.67</v>
      </c>
      <c r="CR414">
        <f t="shared" si="357"/>
        <v>0</v>
      </c>
      <c r="CS414">
        <f t="shared" si="358"/>
        <v>0</v>
      </c>
      <c r="CT414">
        <f t="shared" si="359"/>
        <v>0</v>
      </c>
      <c r="CU414">
        <f t="shared" si="360"/>
        <v>0</v>
      </c>
      <c r="CV414">
        <f t="shared" si="361"/>
        <v>0</v>
      </c>
      <c r="CW414">
        <f t="shared" si="362"/>
        <v>0</v>
      </c>
      <c r="CX414">
        <f t="shared" si="363"/>
        <v>0</v>
      </c>
      <c r="CY414">
        <f t="shared" si="364"/>
        <v>0</v>
      </c>
      <c r="CZ414">
        <f t="shared" si="365"/>
        <v>0</v>
      </c>
      <c r="DC414" t="s">
        <v>3</v>
      </c>
      <c r="DD414" t="s">
        <v>3</v>
      </c>
      <c r="DE414" t="s">
        <v>3</v>
      </c>
      <c r="DF414" t="s">
        <v>3</v>
      </c>
      <c r="DG414" t="s">
        <v>3</v>
      </c>
      <c r="DH414" t="s">
        <v>3</v>
      </c>
      <c r="DI414" t="s">
        <v>3</v>
      </c>
      <c r="DJ414" t="s">
        <v>3</v>
      </c>
      <c r="DK414" t="s">
        <v>3</v>
      </c>
      <c r="DL414" t="s">
        <v>3</v>
      </c>
      <c r="DM414" t="s">
        <v>3</v>
      </c>
      <c r="DN414">
        <v>0</v>
      </c>
      <c r="DO414">
        <v>0</v>
      </c>
      <c r="DP414">
        <v>1</v>
      </c>
      <c r="DQ414">
        <v>1</v>
      </c>
      <c r="DU414">
        <v>1010</v>
      </c>
      <c r="DV414" t="s">
        <v>106</v>
      </c>
      <c r="DW414" t="s">
        <v>106</v>
      </c>
      <c r="DX414">
        <v>1</v>
      </c>
      <c r="EE414">
        <v>52362078</v>
      </c>
      <c r="EF414">
        <v>1</v>
      </c>
      <c r="EG414" t="s">
        <v>22</v>
      </c>
      <c r="EH414">
        <v>0</v>
      </c>
      <c r="EI414" t="s">
        <v>3</v>
      </c>
      <c r="EJ414">
        <v>4</v>
      </c>
      <c r="EK414">
        <v>0</v>
      </c>
      <c r="EL414" t="s">
        <v>23</v>
      </c>
      <c r="EM414" t="s">
        <v>24</v>
      </c>
      <c r="EO414" t="s">
        <v>3</v>
      </c>
      <c r="EQ414">
        <v>0</v>
      </c>
      <c r="ER414">
        <v>56666.67</v>
      </c>
      <c r="ES414">
        <v>56666.67</v>
      </c>
      <c r="ET414">
        <v>0</v>
      </c>
      <c r="EU414">
        <v>0</v>
      </c>
      <c r="EV414">
        <v>0</v>
      </c>
      <c r="EW414">
        <v>0</v>
      </c>
      <c r="EX414">
        <v>0</v>
      </c>
      <c r="EZ414">
        <v>5</v>
      </c>
      <c r="FC414">
        <v>1</v>
      </c>
      <c r="FD414">
        <v>18</v>
      </c>
      <c r="FF414">
        <v>68000</v>
      </c>
      <c r="FQ414">
        <v>0</v>
      </c>
      <c r="FR414">
        <f t="shared" si="366"/>
        <v>0</v>
      </c>
      <c r="FS414">
        <v>0</v>
      </c>
      <c r="FX414">
        <v>70</v>
      </c>
      <c r="FY414">
        <v>10</v>
      </c>
      <c r="GA414" t="s">
        <v>319</v>
      </c>
      <c r="GD414">
        <v>0</v>
      </c>
      <c r="GF414">
        <v>728424109</v>
      </c>
      <c r="GG414">
        <v>2</v>
      </c>
      <c r="GH414">
        <v>3</v>
      </c>
      <c r="GI414">
        <v>-2</v>
      </c>
      <c r="GJ414">
        <v>0</v>
      </c>
      <c r="GK414">
        <f>ROUND(R414*(R12)/100,2)</f>
        <v>0</v>
      </c>
      <c r="GL414">
        <f t="shared" si="367"/>
        <v>0</v>
      </c>
      <c r="GM414">
        <f t="shared" si="368"/>
        <v>56666.67</v>
      </c>
      <c r="GN414">
        <f t="shared" si="369"/>
        <v>0</v>
      </c>
      <c r="GO414">
        <f t="shared" si="370"/>
        <v>0</v>
      </c>
      <c r="GP414">
        <f t="shared" si="371"/>
        <v>56666.67</v>
      </c>
      <c r="GR414">
        <v>1</v>
      </c>
      <c r="GS414">
        <v>1</v>
      </c>
      <c r="GT414">
        <v>0</v>
      </c>
      <c r="GU414" t="s">
        <v>3</v>
      </c>
      <c r="GV414">
        <f t="shared" si="372"/>
        <v>0</v>
      </c>
      <c r="GW414">
        <v>1</v>
      </c>
      <c r="GX414">
        <f t="shared" si="373"/>
        <v>0</v>
      </c>
      <c r="HA414">
        <v>0</v>
      </c>
      <c r="HB414">
        <v>0</v>
      </c>
      <c r="HC414">
        <f t="shared" si="374"/>
        <v>0</v>
      </c>
      <c r="HE414" t="s">
        <v>108</v>
      </c>
      <c r="HF414" t="s">
        <v>108</v>
      </c>
      <c r="IK414">
        <v>0</v>
      </c>
    </row>
    <row r="415" spans="1:245" x14ac:dyDescent="0.2">
      <c r="A415">
        <v>18</v>
      </c>
      <c r="B415">
        <v>1</v>
      </c>
      <c r="C415">
        <v>360</v>
      </c>
      <c r="E415" t="s">
        <v>332</v>
      </c>
      <c r="F415" t="s">
        <v>104</v>
      </c>
      <c r="G415" t="s">
        <v>113</v>
      </c>
      <c r="H415" t="s">
        <v>106</v>
      </c>
      <c r="I415">
        <f>I407*J415</f>
        <v>1</v>
      </c>
      <c r="J415">
        <v>33.333333333333336</v>
      </c>
      <c r="O415">
        <f t="shared" si="335"/>
        <v>62333.33</v>
      </c>
      <c r="P415">
        <f t="shared" si="336"/>
        <v>62333.33</v>
      </c>
      <c r="Q415">
        <f t="shared" si="337"/>
        <v>0</v>
      </c>
      <c r="R415">
        <f t="shared" si="338"/>
        <v>0</v>
      </c>
      <c r="S415">
        <f t="shared" si="339"/>
        <v>0</v>
      </c>
      <c r="T415">
        <f t="shared" si="340"/>
        <v>0</v>
      </c>
      <c r="U415">
        <f t="shared" si="341"/>
        <v>0</v>
      </c>
      <c r="V415">
        <f t="shared" si="342"/>
        <v>0</v>
      </c>
      <c r="W415">
        <f t="shared" si="343"/>
        <v>0</v>
      </c>
      <c r="X415">
        <f t="shared" si="344"/>
        <v>0</v>
      </c>
      <c r="Y415">
        <f t="shared" si="345"/>
        <v>0</v>
      </c>
      <c r="AA415">
        <v>52430918</v>
      </c>
      <c r="AB415">
        <f t="shared" si="346"/>
        <v>62333.33</v>
      </c>
      <c r="AC415">
        <f t="shared" si="347"/>
        <v>62333.33</v>
      </c>
      <c r="AD415">
        <f t="shared" si="348"/>
        <v>0</v>
      </c>
      <c r="AE415">
        <f t="shared" si="349"/>
        <v>0</v>
      </c>
      <c r="AF415">
        <f t="shared" si="350"/>
        <v>0</v>
      </c>
      <c r="AG415">
        <f t="shared" si="351"/>
        <v>0</v>
      </c>
      <c r="AH415">
        <f t="shared" si="352"/>
        <v>0</v>
      </c>
      <c r="AI415">
        <f t="shared" si="353"/>
        <v>0</v>
      </c>
      <c r="AJ415">
        <f t="shared" si="354"/>
        <v>0</v>
      </c>
      <c r="AK415">
        <v>62333.33</v>
      </c>
      <c r="AL415">
        <v>62333.33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0</v>
      </c>
      <c r="AS415">
        <v>0</v>
      </c>
      <c r="AT415">
        <v>70</v>
      </c>
      <c r="AU415">
        <v>10</v>
      </c>
      <c r="AV415">
        <v>1</v>
      </c>
      <c r="AW415">
        <v>1</v>
      </c>
      <c r="AZ415">
        <v>1</v>
      </c>
      <c r="BA415">
        <v>1</v>
      </c>
      <c r="BB415">
        <v>1</v>
      </c>
      <c r="BC415">
        <v>1</v>
      </c>
      <c r="BD415" t="s">
        <v>3</v>
      </c>
      <c r="BE415" t="s">
        <v>3</v>
      </c>
      <c r="BF415" t="s">
        <v>3</v>
      </c>
      <c r="BG415" t="s">
        <v>3</v>
      </c>
      <c r="BH415">
        <v>3</v>
      </c>
      <c r="BI415">
        <v>4</v>
      </c>
      <c r="BJ415" t="s">
        <v>3</v>
      </c>
      <c r="BM415">
        <v>0</v>
      </c>
      <c r="BN415">
        <v>0</v>
      </c>
      <c r="BO415" t="s">
        <v>3</v>
      </c>
      <c r="BP415">
        <v>0</v>
      </c>
      <c r="BQ415">
        <v>1</v>
      </c>
      <c r="BR415">
        <v>0</v>
      </c>
      <c r="BS415">
        <v>1</v>
      </c>
      <c r="BT415">
        <v>1</v>
      </c>
      <c r="BU415">
        <v>1</v>
      </c>
      <c r="BV415">
        <v>1</v>
      </c>
      <c r="BW415">
        <v>1</v>
      </c>
      <c r="BX415">
        <v>1</v>
      </c>
      <c r="BY415" t="s">
        <v>3</v>
      </c>
      <c r="BZ415">
        <v>70</v>
      </c>
      <c r="CA415">
        <v>10</v>
      </c>
      <c r="CE415">
        <v>0</v>
      </c>
      <c r="CF415">
        <v>0</v>
      </c>
      <c r="CG415">
        <v>0</v>
      </c>
      <c r="CM415">
        <v>0</v>
      </c>
      <c r="CN415" t="s">
        <v>3</v>
      </c>
      <c r="CO415">
        <v>0</v>
      </c>
      <c r="CP415">
        <f t="shared" si="355"/>
        <v>62333.33</v>
      </c>
      <c r="CQ415">
        <f t="shared" si="356"/>
        <v>62333.33</v>
      </c>
      <c r="CR415">
        <f t="shared" si="357"/>
        <v>0</v>
      </c>
      <c r="CS415">
        <f t="shared" si="358"/>
        <v>0</v>
      </c>
      <c r="CT415">
        <f t="shared" si="359"/>
        <v>0</v>
      </c>
      <c r="CU415">
        <f t="shared" si="360"/>
        <v>0</v>
      </c>
      <c r="CV415">
        <f t="shared" si="361"/>
        <v>0</v>
      </c>
      <c r="CW415">
        <f t="shared" si="362"/>
        <v>0</v>
      </c>
      <c r="CX415">
        <f t="shared" si="363"/>
        <v>0</v>
      </c>
      <c r="CY415">
        <f t="shared" si="364"/>
        <v>0</v>
      </c>
      <c r="CZ415">
        <f t="shared" si="365"/>
        <v>0</v>
      </c>
      <c r="DC415" t="s">
        <v>3</v>
      </c>
      <c r="DD415" t="s">
        <v>3</v>
      </c>
      <c r="DE415" t="s">
        <v>3</v>
      </c>
      <c r="DF415" t="s">
        <v>3</v>
      </c>
      <c r="DG415" t="s">
        <v>3</v>
      </c>
      <c r="DH415" t="s">
        <v>3</v>
      </c>
      <c r="DI415" t="s">
        <v>3</v>
      </c>
      <c r="DJ415" t="s">
        <v>3</v>
      </c>
      <c r="DK415" t="s">
        <v>3</v>
      </c>
      <c r="DL415" t="s">
        <v>3</v>
      </c>
      <c r="DM415" t="s">
        <v>3</v>
      </c>
      <c r="DN415">
        <v>0</v>
      </c>
      <c r="DO415">
        <v>0</v>
      </c>
      <c r="DP415">
        <v>1</v>
      </c>
      <c r="DQ415">
        <v>1</v>
      </c>
      <c r="DU415">
        <v>1010</v>
      </c>
      <c r="DV415" t="s">
        <v>106</v>
      </c>
      <c r="DW415" t="s">
        <v>106</v>
      </c>
      <c r="DX415">
        <v>1</v>
      </c>
      <c r="EE415">
        <v>52362078</v>
      </c>
      <c r="EF415">
        <v>1</v>
      </c>
      <c r="EG415" t="s">
        <v>22</v>
      </c>
      <c r="EH415">
        <v>0</v>
      </c>
      <c r="EI415" t="s">
        <v>3</v>
      </c>
      <c r="EJ415">
        <v>4</v>
      </c>
      <c r="EK415">
        <v>0</v>
      </c>
      <c r="EL415" t="s">
        <v>23</v>
      </c>
      <c r="EM415" t="s">
        <v>24</v>
      </c>
      <c r="EO415" t="s">
        <v>3</v>
      </c>
      <c r="EQ415">
        <v>0</v>
      </c>
      <c r="ER415">
        <v>62333.33</v>
      </c>
      <c r="ES415">
        <v>62333.33</v>
      </c>
      <c r="ET415">
        <v>0</v>
      </c>
      <c r="EU415">
        <v>0</v>
      </c>
      <c r="EV415">
        <v>0</v>
      </c>
      <c r="EW415">
        <v>0</v>
      </c>
      <c r="EX415">
        <v>0</v>
      </c>
      <c r="EZ415">
        <v>5</v>
      </c>
      <c r="FC415">
        <v>1</v>
      </c>
      <c r="FD415">
        <v>18</v>
      </c>
      <c r="FF415">
        <v>74800</v>
      </c>
      <c r="FQ415">
        <v>0</v>
      </c>
      <c r="FR415">
        <f t="shared" si="366"/>
        <v>0</v>
      </c>
      <c r="FS415">
        <v>0</v>
      </c>
      <c r="FX415">
        <v>70</v>
      </c>
      <c r="FY415">
        <v>10</v>
      </c>
      <c r="GA415" t="s">
        <v>114</v>
      </c>
      <c r="GD415">
        <v>0</v>
      </c>
      <c r="GF415">
        <v>1794000053</v>
      </c>
      <c r="GG415">
        <v>2</v>
      </c>
      <c r="GH415">
        <v>3</v>
      </c>
      <c r="GI415">
        <v>-2</v>
      </c>
      <c r="GJ415">
        <v>0</v>
      </c>
      <c r="GK415">
        <f>ROUND(R415*(R12)/100,2)</f>
        <v>0</v>
      </c>
      <c r="GL415">
        <f t="shared" si="367"/>
        <v>0</v>
      </c>
      <c r="GM415">
        <f t="shared" si="368"/>
        <v>62333.33</v>
      </c>
      <c r="GN415">
        <f t="shared" si="369"/>
        <v>0</v>
      </c>
      <c r="GO415">
        <f t="shared" si="370"/>
        <v>0</v>
      </c>
      <c r="GP415">
        <f t="shared" si="371"/>
        <v>62333.33</v>
      </c>
      <c r="GR415">
        <v>1</v>
      </c>
      <c r="GS415">
        <v>1</v>
      </c>
      <c r="GT415">
        <v>0</v>
      </c>
      <c r="GU415" t="s">
        <v>3</v>
      </c>
      <c r="GV415">
        <f t="shared" si="372"/>
        <v>0</v>
      </c>
      <c r="GW415">
        <v>1</v>
      </c>
      <c r="GX415">
        <f t="shared" si="373"/>
        <v>0</v>
      </c>
      <c r="HA415">
        <v>0</v>
      </c>
      <c r="HB415">
        <v>0</v>
      </c>
      <c r="HC415">
        <f t="shared" si="374"/>
        <v>0</v>
      </c>
      <c r="HE415" t="s">
        <v>108</v>
      </c>
      <c r="HF415" t="s">
        <v>108</v>
      </c>
      <c r="IK415">
        <v>0</v>
      </c>
    </row>
    <row r="416" spans="1:245" x14ac:dyDescent="0.2">
      <c r="A416">
        <v>18</v>
      </c>
      <c r="B416">
        <v>1</v>
      </c>
      <c r="C416">
        <v>361</v>
      </c>
      <c r="E416" t="s">
        <v>333</v>
      </c>
      <c r="F416" t="s">
        <v>104</v>
      </c>
      <c r="G416" t="s">
        <v>116</v>
      </c>
      <c r="H416" t="s">
        <v>106</v>
      </c>
      <c r="I416">
        <f>I407*J416</f>
        <v>1</v>
      </c>
      <c r="J416">
        <v>33.333333333333336</v>
      </c>
      <c r="O416">
        <f t="shared" si="335"/>
        <v>12391.67</v>
      </c>
      <c r="P416">
        <f t="shared" si="336"/>
        <v>12391.67</v>
      </c>
      <c r="Q416">
        <f t="shared" si="337"/>
        <v>0</v>
      </c>
      <c r="R416">
        <f t="shared" si="338"/>
        <v>0</v>
      </c>
      <c r="S416">
        <f t="shared" si="339"/>
        <v>0</v>
      </c>
      <c r="T416">
        <f t="shared" si="340"/>
        <v>0</v>
      </c>
      <c r="U416">
        <f t="shared" si="341"/>
        <v>0</v>
      </c>
      <c r="V416">
        <f t="shared" si="342"/>
        <v>0</v>
      </c>
      <c r="W416">
        <f t="shared" si="343"/>
        <v>0</v>
      </c>
      <c r="X416">
        <f t="shared" si="344"/>
        <v>0</v>
      </c>
      <c r="Y416">
        <f t="shared" si="345"/>
        <v>0</v>
      </c>
      <c r="AA416">
        <v>52430918</v>
      </c>
      <c r="AB416">
        <f t="shared" si="346"/>
        <v>12391.67</v>
      </c>
      <c r="AC416">
        <f t="shared" si="347"/>
        <v>12391.67</v>
      </c>
      <c r="AD416">
        <f t="shared" si="348"/>
        <v>0</v>
      </c>
      <c r="AE416">
        <f t="shared" si="349"/>
        <v>0</v>
      </c>
      <c r="AF416">
        <f t="shared" si="350"/>
        <v>0</v>
      </c>
      <c r="AG416">
        <f t="shared" si="351"/>
        <v>0</v>
      </c>
      <c r="AH416">
        <f t="shared" si="352"/>
        <v>0</v>
      </c>
      <c r="AI416">
        <f t="shared" si="353"/>
        <v>0</v>
      </c>
      <c r="AJ416">
        <f t="shared" si="354"/>
        <v>0</v>
      </c>
      <c r="AK416">
        <v>12391.67</v>
      </c>
      <c r="AL416">
        <v>12391.67</v>
      </c>
      <c r="AM416">
        <v>0</v>
      </c>
      <c r="AN416">
        <v>0</v>
      </c>
      <c r="AO416">
        <v>0</v>
      </c>
      <c r="AP416">
        <v>0</v>
      </c>
      <c r="AQ416">
        <v>0</v>
      </c>
      <c r="AR416">
        <v>0</v>
      </c>
      <c r="AS416">
        <v>0</v>
      </c>
      <c r="AT416">
        <v>70</v>
      </c>
      <c r="AU416">
        <v>10</v>
      </c>
      <c r="AV416">
        <v>1</v>
      </c>
      <c r="AW416">
        <v>1</v>
      </c>
      <c r="AZ416">
        <v>1</v>
      </c>
      <c r="BA416">
        <v>1</v>
      </c>
      <c r="BB416">
        <v>1</v>
      </c>
      <c r="BC416">
        <v>1</v>
      </c>
      <c r="BD416" t="s">
        <v>3</v>
      </c>
      <c r="BE416" t="s">
        <v>3</v>
      </c>
      <c r="BF416" t="s">
        <v>3</v>
      </c>
      <c r="BG416" t="s">
        <v>3</v>
      </c>
      <c r="BH416">
        <v>3</v>
      </c>
      <c r="BI416">
        <v>4</v>
      </c>
      <c r="BJ416" t="s">
        <v>3</v>
      </c>
      <c r="BM416">
        <v>0</v>
      </c>
      <c r="BN416">
        <v>0</v>
      </c>
      <c r="BO416" t="s">
        <v>3</v>
      </c>
      <c r="BP416">
        <v>0</v>
      </c>
      <c r="BQ416">
        <v>1</v>
      </c>
      <c r="BR416">
        <v>0</v>
      </c>
      <c r="BS416">
        <v>1</v>
      </c>
      <c r="BT416">
        <v>1</v>
      </c>
      <c r="BU416">
        <v>1</v>
      </c>
      <c r="BV416">
        <v>1</v>
      </c>
      <c r="BW416">
        <v>1</v>
      </c>
      <c r="BX416">
        <v>1</v>
      </c>
      <c r="BY416" t="s">
        <v>3</v>
      </c>
      <c r="BZ416">
        <v>70</v>
      </c>
      <c r="CA416">
        <v>10</v>
      </c>
      <c r="CE416">
        <v>0</v>
      </c>
      <c r="CF416">
        <v>0</v>
      </c>
      <c r="CG416">
        <v>0</v>
      </c>
      <c r="CM416">
        <v>0</v>
      </c>
      <c r="CN416" t="s">
        <v>3</v>
      </c>
      <c r="CO416">
        <v>0</v>
      </c>
      <c r="CP416">
        <f t="shared" si="355"/>
        <v>12391.67</v>
      </c>
      <c r="CQ416">
        <f t="shared" si="356"/>
        <v>12391.67</v>
      </c>
      <c r="CR416">
        <f t="shared" si="357"/>
        <v>0</v>
      </c>
      <c r="CS416">
        <f t="shared" si="358"/>
        <v>0</v>
      </c>
      <c r="CT416">
        <f t="shared" si="359"/>
        <v>0</v>
      </c>
      <c r="CU416">
        <f t="shared" si="360"/>
        <v>0</v>
      </c>
      <c r="CV416">
        <f t="shared" si="361"/>
        <v>0</v>
      </c>
      <c r="CW416">
        <f t="shared" si="362"/>
        <v>0</v>
      </c>
      <c r="CX416">
        <f t="shared" si="363"/>
        <v>0</v>
      </c>
      <c r="CY416">
        <f t="shared" si="364"/>
        <v>0</v>
      </c>
      <c r="CZ416">
        <f t="shared" si="365"/>
        <v>0</v>
      </c>
      <c r="DC416" t="s">
        <v>3</v>
      </c>
      <c r="DD416" t="s">
        <v>3</v>
      </c>
      <c r="DE416" t="s">
        <v>3</v>
      </c>
      <c r="DF416" t="s">
        <v>3</v>
      </c>
      <c r="DG416" t="s">
        <v>3</v>
      </c>
      <c r="DH416" t="s">
        <v>3</v>
      </c>
      <c r="DI416" t="s">
        <v>3</v>
      </c>
      <c r="DJ416" t="s">
        <v>3</v>
      </c>
      <c r="DK416" t="s">
        <v>3</v>
      </c>
      <c r="DL416" t="s">
        <v>3</v>
      </c>
      <c r="DM416" t="s">
        <v>3</v>
      </c>
      <c r="DN416">
        <v>0</v>
      </c>
      <c r="DO416">
        <v>0</v>
      </c>
      <c r="DP416">
        <v>1</v>
      </c>
      <c r="DQ416">
        <v>1</v>
      </c>
      <c r="DU416">
        <v>1010</v>
      </c>
      <c r="DV416" t="s">
        <v>106</v>
      </c>
      <c r="DW416" t="s">
        <v>106</v>
      </c>
      <c r="DX416">
        <v>1</v>
      </c>
      <c r="EE416">
        <v>52362078</v>
      </c>
      <c r="EF416">
        <v>1</v>
      </c>
      <c r="EG416" t="s">
        <v>22</v>
      </c>
      <c r="EH416">
        <v>0</v>
      </c>
      <c r="EI416" t="s">
        <v>3</v>
      </c>
      <c r="EJ416">
        <v>4</v>
      </c>
      <c r="EK416">
        <v>0</v>
      </c>
      <c r="EL416" t="s">
        <v>23</v>
      </c>
      <c r="EM416" t="s">
        <v>24</v>
      </c>
      <c r="EO416" t="s">
        <v>3</v>
      </c>
      <c r="EQ416">
        <v>0</v>
      </c>
      <c r="ER416">
        <v>12391.67</v>
      </c>
      <c r="ES416">
        <v>12391.67</v>
      </c>
      <c r="ET416">
        <v>0</v>
      </c>
      <c r="EU416">
        <v>0</v>
      </c>
      <c r="EV416">
        <v>0</v>
      </c>
      <c r="EW416">
        <v>0</v>
      </c>
      <c r="EX416">
        <v>0</v>
      </c>
      <c r="EZ416">
        <v>5</v>
      </c>
      <c r="FC416">
        <v>1</v>
      </c>
      <c r="FD416">
        <v>18</v>
      </c>
      <c r="FF416">
        <v>14870</v>
      </c>
      <c r="FQ416">
        <v>0</v>
      </c>
      <c r="FR416">
        <f t="shared" si="366"/>
        <v>0</v>
      </c>
      <c r="FS416">
        <v>0</v>
      </c>
      <c r="FX416">
        <v>70</v>
      </c>
      <c r="FY416">
        <v>10</v>
      </c>
      <c r="GA416" t="s">
        <v>117</v>
      </c>
      <c r="GD416">
        <v>0</v>
      </c>
      <c r="GF416">
        <v>-106681237</v>
      </c>
      <c r="GG416">
        <v>2</v>
      </c>
      <c r="GH416">
        <v>3</v>
      </c>
      <c r="GI416">
        <v>-2</v>
      </c>
      <c r="GJ416">
        <v>0</v>
      </c>
      <c r="GK416">
        <f>ROUND(R416*(R12)/100,2)</f>
        <v>0</v>
      </c>
      <c r="GL416">
        <f t="shared" si="367"/>
        <v>0</v>
      </c>
      <c r="GM416">
        <f t="shared" si="368"/>
        <v>12391.67</v>
      </c>
      <c r="GN416">
        <f t="shared" si="369"/>
        <v>0</v>
      </c>
      <c r="GO416">
        <f t="shared" si="370"/>
        <v>0</v>
      </c>
      <c r="GP416">
        <f t="shared" si="371"/>
        <v>12391.67</v>
      </c>
      <c r="GR416">
        <v>1</v>
      </c>
      <c r="GS416">
        <v>1</v>
      </c>
      <c r="GT416">
        <v>0</v>
      </c>
      <c r="GU416" t="s">
        <v>3</v>
      </c>
      <c r="GV416">
        <f t="shared" si="372"/>
        <v>0</v>
      </c>
      <c r="GW416">
        <v>1</v>
      </c>
      <c r="GX416">
        <f t="shared" si="373"/>
        <v>0</v>
      </c>
      <c r="HA416">
        <v>0</v>
      </c>
      <c r="HB416">
        <v>0</v>
      </c>
      <c r="HC416">
        <f t="shared" si="374"/>
        <v>0</v>
      </c>
      <c r="HE416" t="s">
        <v>108</v>
      </c>
      <c r="HF416" t="s">
        <v>108</v>
      </c>
      <c r="IK416">
        <v>0</v>
      </c>
    </row>
    <row r="418" spans="1:206" x14ac:dyDescent="0.2">
      <c r="A418" s="2">
        <v>51</v>
      </c>
      <c r="B418" s="2">
        <f>B403</f>
        <v>1</v>
      </c>
      <c r="C418" s="2">
        <f>A403</f>
        <v>5</v>
      </c>
      <c r="D418" s="2">
        <f>ROW(A403)</f>
        <v>403</v>
      </c>
      <c r="E418" s="2"/>
      <c r="F418" s="2" t="str">
        <f>IF(F403&lt;&gt;"",F403,"")</f>
        <v>Новый подраздел</v>
      </c>
      <c r="G418" s="2" t="str">
        <f>IF(G403&lt;&gt;"",G403,"")</f>
        <v>Установка МАФов площадка группы № 7</v>
      </c>
      <c r="H418" s="2">
        <v>0</v>
      </c>
      <c r="I418" s="2"/>
      <c r="J418" s="2"/>
      <c r="K418" s="2"/>
      <c r="L418" s="2"/>
      <c r="M418" s="2"/>
      <c r="N418" s="2"/>
      <c r="O418" s="2">
        <f t="shared" ref="O418:T418" si="375">ROUND(AB418,2)</f>
        <v>138262.63</v>
      </c>
      <c r="P418" s="2">
        <f t="shared" si="375"/>
        <v>131393.16</v>
      </c>
      <c r="Q418" s="2">
        <f t="shared" si="375"/>
        <v>-0.01</v>
      </c>
      <c r="R418" s="2">
        <f t="shared" si="375"/>
        <v>0</v>
      </c>
      <c r="S418" s="2">
        <f t="shared" si="375"/>
        <v>6869.48</v>
      </c>
      <c r="T418" s="2">
        <f t="shared" si="375"/>
        <v>0</v>
      </c>
      <c r="U418" s="2">
        <f>AH418</f>
        <v>27.0825</v>
      </c>
      <c r="V418" s="2">
        <f>AI418</f>
        <v>0</v>
      </c>
      <c r="W418" s="2">
        <f>ROUND(AJ418,2)</f>
        <v>0</v>
      </c>
      <c r="X418" s="2">
        <f>ROUND(AK418,2)</f>
        <v>4808.6400000000003</v>
      </c>
      <c r="Y418" s="2">
        <f>ROUND(AL418,2)</f>
        <v>686.95</v>
      </c>
      <c r="Z418" s="2"/>
      <c r="AA418" s="2"/>
      <c r="AB418" s="2">
        <f>ROUND(SUMIF(AA407:AA416,"=52430918",O407:O416),2)</f>
        <v>138262.63</v>
      </c>
      <c r="AC418" s="2">
        <f>ROUND(SUMIF(AA407:AA416,"=52430918",P407:P416),2)</f>
        <v>131393.16</v>
      </c>
      <c r="AD418" s="2">
        <f>ROUND(SUMIF(AA407:AA416,"=52430918",Q407:Q416),2)</f>
        <v>-0.01</v>
      </c>
      <c r="AE418" s="2">
        <f>ROUND(SUMIF(AA407:AA416,"=52430918",R407:R416),2)</f>
        <v>0</v>
      </c>
      <c r="AF418" s="2">
        <f>ROUND(SUMIF(AA407:AA416,"=52430918",S407:S416),2)</f>
        <v>6869.48</v>
      </c>
      <c r="AG418" s="2">
        <f>ROUND(SUMIF(AA407:AA416,"=52430918",T407:T416),2)</f>
        <v>0</v>
      </c>
      <c r="AH418" s="2">
        <f>SUMIF(AA407:AA416,"=52430918",U407:U416)</f>
        <v>27.0825</v>
      </c>
      <c r="AI418" s="2">
        <f>SUMIF(AA407:AA416,"=52430918",V407:V416)</f>
        <v>0</v>
      </c>
      <c r="AJ418" s="2">
        <f>ROUND(SUMIF(AA407:AA416,"=52430918",W407:W416),2)</f>
        <v>0</v>
      </c>
      <c r="AK418" s="2">
        <f>ROUND(SUMIF(AA407:AA416,"=52430918",X407:X416),2)</f>
        <v>4808.6400000000003</v>
      </c>
      <c r="AL418" s="2">
        <f>ROUND(SUMIF(AA407:AA416,"=52430918",Y407:Y416),2)</f>
        <v>686.95</v>
      </c>
      <c r="AM418" s="2"/>
      <c r="AN418" s="2"/>
      <c r="AO418" s="2">
        <f t="shared" ref="AO418:BD418" si="376">ROUND(BX418,2)</f>
        <v>0</v>
      </c>
      <c r="AP418" s="2">
        <f t="shared" si="376"/>
        <v>0</v>
      </c>
      <c r="AQ418" s="2">
        <f t="shared" si="376"/>
        <v>0</v>
      </c>
      <c r="AR418" s="2">
        <f t="shared" si="376"/>
        <v>143758.22</v>
      </c>
      <c r="AS418" s="2">
        <f t="shared" si="376"/>
        <v>0</v>
      </c>
      <c r="AT418" s="2">
        <f t="shared" si="376"/>
        <v>0</v>
      </c>
      <c r="AU418" s="2">
        <f t="shared" si="376"/>
        <v>143758.22</v>
      </c>
      <c r="AV418" s="2">
        <f t="shared" si="376"/>
        <v>131393.16</v>
      </c>
      <c r="AW418" s="2">
        <f t="shared" si="376"/>
        <v>131393.16</v>
      </c>
      <c r="AX418" s="2">
        <f t="shared" si="376"/>
        <v>0</v>
      </c>
      <c r="AY418" s="2">
        <f t="shared" si="376"/>
        <v>131393.16</v>
      </c>
      <c r="AZ418" s="2">
        <f t="shared" si="376"/>
        <v>0</v>
      </c>
      <c r="BA418" s="2">
        <f t="shared" si="376"/>
        <v>0</v>
      </c>
      <c r="BB418" s="2">
        <f t="shared" si="376"/>
        <v>0</v>
      </c>
      <c r="BC418" s="2">
        <f t="shared" si="376"/>
        <v>0</v>
      </c>
      <c r="BD418" s="2">
        <f t="shared" si="376"/>
        <v>0</v>
      </c>
      <c r="BE418" s="2"/>
      <c r="BF418" s="2"/>
      <c r="BG418" s="2"/>
      <c r="BH418" s="2"/>
      <c r="BI418" s="2"/>
      <c r="BJ418" s="2"/>
      <c r="BK418" s="2"/>
      <c r="BL418" s="2"/>
      <c r="BM418" s="2"/>
      <c r="BN418" s="2"/>
      <c r="BO418" s="2"/>
      <c r="BP418" s="2"/>
      <c r="BQ418" s="2"/>
      <c r="BR418" s="2"/>
      <c r="BS418" s="2"/>
      <c r="BT418" s="2"/>
      <c r="BU418" s="2"/>
      <c r="BV418" s="2"/>
      <c r="BW418" s="2"/>
      <c r="BX418" s="2">
        <f>ROUND(SUMIF(AA407:AA416,"=52430918",FQ407:FQ416),2)</f>
        <v>0</v>
      </c>
      <c r="BY418" s="2">
        <f>ROUND(SUMIF(AA407:AA416,"=52430918",FR407:FR416),2)</f>
        <v>0</v>
      </c>
      <c r="BZ418" s="2">
        <f>ROUND(SUMIF(AA407:AA416,"=52430918",GL407:GL416),2)</f>
        <v>0</v>
      </c>
      <c r="CA418" s="2">
        <f>ROUND(SUMIF(AA407:AA416,"=52430918",GM407:GM416),2)</f>
        <v>143758.22</v>
      </c>
      <c r="CB418" s="2">
        <f>ROUND(SUMIF(AA407:AA416,"=52430918",GN407:GN416),2)</f>
        <v>0</v>
      </c>
      <c r="CC418" s="2">
        <f>ROUND(SUMIF(AA407:AA416,"=52430918",GO407:GO416),2)</f>
        <v>0</v>
      </c>
      <c r="CD418" s="2">
        <f>ROUND(SUMIF(AA407:AA416,"=52430918",GP407:GP416),2)</f>
        <v>143758.22</v>
      </c>
      <c r="CE418" s="2">
        <f>AC418-BX418</f>
        <v>131393.16</v>
      </c>
      <c r="CF418" s="2">
        <f>AC418-BY418</f>
        <v>131393.16</v>
      </c>
      <c r="CG418" s="2">
        <f>BX418-BZ418</f>
        <v>0</v>
      </c>
      <c r="CH418" s="2">
        <f>AC418-BX418-BY418+BZ418</f>
        <v>131393.16</v>
      </c>
      <c r="CI418" s="2">
        <f>BY418-BZ418</f>
        <v>0</v>
      </c>
      <c r="CJ418" s="2">
        <f>ROUND(SUMIF(AA407:AA416,"=52430918",GX407:GX416),2)</f>
        <v>0</v>
      </c>
      <c r="CK418" s="2">
        <f>ROUND(SUMIF(AA407:AA416,"=52430918",GY407:GY416),2)</f>
        <v>0</v>
      </c>
      <c r="CL418" s="2">
        <f>ROUND(SUMIF(AA407:AA416,"=52430918",GZ407:GZ416),2)</f>
        <v>0</v>
      </c>
      <c r="CM418" s="2">
        <f>ROUND(SUMIF(AA407:AA416,"=52430918",HD407:HD416),2)</f>
        <v>0</v>
      </c>
      <c r="CN418" s="2"/>
      <c r="CO418" s="2"/>
      <c r="CP418" s="2"/>
      <c r="CQ418" s="2"/>
      <c r="CR418" s="2"/>
      <c r="CS418" s="2"/>
      <c r="CT418" s="2"/>
      <c r="CU418" s="2"/>
      <c r="CV418" s="2"/>
      <c r="CW418" s="2"/>
      <c r="CX418" s="2"/>
      <c r="CY418" s="2"/>
      <c r="CZ418" s="2"/>
      <c r="DA418" s="2"/>
      <c r="DB418" s="2"/>
      <c r="DC418" s="2"/>
      <c r="DD418" s="2"/>
      <c r="DE418" s="2"/>
      <c r="DF418" s="2"/>
      <c r="DG418" s="3"/>
      <c r="DH418" s="3"/>
      <c r="DI418" s="3"/>
      <c r="DJ418" s="3"/>
      <c r="DK418" s="3"/>
      <c r="DL418" s="3"/>
      <c r="DM418" s="3"/>
      <c r="DN418" s="3"/>
      <c r="DO418" s="3"/>
      <c r="DP418" s="3"/>
      <c r="DQ418" s="3"/>
      <c r="DR418" s="3"/>
      <c r="DS418" s="3"/>
      <c r="DT418" s="3"/>
      <c r="DU418" s="3"/>
      <c r="DV418" s="3"/>
      <c r="DW418" s="3"/>
      <c r="DX418" s="3"/>
      <c r="DY418" s="3"/>
      <c r="DZ418" s="3"/>
      <c r="EA418" s="3"/>
      <c r="EB418" s="3"/>
      <c r="EC418" s="3"/>
      <c r="ED418" s="3"/>
      <c r="EE418" s="3"/>
      <c r="EF418" s="3"/>
      <c r="EG418" s="3"/>
      <c r="EH418" s="3"/>
      <c r="EI418" s="3"/>
      <c r="EJ418" s="3"/>
      <c r="EK418" s="3"/>
      <c r="EL418" s="3"/>
      <c r="EM418" s="3"/>
      <c r="EN418" s="3"/>
      <c r="EO418" s="3"/>
      <c r="EP418" s="3"/>
      <c r="EQ418" s="3"/>
      <c r="ER418" s="3"/>
      <c r="ES418" s="3"/>
      <c r="ET418" s="3"/>
      <c r="EU418" s="3"/>
      <c r="EV418" s="3"/>
      <c r="EW418" s="3"/>
      <c r="EX418" s="3"/>
      <c r="EY418" s="3"/>
      <c r="EZ418" s="3"/>
      <c r="FA418" s="3"/>
      <c r="FB418" s="3"/>
      <c r="FC418" s="3"/>
      <c r="FD418" s="3"/>
      <c r="FE418" s="3"/>
      <c r="FF418" s="3"/>
      <c r="FG418" s="3"/>
      <c r="FH418" s="3"/>
      <c r="FI418" s="3"/>
      <c r="FJ418" s="3"/>
      <c r="FK418" s="3"/>
      <c r="FL418" s="3"/>
      <c r="FM418" s="3"/>
      <c r="FN418" s="3"/>
      <c r="FO418" s="3"/>
      <c r="FP418" s="3"/>
      <c r="FQ418" s="3"/>
      <c r="FR418" s="3"/>
      <c r="FS418" s="3"/>
      <c r="FT418" s="3"/>
      <c r="FU418" s="3"/>
      <c r="FV418" s="3"/>
      <c r="FW418" s="3"/>
      <c r="FX418" s="3"/>
      <c r="FY418" s="3"/>
      <c r="FZ418" s="3"/>
      <c r="GA418" s="3"/>
      <c r="GB418" s="3"/>
      <c r="GC418" s="3"/>
      <c r="GD418" s="3"/>
      <c r="GE418" s="3"/>
      <c r="GF418" s="3"/>
      <c r="GG418" s="3"/>
      <c r="GH418" s="3"/>
      <c r="GI418" s="3"/>
      <c r="GJ418" s="3"/>
      <c r="GK418" s="3"/>
      <c r="GL418" s="3"/>
      <c r="GM418" s="3"/>
      <c r="GN418" s="3"/>
      <c r="GO418" s="3"/>
      <c r="GP418" s="3"/>
      <c r="GQ418" s="3"/>
      <c r="GR418" s="3"/>
      <c r="GS418" s="3"/>
      <c r="GT418" s="3"/>
      <c r="GU418" s="3"/>
      <c r="GV418" s="3"/>
      <c r="GW418" s="3"/>
      <c r="GX418" s="3">
        <v>0</v>
      </c>
    </row>
    <row r="420" spans="1:206" x14ac:dyDescent="0.2">
      <c r="A420" s="4">
        <v>50</v>
      </c>
      <c r="B420" s="4">
        <v>0</v>
      </c>
      <c r="C420" s="4">
        <v>0</v>
      </c>
      <c r="D420" s="4">
        <v>1</v>
      </c>
      <c r="E420" s="4">
        <v>201</v>
      </c>
      <c r="F420" s="4">
        <f>ROUND(Source!O418,O420)</f>
        <v>138262.63</v>
      </c>
      <c r="G420" s="4" t="s">
        <v>118</v>
      </c>
      <c r="H420" s="4" t="s">
        <v>119</v>
      </c>
      <c r="I420" s="4"/>
      <c r="J420" s="4"/>
      <c r="K420" s="4">
        <v>201</v>
      </c>
      <c r="L420" s="4">
        <v>1</v>
      </c>
      <c r="M420" s="4">
        <v>3</v>
      </c>
      <c r="N420" s="4" t="s">
        <v>3</v>
      </c>
      <c r="O420" s="4">
        <v>2</v>
      </c>
      <c r="P420" s="4"/>
      <c r="Q420" s="4"/>
      <c r="R420" s="4"/>
      <c r="S420" s="4"/>
      <c r="T420" s="4"/>
      <c r="U420" s="4"/>
      <c r="V420" s="4"/>
      <c r="W420" s="4"/>
    </row>
    <row r="421" spans="1:206" x14ac:dyDescent="0.2">
      <c r="A421" s="4">
        <v>50</v>
      </c>
      <c r="B421" s="4">
        <v>0</v>
      </c>
      <c r="C421" s="4">
        <v>0</v>
      </c>
      <c r="D421" s="4">
        <v>1</v>
      </c>
      <c r="E421" s="4">
        <v>202</v>
      </c>
      <c r="F421" s="4">
        <f>ROUND(Source!P418,O421)</f>
        <v>131393.16</v>
      </c>
      <c r="G421" s="4" t="s">
        <v>120</v>
      </c>
      <c r="H421" s="4" t="s">
        <v>121</v>
      </c>
      <c r="I421" s="4"/>
      <c r="J421" s="4"/>
      <c r="K421" s="4">
        <v>202</v>
      </c>
      <c r="L421" s="4">
        <v>2</v>
      </c>
      <c r="M421" s="4">
        <v>3</v>
      </c>
      <c r="N421" s="4" t="s">
        <v>3</v>
      </c>
      <c r="O421" s="4">
        <v>2</v>
      </c>
      <c r="P421" s="4"/>
      <c r="Q421" s="4"/>
      <c r="R421" s="4"/>
      <c r="S421" s="4"/>
      <c r="T421" s="4"/>
      <c r="U421" s="4"/>
      <c r="V421" s="4"/>
      <c r="W421" s="4"/>
    </row>
    <row r="422" spans="1:206" x14ac:dyDescent="0.2">
      <c r="A422" s="4">
        <v>50</v>
      </c>
      <c r="B422" s="4">
        <v>0</v>
      </c>
      <c r="C422" s="4">
        <v>0</v>
      </c>
      <c r="D422" s="4">
        <v>1</v>
      </c>
      <c r="E422" s="4">
        <v>222</v>
      </c>
      <c r="F422" s="4">
        <f>ROUND(Source!AO418,O422)</f>
        <v>0</v>
      </c>
      <c r="G422" s="4" t="s">
        <v>122</v>
      </c>
      <c r="H422" s="4" t="s">
        <v>123</v>
      </c>
      <c r="I422" s="4"/>
      <c r="J422" s="4"/>
      <c r="K422" s="4">
        <v>222</v>
      </c>
      <c r="L422" s="4">
        <v>3</v>
      </c>
      <c r="M422" s="4">
        <v>3</v>
      </c>
      <c r="N422" s="4" t="s">
        <v>3</v>
      </c>
      <c r="O422" s="4">
        <v>2</v>
      </c>
      <c r="P422" s="4"/>
      <c r="Q422" s="4"/>
      <c r="R422" s="4"/>
      <c r="S422" s="4"/>
      <c r="T422" s="4"/>
      <c r="U422" s="4"/>
      <c r="V422" s="4"/>
      <c r="W422" s="4"/>
    </row>
    <row r="423" spans="1:206" x14ac:dyDescent="0.2">
      <c r="A423" s="4">
        <v>50</v>
      </c>
      <c r="B423" s="4">
        <v>0</v>
      </c>
      <c r="C423" s="4">
        <v>0</v>
      </c>
      <c r="D423" s="4">
        <v>1</v>
      </c>
      <c r="E423" s="4">
        <v>225</v>
      </c>
      <c r="F423" s="4">
        <f>ROUND(Source!AV418,O423)</f>
        <v>131393.16</v>
      </c>
      <c r="G423" s="4" t="s">
        <v>124</v>
      </c>
      <c r="H423" s="4" t="s">
        <v>125</v>
      </c>
      <c r="I423" s="4"/>
      <c r="J423" s="4"/>
      <c r="K423" s="4">
        <v>225</v>
      </c>
      <c r="L423" s="4">
        <v>4</v>
      </c>
      <c r="M423" s="4">
        <v>3</v>
      </c>
      <c r="N423" s="4" t="s">
        <v>3</v>
      </c>
      <c r="O423" s="4">
        <v>2</v>
      </c>
      <c r="P423" s="4"/>
      <c r="Q423" s="4"/>
      <c r="R423" s="4"/>
      <c r="S423" s="4"/>
      <c r="T423" s="4"/>
      <c r="U423" s="4"/>
      <c r="V423" s="4"/>
      <c r="W423" s="4"/>
    </row>
    <row r="424" spans="1:206" x14ac:dyDescent="0.2">
      <c r="A424" s="4">
        <v>50</v>
      </c>
      <c r="B424" s="4">
        <v>0</v>
      </c>
      <c r="C424" s="4">
        <v>0</v>
      </c>
      <c r="D424" s="4">
        <v>1</v>
      </c>
      <c r="E424" s="4">
        <v>226</v>
      </c>
      <c r="F424" s="4">
        <f>ROUND(Source!AW418,O424)</f>
        <v>131393.16</v>
      </c>
      <c r="G424" s="4" t="s">
        <v>126</v>
      </c>
      <c r="H424" s="4" t="s">
        <v>127</v>
      </c>
      <c r="I424" s="4"/>
      <c r="J424" s="4"/>
      <c r="K424" s="4">
        <v>226</v>
      </c>
      <c r="L424" s="4">
        <v>5</v>
      </c>
      <c r="M424" s="4">
        <v>3</v>
      </c>
      <c r="N424" s="4" t="s">
        <v>3</v>
      </c>
      <c r="O424" s="4">
        <v>2</v>
      </c>
      <c r="P424" s="4"/>
      <c r="Q424" s="4"/>
      <c r="R424" s="4"/>
      <c r="S424" s="4"/>
      <c r="T424" s="4"/>
      <c r="U424" s="4"/>
      <c r="V424" s="4"/>
      <c r="W424" s="4"/>
    </row>
    <row r="425" spans="1:206" x14ac:dyDescent="0.2">
      <c r="A425" s="4">
        <v>50</v>
      </c>
      <c r="B425" s="4">
        <v>0</v>
      </c>
      <c r="C425" s="4">
        <v>0</v>
      </c>
      <c r="D425" s="4">
        <v>1</v>
      </c>
      <c r="E425" s="4">
        <v>227</v>
      </c>
      <c r="F425" s="4">
        <f>ROUND(Source!AX418,O425)</f>
        <v>0</v>
      </c>
      <c r="G425" s="4" t="s">
        <v>128</v>
      </c>
      <c r="H425" s="4" t="s">
        <v>129</v>
      </c>
      <c r="I425" s="4"/>
      <c r="J425" s="4"/>
      <c r="K425" s="4">
        <v>227</v>
      </c>
      <c r="L425" s="4">
        <v>6</v>
      </c>
      <c r="M425" s="4">
        <v>3</v>
      </c>
      <c r="N425" s="4" t="s">
        <v>3</v>
      </c>
      <c r="O425" s="4">
        <v>2</v>
      </c>
      <c r="P425" s="4"/>
      <c r="Q425" s="4"/>
      <c r="R425" s="4"/>
      <c r="S425" s="4"/>
      <c r="T425" s="4"/>
      <c r="U425" s="4"/>
      <c r="V425" s="4"/>
      <c r="W425" s="4"/>
    </row>
    <row r="426" spans="1:206" x14ac:dyDescent="0.2">
      <c r="A426" s="4">
        <v>50</v>
      </c>
      <c r="B426" s="4">
        <v>0</v>
      </c>
      <c r="C426" s="4">
        <v>0</v>
      </c>
      <c r="D426" s="4">
        <v>1</v>
      </c>
      <c r="E426" s="4">
        <v>228</v>
      </c>
      <c r="F426" s="4">
        <f>ROUND(Source!AY418,O426)</f>
        <v>131393.16</v>
      </c>
      <c r="G426" s="4" t="s">
        <v>130</v>
      </c>
      <c r="H426" s="4" t="s">
        <v>131</v>
      </c>
      <c r="I426" s="4"/>
      <c r="J426" s="4"/>
      <c r="K426" s="4">
        <v>228</v>
      </c>
      <c r="L426" s="4">
        <v>7</v>
      </c>
      <c r="M426" s="4">
        <v>3</v>
      </c>
      <c r="N426" s="4" t="s">
        <v>3</v>
      </c>
      <c r="O426" s="4">
        <v>2</v>
      </c>
      <c r="P426" s="4"/>
      <c r="Q426" s="4"/>
      <c r="R426" s="4"/>
      <c r="S426" s="4"/>
      <c r="T426" s="4"/>
      <c r="U426" s="4"/>
      <c r="V426" s="4"/>
      <c r="W426" s="4"/>
    </row>
    <row r="427" spans="1:206" x14ac:dyDescent="0.2">
      <c r="A427" s="4">
        <v>50</v>
      </c>
      <c r="B427" s="4">
        <v>0</v>
      </c>
      <c r="C427" s="4">
        <v>0</v>
      </c>
      <c r="D427" s="4">
        <v>1</v>
      </c>
      <c r="E427" s="4">
        <v>216</v>
      </c>
      <c r="F427" s="4">
        <f>ROUND(Source!AP418,O427)</f>
        <v>0</v>
      </c>
      <c r="G427" s="4" t="s">
        <v>132</v>
      </c>
      <c r="H427" s="4" t="s">
        <v>133</v>
      </c>
      <c r="I427" s="4"/>
      <c r="J427" s="4"/>
      <c r="K427" s="4">
        <v>216</v>
      </c>
      <c r="L427" s="4">
        <v>8</v>
      </c>
      <c r="M427" s="4">
        <v>3</v>
      </c>
      <c r="N427" s="4" t="s">
        <v>3</v>
      </c>
      <c r="O427" s="4">
        <v>2</v>
      </c>
      <c r="P427" s="4"/>
      <c r="Q427" s="4"/>
      <c r="R427" s="4"/>
      <c r="S427" s="4"/>
      <c r="T427" s="4"/>
      <c r="U427" s="4"/>
      <c r="V427" s="4"/>
      <c r="W427" s="4"/>
    </row>
    <row r="428" spans="1:206" x14ac:dyDescent="0.2">
      <c r="A428" s="4">
        <v>50</v>
      </c>
      <c r="B428" s="4">
        <v>0</v>
      </c>
      <c r="C428" s="4">
        <v>0</v>
      </c>
      <c r="D428" s="4">
        <v>1</v>
      </c>
      <c r="E428" s="4">
        <v>223</v>
      </c>
      <c r="F428" s="4">
        <f>ROUND(Source!AQ418,O428)</f>
        <v>0</v>
      </c>
      <c r="G428" s="4" t="s">
        <v>134</v>
      </c>
      <c r="H428" s="4" t="s">
        <v>135</v>
      </c>
      <c r="I428" s="4"/>
      <c r="J428" s="4"/>
      <c r="K428" s="4">
        <v>223</v>
      </c>
      <c r="L428" s="4">
        <v>9</v>
      </c>
      <c r="M428" s="4">
        <v>3</v>
      </c>
      <c r="N428" s="4" t="s">
        <v>3</v>
      </c>
      <c r="O428" s="4">
        <v>2</v>
      </c>
      <c r="P428" s="4"/>
      <c r="Q428" s="4"/>
      <c r="R428" s="4"/>
      <c r="S428" s="4"/>
      <c r="T428" s="4"/>
      <c r="U428" s="4"/>
      <c r="V428" s="4"/>
      <c r="W428" s="4"/>
    </row>
    <row r="429" spans="1:206" x14ac:dyDescent="0.2">
      <c r="A429" s="4">
        <v>50</v>
      </c>
      <c r="B429" s="4">
        <v>0</v>
      </c>
      <c r="C429" s="4">
        <v>0</v>
      </c>
      <c r="D429" s="4">
        <v>1</v>
      </c>
      <c r="E429" s="4">
        <v>229</v>
      </c>
      <c r="F429" s="4">
        <f>ROUND(Source!AZ418,O429)</f>
        <v>0</v>
      </c>
      <c r="G429" s="4" t="s">
        <v>136</v>
      </c>
      <c r="H429" s="4" t="s">
        <v>137</v>
      </c>
      <c r="I429" s="4"/>
      <c r="J429" s="4"/>
      <c r="K429" s="4">
        <v>229</v>
      </c>
      <c r="L429" s="4">
        <v>10</v>
      </c>
      <c r="M429" s="4">
        <v>3</v>
      </c>
      <c r="N429" s="4" t="s">
        <v>3</v>
      </c>
      <c r="O429" s="4">
        <v>2</v>
      </c>
      <c r="P429" s="4"/>
      <c r="Q429" s="4"/>
      <c r="R429" s="4"/>
      <c r="S429" s="4"/>
      <c r="T429" s="4"/>
      <c r="U429" s="4"/>
      <c r="V429" s="4"/>
      <c r="W429" s="4"/>
    </row>
    <row r="430" spans="1:206" x14ac:dyDescent="0.2">
      <c r="A430" s="4">
        <v>50</v>
      </c>
      <c r="B430" s="4">
        <v>0</v>
      </c>
      <c r="C430" s="4">
        <v>0</v>
      </c>
      <c r="D430" s="4">
        <v>1</v>
      </c>
      <c r="E430" s="4">
        <v>203</v>
      </c>
      <c r="F430" s="4">
        <f>ROUND(Source!Q418,O430)</f>
        <v>-0.01</v>
      </c>
      <c r="G430" s="4" t="s">
        <v>138</v>
      </c>
      <c r="H430" s="4" t="s">
        <v>139</v>
      </c>
      <c r="I430" s="4"/>
      <c r="J430" s="4"/>
      <c r="K430" s="4">
        <v>203</v>
      </c>
      <c r="L430" s="4">
        <v>11</v>
      </c>
      <c r="M430" s="4">
        <v>3</v>
      </c>
      <c r="N430" s="4" t="s">
        <v>3</v>
      </c>
      <c r="O430" s="4">
        <v>2</v>
      </c>
      <c r="P430" s="4"/>
      <c r="Q430" s="4"/>
      <c r="R430" s="4"/>
      <c r="S430" s="4"/>
      <c r="T430" s="4"/>
      <c r="U430" s="4"/>
      <c r="V430" s="4"/>
      <c r="W430" s="4"/>
    </row>
    <row r="431" spans="1:206" x14ac:dyDescent="0.2">
      <c r="A431" s="4">
        <v>50</v>
      </c>
      <c r="B431" s="4">
        <v>0</v>
      </c>
      <c r="C431" s="4">
        <v>0</v>
      </c>
      <c r="D431" s="4">
        <v>1</v>
      </c>
      <c r="E431" s="4">
        <v>231</v>
      </c>
      <c r="F431" s="4">
        <f>ROUND(Source!BB418,O431)</f>
        <v>0</v>
      </c>
      <c r="G431" s="4" t="s">
        <v>140</v>
      </c>
      <c r="H431" s="4" t="s">
        <v>141</v>
      </c>
      <c r="I431" s="4"/>
      <c r="J431" s="4"/>
      <c r="K431" s="4">
        <v>231</v>
      </c>
      <c r="L431" s="4">
        <v>12</v>
      </c>
      <c r="M431" s="4">
        <v>3</v>
      </c>
      <c r="N431" s="4" t="s">
        <v>3</v>
      </c>
      <c r="O431" s="4">
        <v>2</v>
      </c>
      <c r="P431" s="4"/>
      <c r="Q431" s="4"/>
      <c r="R431" s="4"/>
      <c r="S431" s="4"/>
      <c r="T431" s="4"/>
      <c r="U431" s="4"/>
      <c r="V431" s="4"/>
      <c r="W431" s="4"/>
    </row>
    <row r="432" spans="1:206" x14ac:dyDescent="0.2">
      <c r="A432" s="4">
        <v>50</v>
      </c>
      <c r="B432" s="4">
        <v>0</v>
      </c>
      <c r="C432" s="4">
        <v>0</v>
      </c>
      <c r="D432" s="4">
        <v>1</v>
      </c>
      <c r="E432" s="4">
        <v>204</v>
      </c>
      <c r="F432" s="4">
        <f>ROUND(Source!R418,O432)</f>
        <v>0</v>
      </c>
      <c r="G432" s="4" t="s">
        <v>142</v>
      </c>
      <c r="H432" s="4" t="s">
        <v>143</v>
      </c>
      <c r="I432" s="4"/>
      <c r="J432" s="4"/>
      <c r="K432" s="4">
        <v>204</v>
      </c>
      <c r="L432" s="4">
        <v>13</v>
      </c>
      <c r="M432" s="4">
        <v>3</v>
      </c>
      <c r="N432" s="4" t="s">
        <v>3</v>
      </c>
      <c r="O432" s="4">
        <v>2</v>
      </c>
      <c r="P432" s="4"/>
      <c r="Q432" s="4"/>
      <c r="R432" s="4"/>
      <c r="S432" s="4"/>
      <c r="T432" s="4"/>
      <c r="U432" s="4"/>
      <c r="V432" s="4"/>
      <c r="W432" s="4"/>
    </row>
    <row r="433" spans="1:88" x14ac:dyDescent="0.2">
      <c r="A433" s="4">
        <v>50</v>
      </c>
      <c r="B433" s="4">
        <v>0</v>
      </c>
      <c r="C433" s="4">
        <v>0</v>
      </c>
      <c r="D433" s="4">
        <v>1</v>
      </c>
      <c r="E433" s="4">
        <v>205</v>
      </c>
      <c r="F433" s="4">
        <f>ROUND(Source!S418,O433)</f>
        <v>6869.48</v>
      </c>
      <c r="G433" s="4" t="s">
        <v>144</v>
      </c>
      <c r="H433" s="4" t="s">
        <v>145</v>
      </c>
      <c r="I433" s="4"/>
      <c r="J433" s="4"/>
      <c r="K433" s="4">
        <v>205</v>
      </c>
      <c r="L433" s="4">
        <v>14</v>
      </c>
      <c r="M433" s="4">
        <v>3</v>
      </c>
      <c r="N433" s="4" t="s">
        <v>3</v>
      </c>
      <c r="O433" s="4">
        <v>2</v>
      </c>
      <c r="P433" s="4"/>
      <c r="Q433" s="4"/>
      <c r="R433" s="4"/>
      <c r="S433" s="4"/>
      <c r="T433" s="4"/>
      <c r="U433" s="4"/>
      <c r="V433" s="4"/>
      <c r="W433" s="4"/>
    </row>
    <row r="434" spans="1:88" x14ac:dyDescent="0.2">
      <c r="A434" s="4">
        <v>50</v>
      </c>
      <c r="B434" s="4">
        <v>0</v>
      </c>
      <c r="C434" s="4">
        <v>0</v>
      </c>
      <c r="D434" s="4">
        <v>1</v>
      </c>
      <c r="E434" s="4">
        <v>232</v>
      </c>
      <c r="F434" s="4">
        <f>ROUND(Source!BC418,O434)</f>
        <v>0</v>
      </c>
      <c r="G434" s="4" t="s">
        <v>146</v>
      </c>
      <c r="H434" s="4" t="s">
        <v>147</v>
      </c>
      <c r="I434" s="4"/>
      <c r="J434" s="4"/>
      <c r="K434" s="4">
        <v>232</v>
      </c>
      <c r="L434" s="4">
        <v>15</v>
      </c>
      <c r="M434" s="4">
        <v>3</v>
      </c>
      <c r="N434" s="4" t="s">
        <v>3</v>
      </c>
      <c r="O434" s="4">
        <v>2</v>
      </c>
      <c r="P434" s="4"/>
      <c r="Q434" s="4"/>
      <c r="R434" s="4"/>
      <c r="S434" s="4"/>
      <c r="T434" s="4"/>
      <c r="U434" s="4"/>
      <c r="V434" s="4"/>
      <c r="W434" s="4"/>
    </row>
    <row r="435" spans="1:88" x14ac:dyDescent="0.2">
      <c r="A435" s="4">
        <v>50</v>
      </c>
      <c r="B435" s="4">
        <v>0</v>
      </c>
      <c r="C435" s="4">
        <v>0</v>
      </c>
      <c r="D435" s="4">
        <v>1</v>
      </c>
      <c r="E435" s="4">
        <v>214</v>
      </c>
      <c r="F435" s="4">
        <f>ROUND(Source!AS418,O435)</f>
        <v>0</v>
      </c>
      <c r="G435" s="4" t="s">
        <v>148</v>
      </c>
      <c r="H435" s="4" t="s">
        <v>149</v>
      </c>
      <c r="I435" s="4"/>
      <c r="J435" s="4"/>
      <c r="K435" s="4">
        <v>214</v>
      </c>
      <c r="L435" s="4">
        <v>16</v>
      </c>
      <c r="M435" s="4">
        <v>3</v>
      </c>
      <c r="N435" s="4" t="s">
        <v>3</v>
      </c>
      <c r="O435" s="4">
        <v>2</v>
      </c>
      <c r="P435" s="4"/>
      <c r="Q435" s="4"/>
      <c r="R435" s="4"/>
      <c r="S435" s="4"/>
      <c r="T435" s="4"/>
      <c r="U435" s="4"/>
      <c r="V435" s="4"/>
      <c r="W435" s="4"/>
    </row>
    <row r="436" spans="1:88" x14ac:dyDescent="0.2">
      <c r="A436" s="4">
        <v>50</v>
      </c>
      <c r="B436" s="4">
        <v>0</v>
      </c>
      <c r="C436" s="4">
        <v>0</v>
      </c>
      <c r="D436" s="4">
        <v>1</v>
      </c>
      <c r="E436" s="4">
        <v>215</v>
      </c>
      <c r="F436" s="4">
        <f>ROUND(Source!AT418,O436)</f>
        <v>0</v>
      </c>
      <c r="G436" s="4" t="s">
        <v>150</v>
      </c>
      <c r="H436" s="4" t="s">
        <v>151</v>
      </c>
      <c r="I436" s="4"/>
      <c r="J436" s="4"/>
      <c r="K436" s="4">
        <v>215</v>
      </c>
      <c r="L436" s="4">
        <v>17</v>
      </c>
      <c r="M436" s="4">
        <v>3</v>
      </c>
      <c r="N436" s="4" t="s">
        <v>3</v>
      </c>
      <c r="O436" s="4">
        <v>2</v>
      </c>
      <c r="P436" s="4"/>
      <c r="Q436" s="4"/>
      <c r="R436" s="4"/>
      <c r="S436" s="4"/>
      <c r="T436" s="4"/>
      <c r="U436" s="4"/>
      <c r="V436" s="4"/>
      <c r="W436" s="4"/>
    </row>
    <row r="437" spans="1:88" x14ac:dyDescent="0.2">
      <c r="A437" s="4">
        <v>50</v>
      </c>
      <c r="B437" s="4">
        <v>0</v>
      </c>
      <c r="C437" s="4">
        <v>0</v>
      </c>
      <c r="D437" s="4">
        <v>1</v>
      </c>
      <c r="E437" s="4">
        <v>217</v>
      </c>
      <c r="F437" s="4">
        <f>ROUND(Source!AU418,O437)</f>
        <v>143758.22</v>
      </c>
      <c r="G437" s="4" t="s">
        <v>152</v>
      </c>
      <c r="H437" s="4" t="s">
        <v>153</v>
      </c>
      <c r="I437" s="4"/>
      <c r="J437" s="4"/>
      <c r="K437" s="4">
        <v>217</v>
      </c>
      <c r="L437" s="4">
        <v>18</v>
      </c>
      <c r="M437" s="4">
        <v>3</v>
      </c>
      <c r="N437" s="4" t="s">
        <v>3</v>
      </c>
      <c r="O437" s="4">
        <v>2</v>
      </c>
      <c r="P437" s="4"/>
      <c r="Q437" s="4"/>
      <c r="R437" s="4"/>
      <c r="S437" s="4"/>
      <c r="T437" s="4"/>
      <c r="U437" s="4"/>
      <c r="V437" s="4"/>
      <c r="W437" s="4"/>
    </row>
    <row r="438" spans="1:88" x14ac:dyDescent="0.2">
      <c r="A438" s="4">
        <v>50</v>
      </c>
      <c r="B438" s="4">
        <v>0</v>
      </c>
      <c r="C438" s="4">
        <v>0</v>
      </c>
      <c r="D438" s="4">
        <v>1</v>
      </c>
      <c r="E438" s="4">
        <v>230</v>
      </c>
      <c r="F438" s="4">
        <f>ROUND(Source!BA418,O438)</f>
        <v>0</v>
      </c>
      <c r="G438" s="4" t="s">
        <v>154</v>
      </c>
      <c r="H438" s="4" t="s">
        <v>155</v>
      </c>
      <c r="I438" s="4"/>
      <c r="J438" s="4"/>
      <c r="K438" s="4">
        <v>230</v>
      </c>
      <c r="L438" s="4">
        <v>19</v>
      </c>
      <c r="M438" s="4">
        <v>3</v>
      </c>
      <c r="N438" s="4" t="s">
        <v>3</v>
      </c>
      <c r="O438" s="4">
        <v>2</v>
      </c>
      <c r="P438" s="4"/>
      <c r="Q438" s="4"/>
      <c r="R438" s="4"/>
      <c r="S438" s="4"/>
      <c r="T438" s="4"/>
      <c r="U438" s="4"/>
      <c r="V438" s="4"/>
      <c r="W438" s="4"/>
    </row>
    <row r="439" spans="1:88" x14ac:dyDescent="0.2">
      <c r="A439" s="4">
        <v>50</v>
      </c>
      <c r="B439" s="4">
        <v>0</v>
      </c>
      <c r="C439" s="4">
        <v>0</v>
      </c>
      <c r="D439" s="4">
        <v>1</v>
      </c>
      <c r="E439" s="4">
        <v>206</v>
      </c>
      <c r="F439" s="4">
        <f>ROUND(Source!T418,O439)</f>
        <v>0</v>
      </c>
      <c r="G439" s="4" t="s">
        <v>156</v>
      </c>
      <c r="H439" s="4" t="s">
        <v>157</v>
      </c>
      <c r="I439" s="4"/>
      <c r="J439" s="4"/>
      <c r="K439" s="4">
        <v>206</v>
      </c>
      <c r="L439" s="4">
        <v>20</v>
      </c>
      <c r="M439" s="4">
        <v>3</v>
      </c>
      <c r="N439" s="4" t="s">
        <v>3</v>
      </c>
      <c r="O439" s="4">
        <v>2</v>
      </c>
      <c r="P439" s="4"/>
      <c r="Q439" s="4"/>
      <c r="R439" s="4"/>
      <c r="S439" s="4"/>
      <c r="T439" s="4"/>
      <c r="U439" s="4"/>
      <c r="V439" s="4"/>
      <c r="W439" s="4"/>
    </row>
    <row r="440" spans="1:88" x14ac:dyDescent="0.2">
      <c r="A440" s="4">
        <v>50</v>
      </c>
      <c r="B440" s="4">
        <v>0</v>
      </c>
      <c r="C440" s="4">
        <v>0</v>
      </c>
      <c r="D440" s="4">
        <v>1</v>
      </c>
      <c r="E440" s="4">
        <v>207</v>
      </c>
      <c r="F440" s="4">
        <f>Source!U418</f>
        <v>27.0825</v>
      </c>
      <c r="G440" s="4" t="s">
        <v>158</v>
      </c>
      <c r="H440" s="4" t="s">
        <v>159</v>
      </c>
      <c r="I440" s="4"/>
      <c r="J440" s="4"/>
      <c r="K440" s="4">
        <v>207</v>
      </c>
      <c r="L440" s="4">
        <v>21</v>
      </c>
      <c r="M440" s="4">
        <v>3</v>
      </c>
      <c r="N440" s="4" t="s">
        <v>3</v>
      </c>
      <c r="O440" s="4">
        <v>-1</v>
      </c>
      <c r="P440" s="4"/>
      <c r="Q440" s="4"/>
      <c r="R440" s="4"/>
      <c r="S440" s="4"/>
      <c r="T440" s="4"/>
      <c r="U440" s="4"/>
      <c r="V440" s="4"/>
      <c r="W440" s="4"/>
    </row>
    <row r="441" spans="1:88" x14ac:dyDescent="0.2">
      <c r="A441" s="4">
        <v>50</v>
      </c>
      <c r="B441" s="4">
        <v>0</v>
      </c>
      <c r="C441" s="4">
        <v>0</v>
      </c>
      <c r="D441" s="4">
        <v>1</v>
      </c>
      <c r="E441" s="4">
        <v>208</v>
      </c>
      <c r="F441" s="4">
        <f>Source!V418</f>
        <v>0</v>
      </c>
      <c r="G441" s="4" t="s">
        <v>160</v>
      </c>
      <c r="H441" s="4" t="s">
        <v>161</v>
      </c>
      <c r="I441" s="4"/>
      <c r="J441" s="4"/>
      <c r="K441" s="4">
        <v>208</v>
      </c>
      <c r="L441" s="4">
        <v>22</v>
      </c>
      <c r="M441" s="4">
        <v>3</v>
      </c>
      <c r="N441" s="4" t="s">
        <v>3</v>
      </c>
      <c r="O441" s="4">
        <v>-1</v>
      </c>
      <c r="P441" s="4"/>
      <c r="Q441" s="4"/>
      <c r="R441" s="4"/>
      <c r="S441" s="4"/>
      <c r="T441" s="4"/>
      <c r="U441" s="4"/>
      <c r="V441" s="4"/>
      <c r="W441" s="4"/>
    </row>
    <row r="442" spans="1:88" x14ac:dyDescent="0.2">
      <c r="A442" s="4">
        <v>50</v>
      </c>
      <c r="B442" s="4">
        <v>0</v>
      </c>
      <c r="C442" s="4">
        <v>0</v>
      </c>
      <c r="D442" s="4">
        <v>1</v>
      </c>
      <c r="E442" s="4">
        <v>209</v>
      </c>
      <c r="F442" s="4">
        <f>ROUND(Source!W418,O442)</f>
        <v>0</v>
      </c>
      <c r="G442" s="4" t="s">
        <v>162</v>
      </c>
      <c r="H442" s="4" t="s">
        <v>163</v>
      </c>
      <c r="I442" s="4"/>
      <c r="J442" s="4"/>
      <c r="K442" s="4">
        <v>209</v>
      </c>
      <c r="L442" s="4">
        <v>23</v>
      </c>
      <c r="M442" s="4">
        <v>3</v>
      </c>
      <c r="N442" s="4" t="s">
        <v>3</v>
      </c>
      <c r="O442" s="4">
        <v>2</v>
      </c>
      <c r="P442" s="4"/>
      <c r="Q442" s="4"/>
      <c r="R442" s="4"/>
      <c r="S442" s="4"/>
      <c r="T442" s="4"/>
      <c r="U442" s="4"/>
      <c r="V442" s="4"/>
      <c r="W442" s="4"/>
    </row>
    <row r="443" spans="1:88" x14ac:dyDescent="0.2">
      <c r="A443" s="4">
        <v>50</v>
      </c>
      <c r="B443" s="4">
        <v>0</v>
      </c>
      <c r="C443" s="4">
        <v>0</v>
      </c>
      <c r="D443" s="4">
        <v>1</v>
      </c>
      <c r="E443" s="4">
        <v>233</v>
      </c>
      <c r="F443" s="4">
        <f>ROUND(Source!BD418,O443)</f>
        <v>0</v>
      </c>
      <c r="G443" s="4" t="s">
        <v>164</v>
      </c>
      <c r="H443" s="4" t="s">
        <v>165</v>
      </c>
      <c r="I443" s="4"/>
      <c r="J443" s="4"/>
      <c r="K443" s="4">
        <v>233</v>
      </c>
      <c r="L443" s="4">
        <v>24</v>
      </c>
      <c r="M443" s="4">
        <v>3</v>
      </c>
      <c r="N443" s="4" t="s">
        <v>3</v>
      </c>
      <c r="O443" s="4">
        <v>2</v>
      </c>
      <c r="P443" s="4"/>
      <c r="Q443" s="4"/>
      <c r="R443" s="4"/>
      <c r="S443" s="4"/>
      <c r="T443" s="4"/>
      <c r="U443" s="4"/>
      <c r="V443" s="4"/>
      <c r="W443" s="4"/>
    </row>
    <row r="444" spans="1:88" x14ac:dyDescent="0.2">
      <c r="A444" s="4">
        <v>50</v>
      </c>
      <c r="B444" s="4">
        <v>0</v>
      </c>
      <c r="C444" s="4">
        <v>0</v>
      </c>
      <c r="D444" s="4">
        <v>1</v>
      </c>
      <c r="E444" s="4">
        <v>210</v>
      </c>
      <c r="F444" s="4">
        <f>ROUND(Source!X418,O444)</f>
        <v>4808.6400000000003</v>
      </c>
      <c r="G444" s="4" t="s">
        <v>166</v>
      </c>
      <c r="H444" s="4" t="s">
        <v>167</v>
      </c>
      <c r="I444" s="4"/>
      <c r="J444" s="4"/>
      <c r="K444" s="4">
        <v>210</v>
      </c>
      <c r="L444" s="4">
        <v>25</v>
      </c>
      <c r="M444" s="4">
        <v>3</v>
      </c>
      <c r="N444" s="4" t="s">
        <v>3</v>
      </c>
      <c r="O444" s="4">
        <v>2</v>
      </c>
      <c r="P444" s="4"/>
      <c r="Q444" s="4"/>
      <c r="R444" s="4"/>
      <c r="S444" s="4"/>
      <c r="T444" s="4"/>
      <c r="U444" s="4"/>
      <c r="V444" s="4"/>
      <c r="W444" s="4"/>
    </row>
    <row r="445" spans="1:88" x14ac:dyDescent="0.2">
      <c r="A445" s="4">
        <v>50</v>
      </c>
      <c r="B445" s="4">
        <v>0</v>
      </c>
      <c r="C445" s="4">
        <v>0</v>
      </c>
      <c r="D445" s="4">
        <v>1</v>
      </c>
      <c r="E445" s="4">
        <v>211</v>
      </c>
      <c r="F445" s="4">
        <f>ROUND(Source!Y418,O445)</f>
        <v>686.95</v>
      </c>
      <c r="G445" s="4" t="s">
        <v>168</v>
      </c>
      <c r="H445" s="4" t="s">
        <v>169</v>
      </c>
      <c r="I445" s="4"/>
      <c r="J445" s="4"/>
      <c r="K445" s="4">
        <v>211</v>
      </c>
      <c r="L445" s="4">
        <v>26</v>
      </c>
      <c r="M445" s="4">
        <v>3</v>
      </c>
      <c r="N445" s="4" t="s">
        <v>3</v>
      </c>
      <c r="O445" s="4">
        <v>2</v>
      </c>
      <c r="P445" s="4"/>
      <c r="Q445" s="4"/>
      <c r="R445" s="4"/>
      <c r="S445" s="4"/>
      <c r="T445" s="4"/>
      <c r="U445" s="4"/>
      <c r="V445" s="4"/>
      <c r="W445" s="4"/>
    </row>
    <row r="446" spans="1:88" x14ac:dyDescent="0.2">
      <c r="A446" s="4">
        <v>50</v>
      </c>
      <c r="B446" s="4">
        <v>0</v>
      </c>
      <c r="C446" s="4">
        <v>0</v>
      </c>
      <c r="D446" s="4">
        <v>1</v>
      </c>
      <c r="E446" s="4">
        <v>224</v>
      </c>
      <c r="F446" s="4">
        <f>ROUND(Source!AR418,O446)</f>
        <v>143758.22</v>
      </c>
      <c r="G446" s="4" t="s">
        <v>170</v>
      </c>
      <c r="H446" s="4" t="s">
        <v>171</v>
      </c>
      <c r="I446" s="4"/>
      <c r="J446" s="4"/>
      <c r="K446" s="4">
        <v>224</v>
      </c>
      <c r="L446" s="4">
        <v>27</v>
      </c>
      <c r="M446" s="4">
        <v>3</v>
      </c>
      <c r="N446" s="4" t="s">
        <v>3</v>
      </c>
      <c r="O446" s="4">
        <v>2</v>
      </c>
      <c r="P446" s="4"/>
      <c r="Q446" s="4"/>
      <c r="R446" s="4"/>
      <c r="S446" s="4"/>
      <c r="T446" s="4"/>
      <c r="U446" s="4"/>
      <c r="V446" s="4"/>
      <c r="W446" s="4"/>
    </row>
    <row r="448" spans="1:88" x14ac:dyDescent="0.2">
      <c r="A448" s="1">
        <v>5</v>
      </c>
      <c r="B448" s="1">
        <v>1</v>
      </c>
      <c r="C448" s="1"/>
      <c r="D448" s="1">
        <f>ROW(A464)</f>
        <v>464</v>
      </c>
      <c r="E448" s="1"/>
      <c r="F448" s="1" t="s">
        <v>15</v>
      </c>
      <c r="G448" s="1" t="s">
        <v>334</v>
      </c>
      <c r="H448" s="1" t="s">
        <v>3</v>
      </c>
      <c r="I448" s="1">
        <v>0</v>
      </c>
      <c r="J448" s="1"/>
      <c r="K448" s="1">
        <v>0</v>
      </c>
      <c r="L448" s="1"/>
      <c r="M448" s="1"/>
      <c r="N448" s="1"/>
      <c r="O448" s="1"/>
      <c r="P448" s="1"/>
      <c r="Q448" s="1"/>
      <c r="R448" s="1"/>
      <c r="S448" s="1"/>
      <c r="T448" s="1"/>
      <c r="U448" s="1" t="s">
        <v>3</v>
      </c>
      <c r="V448" s="1">
        <v>0</v>
      </c>
      <c r="W448" s="1"/>
      <c r="X448" s="1"/>
      <c r="Y448" s="1"/>
      <c r="Z448" s="1"/>
      <c r="AA448" s="1"/>
      <c r="AB448" s="1" t="s">
        <v>3</v>
      </c>
      <c r="AC448" s="1" t="s">
        <v>3</v>
      </c>
      <c r="AD448" s="1" t="s">
        <v>3</v>
      </c>
      <c r="AE448" s="1" t="s">
        <v>3</v>
      </c>
      <c r="AF448" s="1" t="s">
        <v>3</v>
      </c>
      <c r="AG448" s="1" t="s">
        <v>3</v>
      </c>
      <c r="AH448" s="1"/>
      <c r="AI448" s="1"/>
      <c r="AJ448" s="1"/>
      <c r="AK448" s="1"/>
      <c r="AL448" s="1"/>
      <c r="AM448" s="1"/>
      <c r="AN448" s="1"/>
      <c r="AO448" s="1"/>
      <c r="AP448" s="1" t="s">
        <v>3</v>
      </c>
      <c r="AQ448" s="1" t="s">
        <v>3</v>
      </c>
      <c r="AR448" s="1" t="s">
        <v>3</v>
      </c>
      <c r="AS448" s="1"/>
      <c r="AT448" s="1"/>
      <c r="AU448" s="1"/>
      <c r="AV448" s="1"/>
      <c r="AW448" s="1"/>
      <c r="AX448" s="1"/>
      <c r="AY448" s="1"/>
      <c r="AZ448" s="1" t="s">
        <v>3</v>
      </c>
      <c r="BA448" s="1"/>
      <c r="BB448" s="1" t="s">
        <v>3</v>
      </c>
      <c r="BC448" s="1" t="s">
        <v>3</v>
      </c>
      <c r="BD448" s="1" t="s">
        <v>3</v>
      </c>
      <c r="BE448" s="1" t="s">
        <v>3</v>
      </c>
      <c r="BF448" s="1" t="s">
        <v>3</v>
      </c>
      <c r="BG448" s="1" t="s">
        <v>3</v>
      </c>
      <c r="BH448" s="1" t="s">
        <v>3</v>
      </c>
      <c r="BI448" s="1" t="s">
        <v>3</v>
      </c>
      <c r="BJ448" s="1" t="s">
        <v>3</v>
      </c>
      <c r="BK448" s="1" t="s">
        <v>3</v>
      </c>
      <c r="BL448" s="1" t="s">
        <v>3</v>
      </c>
      <c r="BM448" s="1" t="s">
        <v>3</v>
      </c>
      <c r="BN448" s="1" t="s">
        <v>3</v>
      </c>
      <c r="BO448" s="1" t="s">
        <v>3</v>
      </c>
      <c r="BP448" s="1" t="s">
        <v>3</v>
      </c>
      <c r="BQ448" s="1"/>
      <c r="BR448" s="1"/>
      <c r="BS448" s="1"/>
      <c r="BT448" s="1"/>
      <c r="BU448" s="1"/>
      <c r="BV448" s="1"/>
      <c r="BW448" s="1"/>
      <c r="BX448" s="1">
        <v>0</v>
      </c>
      <c r="BY448" s="1"/>
      <c r="BZ448" s="1"/>
      <c r="CA448" s="1"/>
      <c r="CB448" s="1"/>
      <c r="CC448" s="1"/>
      <c r="CD448" s="1"/>
      <c r="CE448" s="1"/>
      <c r="CF448" s="1"/>
      <c r="CG448" s="1"/>
      <c r="CH448" s="1"/>
      <c r="CI448" s="1"/>
      <c r="CJ448" s="1">
        <v>0</v>
      </c>
    </row>
    <row r="450" spans="1:245" x14ac:dyDescent="0.2">
      <c r="A450" s="2">
        <v>52</v>
      </c>
      <c r="B450" s="2">
        <f t="shared" ref="B450:G450" si="377">B464</f>
        <v>1</v>
      </c>
      <c r="C450" s="2">
        <f t="shared" si="377"/>
        <v>5</v>
      </c>
      <c r="D450" s="2">
        <f t="shared" si="377"/>
        <v>448</v>
      </c>
      <c r="E450" s="2">
        <f t="shared" si="377"/>
        <v>0</v>
      </c>
      <c r="F450" s="2" t="str">
        <f t="shared" si="377"/>
        <v>Новый подраздел</v>
      </c>
      <c r="G450" s="2" t="str">
        <f t="shared" si="377"/>
        <v>Установка МАФов площадка № 9</v>
      </c>
      <c r="H450" s="2"/>
      <c r="I450" s="2"/>
      <c r="J450" s="2"/>
      <c r="K450" s="2"/>
      <c r="L450" s="2"/>
      <c r="M450" s="2"/>
      <c r="N450" s="2"/>
      <c r="O450" s="2">
        <f t="shared" ref="O450:AT450" si="378">O464</f>
        <v>149744.65</v>
      </c>
      <c r="P450" s="2">
        <f t="shared" si="378"/>
        <v>140585.34</v>
      </c>
      <c r="Q450" s="2">
        <f t="shared" si="378"/>
        <v>0.01</v>
      </c>
      <c r="R450" s="2">
        <f t="shared" si="378"/>
        <v>-0.01</v>
      </c>
      <c r="S450" s="2">
        <f t="shared" si="378"/>
        <v>9159.2999999999993</v>
      </c>
      <c r="T450" s="2">
        <f t="shared" si="378"/>
        <v>0</v>
      </c>
      <c r="U450" s="2">
        <f t="shared" si="378"/>
        <v>36.11</v>
      </c>
      <c r="V450" s="2">
        <f t="shared" si="378"/>
        <v>0</v>
      </c>
      <c r="W450" s="2">
        <f t="shared" si="378"/>
        <v>0</v>
      </c>
      <c r="X450" s="2">
        <f t="shared" si="378"/>
        <v>6411.51</v>
      </c>
      <c r="Y450" s="2">
        <f t="shared" si="378"/>
        <v>915.93</v>
      </c>
      <c r="Z450" s="2">
        <f t="shared" si="378"/>
        <v>0</v>
      </c>
      <c r="AA450" s="2">
        <f t="shared" si="378"/>
        <v>0</v>
      </c>
      <c r="AB450" s="2">
        <f t="shared" si="378"/>
        <v>149744.65</v>
      </c>
      <c r="AC450" s="2">
        <f t="shared" si="378"/>
        <v>140585.34</v>
      </c>
      <c r="AD450" s="2">
        <f t="shared" si="378"/>
        <v>0.01</v>
      </c>
      <c r="AE450" s="2">
        <f t="shared" si="378"/>
        <v>-0.01</v>
      </c>
      <c r="AF450" s="2">
        <f t="shared" si="378"/>
        <v>9159.2999999999993</v>
      </c>
      <c r="AG450" s="2">
        <f t="shared" si="378"/>
        <v>0</v>
      </c>
      <c r="AH450" s="2">
        <f t="shared" si="378"/>
        <v>36.11</v>
      </c>
      <c r="AI450" s="2">
        <f t="shared" si="378"/>
        <v>0</v>
      </c>
      <c r="AJ450" s="2">
        <f t="shared" si="378"/>
        <v>0</v>
      </c>
      <c r="AK450" s="2">
        <f t="shared" si="378"/>
        <v>6411.51</v>
      </c>
      <c r="AL450" s="2">
        <f t="shared" si="378"/>
        <v>915.93</v>
      </c>
      <c r="AM450" s="2">
        <f t="shared" si="378"/>
        <v>0</v>
      </c>
      <c r="AN450" s="2">
        <f t="shared" si="378"/>
        <v>0</v>
      </c>
      <c r="AO450" s="2">
        <f t="shared" si="378"/>
        <v>0</v>
      </c>
      <c r="AP450" s="2">
        <f t="shared" si="378"/>
        <v>0</v>
      </c>
      <c r="AQ450" s="2">
        <f t="shared" si="378"/>
        <v>0</v>
      </c>
      <c r="AR450" s="2">
        <f t="shared" si="378"/>
        <v>157072.07999999999</v>
      </c>
      <c r="AS450" s="2">
        <f t="shared" si="378"/>
        <v>0</v>
      </c>
      <c r="AT450" s="2">
        <f t="shared" si="378"/>
        <v>0</v>
      </c>
      <c r="AU450" s="2">
        <f t="shared" ref="AU450:BZ450" si="379">AU464</f>
        <v>157072.07999999999</v>
      </c>
      <c r="AV450" s="2">
        <f t="shared" si="379"/>
        <v>140585.34</v>
      </c>
      <c r="AW450" s="2">
        <f t="shared" si="379"/>
        <v>140585.34</v>
      </c>
      <c r="AX450" s="2">
        <f t="shared" si="379"/>
        <v>0</v>
      </c>
      <c r="AY450" s="2">
        <f t="shared" si="379"/>
        <v>140585.34</v>
      </c>
      <c r="AZ450" s="2">
        <f t="shared" si="379"/>
        <v>0</v>
      </c>
      <c r="BA450" s="2">
        <f t="shared" si="379"/>
        <v>0</v>
      </c>
      <c r="BB450" s="2">
        <f t="shared" si="379"/>
        <v>0</v>
      </c>
      <c r="BC450" s="2">
        <f t="shared" si="379"/>
        <v>0</v>
      </c>
      <c r="BD450" s="2">
        <f t="shared" si="379"/>
        <v>0</v>
      </c>
      <c r="BE450" s="2">
        <f t="shared" si="379"/>
        <v>0</v>
      </c>
      <c r="BF450" s="2">
        <f t="shared" si="379"/>
        <v>0</v>
      </c>
      <c r="BG450" s="2">
        <f t="shared" si="379"/>
        <v>0</v>
      </c>
      <c r="BH450" s="2">
        <f t="shared" si="379"/>
        <v>0</v>
      </c>
      <c r="BI450" s="2">
        <f t="shared" si="379"/>
        <v>0</v>
      </c>
      <c r="BJ450" s="2">
        <f t="shared" si="379"/>
        <v>0</v>
      </c>
      <c r="BK450" s="2">
        <f t="shared" si="379"/>
        <v>0</v>
      </c>
      <c r="BL450" s="2">
        <f t="shared" si="379"/>
        <v>0</v>
      </c>
      <c r="BM450" s="2">
        <f t="shared" si="379"/>
        <v>0</v>
      </c>
      <c r="BN450" s="2">
        <f t="shared" si="379"/>
        <v>0</v>
      </c>
      <c r="BO450" s="2">
        <f t="shared" si="379"/>
        <v>0</v>
      </c>
      <c r="BP450" s="2">
        <f t="shared" si="379"/>
        <v>0</v>
      </c>
      <c r="BQ450" s="2">
        <f t="shared" si="379"/>
        <v>0</v>
      </c>
      <c r="BR450" s="2">
        <f t="shared" si="379"/>
        <v>0</v>
      </c>
      <c r="BS450" s="2">
        <f t="shared" si="379"/>
        <v>0</v>
      </c>
      <c r="BT450" s="2">
        <f t="shared" si="379"/>
        <v>0</v>
      </c>
      <c r="BU450" s="2">
        <f t="shared" si="379"/>
        <v>0</v>
      </c>
      <c r="BV450" s="2">
        <f t="shared" si="379"/>
        <v>0</v>
      </c>
      <c r="BW450" s="2">
        <f t="shared" si="379"/>
        <v>0</v>
      </c>
      <c r="BX450" s="2">
        <f t="shared" si="379"/>
        <v>0</v>
      </c>
      <c r="BY450" s="2">
        <f t="shared" si="379"/>
        <v>0</v>
      </c>
      <c r="BZ450" s="2">
        <f t="shared" si="379"/>
        <v>0</v>
      </c>
      <c r="CA450" s="2">
        <f t="shared" ref="CA450:DF450" si="380">CA464</f>
        <v>157072.07999999999</v>
      </c>
      <c r="CB450" s="2">
        <f t="shared" si="380"/>
        <v>0</v>
      </c>
      <c r="CC450" s="2">
        <f t="shared" si="380"/>
        <v>0</v>
      </c>
      <c r="CD450" s="2">
        <f t="shared" si="380"/>
        <v>157072.07999999999</v>
      </c>
      <c r="CE450" s="2">
        <f t="shared" si="380"/>
        <v>140585.34</v>
      </c>
      <c r="CF450" s="2">
        <f t="shared" si="380"/>
        <v>140585.34</v>
      </c>
      <c r="CG450" s="2">
        <f t="shared" si="380"/>
        <v>0</v>
      </c>
      <c r="CH450" s="2">
        <f t="shared" si="380"/>
        <v>140585.34</v>
      </c>
      <c r="CI450" s="2">
        <f t="shared" si="380"/>
        <v>0</v>
      </c>
      <c r="CJ450" s="2">
        <f t="shared" si="380"/>
        <v>0</v>
      </c>
      <c r="CK450" s="2">
        <f t="shared" si="380"/>
        <v>0</v>
      </c>
      <c r="CL450" s="2">
        <f t="shared" si="380"/>
        <v>0</v>
      </c>
      <c r="CM450" s="2">
        <f t="shared" si="380"/>
        <v>0</v>
      </c>
      <c r="CN450" s="2">
        <f t="shared" si="380"/>
        <v>0</v>
      </c>
      <c r="CO450" s="2">
        <f t="shared" si="380"/>
        <v>0</v>
      </c>
      <c r="CP450" s="2">
        <f t="shared" si="380"/>
        <v>0</v>
      </c>
      <c r="CQ450" s="2">
        <f t="shared" si="380"/>
        <v>0</v>
      </c>
      <c r="CR450" s="2">
        <f t="shared" si="380"/>
        <v>0</v>
      </c>
      <c r="CS450" s="2">
        <f t="shared" si="380"/>
        <v>0</v>
      </c>
      <c r="CT450" s="2">
        <f t="shared" si="380"/>
        <v>0</v>
      </c>
      <c r="CU450" s="2">
        <f t="shared" si="380"/>
        <v>0</v>
      </c>
      <c r="CV450" s="2">
        <f t="shared" si="380"/>
        <v>0</v>
      </c>
      <c r="CW450" s="2">
        <f t="shared" si="380"/>
        <v>0</v>
      </c>
      <c r="CX450" s="2">
        <f t="shared" si="380"/>
        <v>0</v>
      </c>
      <c r="CY450" s="2">
        <f t="shared" si="380"/>
        <v>0</v>
      </c>
      <c r="CZ450" s="2">
        <f t="shared" si="380"/>
        <v>0</v>
      </c>
      <c r="DA450" s="2">
        <f t="shared" si="380"/>
        <v>0</v>
      </c>
      <c r="DB450" s="2">
        <f t="shared" si="380"/>
        <v>0</v>
      </c>
      <c r="DC450" s="2">
        <f t="shared" si="380"/>
        <v>0</v>
      </c>
      <c r="DD450" s="2">
        <f t="shared" si="380"/>
        <v>0</v>
      </c>
      <c r="DE450" s="2">
        <f t="shared" si="380"/>
        <v>0</v>
      </c>
      <c r="DF450" s="2">
        <f t="shared" si="380"/>
        <v>0</v>
      </c>
      <c r="DG450" s="3">
        <f t="shared" ref="DG450:EL450" si="381">DG464</f>
        <v>0</v>
      </c>
      <c r="DH450" s="3">
        <f t="shared" si="381"/>
        <v>0</v>
      </c>
      <c r="DI450" s="3">
        <f t="shared" si="381"/>
        <v>0</v>
      </c>
      <c r="DJ450" s="3">
        <f t="shared" si="381"/>
        <v>0</v>
      </c>
      <c r="DK450" s="3">
        <f t="shared" si="381"/>
        <v>0</v>
      </c>
      <c r="DL450" s="3">
        <f t="shared" si="381"/>
        <v>0</v>
      </c>
      <c r="DM450" s="3">
        <f t="shared" si="381"/>
        <v>0</v>
      </c>
      <c r="DN450" s="3">
        <f t="shared" si="381"/>
        <v>0</v>
      </c>
      <c r="DO450" s="3">
        <f t="shared" si="381"/>
        <v>0</v>
      </c>
      <c r="DP450" s="3">
        <f t="shared" si="381"/>
        <v>0</v>
      </c>
      <c r="DQ450" s="3">
        <f t="shared" si="381"/>
        <v>0</v>
      </c>
      <c r="DR450" s="3">
        <f t="shared" si="381"/>
        <v>0</v>
      </c>
      <c r="DS450" s="3">
        <f t="shared" si="381"/>
        <v>0</v>
      </c>
      <c r="DT450" s="3">
        <f t="shared" si="381"/>
        <v>0</v>
      </c>
      <c r="DU450" s="3">
        <f t="shared" si="381"/>
        <v>0</v>
      </c>
      <c r="DV450" s="3">
        <f t="shared" si="381"/>
        <v>0</v>
      </c>
      <c r="DW450" s="3">
        <f t="shared" si="381"/>
        <v>0</v>
      </c>
      <c r="DX450" s="3">
        <f t="shared" si="381"/>
        <v>0</v>
      </c>
      <c r="DY450" s="3">
        <f t="shared" si="381"/>
        <v>0</v>
      </c>
      <c r="DZ450" s="3">
        <f t="shared" si="381"/>
        <v>0</v>
      </c>
      <c r="EA450" s="3">
        <f t="shared" si="381"/>
        <v>0</v>
      </c>
      <c r="EB450" s="3">
        <f t="shared" si="381"/>
        <v>0</v>
      </c>
      <c r="EC450" s="3">
        <f t="shared" si="381"/>
        <v>0</v>
      </c>
      <c r="ED450" s="3">
        <f t="shared" si="381"/>
        <v>0</v>
      </c>
      <c r="EE450" s="3">
        <f t="shared" si="381"/>
        <v>0</v>
      </c>
      <c r="EF450" s="3">
        <f t="shared" si="381"/>
        <v>0</v>
      </c>
      <c r="EG450" s="3">
        <f t="shared" si="381"/>
        <v>0</v>
      </c>
      <c r="EH450" s="3">
        <f t="shared" si="381"/>
        <v>0</v>
      </c>
      <c r="EI450" s="3">
        <f t="shared" si="381"/>
        <v>0</v>
      </c>
      <c r="EJ450" s="3">
        <f t="shared" si="381"/>
        <v>0</v>
      </c>
      <c r="EK450" s="3">
        <f t="shared" si="381"/>
        <v>0</v>
      </c>
      <c r="EL450" s="3">
        <f t="shared" si="381"/>
        <v>0</v>
      </c>
      <c r="EM450" s="3">
        <f t="shared" ref="EM450:FR450" si="382">EM464</f>
        <v>0</v>
      </c>
      <c r="EN450" s="3">
        <f t="shared" si="382"/>
        <v>0</v>
      </c>
      <c r="EO450" s="3">
        <f t="shared" si="382"/>
        <v>0</v>
      </c>
      <c r="EP450" s="3">
        <f t="shared" si="382"/>
        <v>0</v>
      </c>
      <c r="EQ450" s="3">
        <f t="shared" si="382"/>
        <v>0</v>
      </c>
      <c r="ER450" s="3">
        <f t="shared" si="382"/>
        <v>0</v>
      </c>
      <c r="ES450" s="3">
        <f t="shared" si="382"/>
        <v>0</v>
      </c>
      <c r="ET450" s="3">
        <f t="shared" si="382"/>
        <v>0</v>
      </c>
      <c r="EU450" s="3">
        <f t="shared" si="382"/>
        <v>0</v>
      </c>
      <c r="EV450" s="3">
        <f t="shared" si="382"/>
        <v>0</v>
      </c>
      <c r="EW450" s="3">
        <f t="shared" si="382"/>
        <v>0</v>
      </c>
      <c r="EX450" s="3">
        <f t="shared" si="382"/>
        <v>0</v>
      </c>
      <c r="EY450" s="3">
        <f t="shared" si="382"/>
        <v>0</v>
      </c>
      <c r="EZ450" s="3">
        <f t="shared" si="382"/>
        <v>0</v>
      </c>
      <c r="FA450" s="3">
        <f t="shared" si="382"/>
        <v>0</v>
      </c>
      <c r="FB450" s="3">
        <f t="shared" si="382"/>
        <v>0</v>
      </c>
      <c r="FC450" s="3">
        <f t="shared" si="382"/>
        <v>0</v>
      </c>
      <c r="FD450" s="3">
        <f t="shared" si="382"/>
        <v>0</v>
      </c>
      <c r="FE450" s="3">
        <f t="shared" si="382"/>
        <v>0</v>
      </c>
      <c r="FF450" s="3">
        <f t="shared" si="382"/>
        <v>0</v>
      </c>
      <c r="FG450" s="3">
        <f t="shared" si="382"/>
        <v>0</v>
      </c>
      <c r="FH450" s="3">
        <f t="shared" si="382"/>
        <v>0</v>
      </c>
      <c r="FI450" s="3">
        <f t="shared" si="382"/>
        <v>0</v>
      </c>
      <c r="FJ450" s="3">
        <f t="shared" si="382"/>
        <v>0</v>
      </c>
      <c r="FK450" s="3">
        <f t="shared" si="382"/>
        <v>0</v>
      </c>
      <c r="FL450" s="3">
        <f t="shared" si="382"/>
        <v>0</v>
      </c>
      <c r="FM450" s="3">
        <f t="shared" si="382"/>
        <v>0</v>
      </c>
      <c r="FN450" s="3">
        <f t="shared" si="382"/>
        <v>0</v>
      </c>
      <c r="FO450" s="3">
        <f t="shared" si="382"/>
        <v>0</v>
      </c>
      <c r="FP450" s="3">
        <f t="shared" si="382"/>
        <v>0</v>
      </c>
      <c r="FQ450" s="3">
        <f t="shared" si="382"/>
        <v>0</v>
      </c>
      <c r="FR450" s="3">
        <f t="shared" si="382"/>
        <v>0</v>
      </c>
      <c r="FS450" s="3">
        <f t="shared" ref="FS450:GX450" si="383">FS464</f>
        <v>0</v>
      </c>
      <c r="FT450" s="3">
        <f t="shared" si="383"/>
        <v>0</v>
      </c>
      <c r="FU450" s="3">
        <f t="shared" si="383"/>
        <v>0</v>
      </c>
      <c r="FV450" s="3">
        <f t="shared" si="383"/>
        <v>0</v>
      </c>
      <c r="FW450" s="3">
        <f t="shared" si="383"/>
        <v>0</v>
      </c>
      <c r="FX450" s="3">
        <f t="shared" si="383"/>
        <v>0</v>
      </c>
      <c r="FY450" s="3">
        <f t="shared" si="383"/>
        <v>0</v>
      </c>
      <c r="FZ450" s="3">
        <f t="shared" si="383"/>
        <v>0</v>
      </c>
      <c r="GA450" s="3">
        <f t="shared" si="383"/>
        <v>0</v>
      </c>
      <c r="GB450" s="3">
        <f t="shared" si="383"/>
        <v>0</v>
      </c>
      <c r="GC450" s="3">
        <f t="shared" si="383"/>
        <v>0</v>
      </c>
      <c r="GD450" s="3">
        <f t="shared" si="383"/>
        <v>0</v>
      </c>
      <c r="GE450" s="3">
        <f t="shared" si="383"/>
        <v>0</v>
      </c>
      <c r="GF450" s="3">
        <f t="shared" si="383"/>
        <v>0</v>
      </c>
      <c r="GG450" s="3">
        <f t="shared" si="383"/>
        <v>0</v>
      </c>
      <c r="GH450" s="3">
        <f t="shared" si="383"/>
        <v>0</v>
      </c>
      <c r="GI450" s="3">
        <f t="shared" si="383"/>
        <v>0</v>
      </c>
      <c r="GJ450" s="3">
        <f t="shared" si="383"/>
        <v>0</v>
      </c>
      <c r="GK450" s="3">
        <f t="shared" si="383"/>
        <v>0</v>
      </c>
      <c r="GL450" s="3">
        <f t="shared" si="383"/>
        <v>0</v>
      </c>
      <c r="GM450" s="3">
        <f t="shared" si="383"/>
        <v>0</v>
      </c>
      <c r="GN450" s="3">
        <f t="shared" si="383"/>
        <v>0</v>
      </c>
      <c r="GO450" s="3">
        <f t="shared" si="383"/>
        <v>0</v>
      </c>
      <c r="GP450" s="3">
        <f t="shared" si="383"/>
        <v>0</v>
      </c>
      <c r="GQ450" s="3">
        <f t="shared" si="383"/>
        <v>0</v>
      </c>
      <c r="GR450" s="3">
        <f t="shared" si="383"/>
        <v>0</v>
      </c>
      <c r="GS450" s="3">
        <f t="shared" si="383"/>
        <v>0</v>
      </c>
      <c r="GT450" s="3">
        <f t="shared" si="383"/>
        <v>0</v>
      </c>
      <c r="GU450" s="3">
        <f t="shared" si="383"/>
        <v>0</v>
      </c>
      <c r="GV450" s="3">
        <f t="shared" si="383"/>
        <v>0</v>
      </c>
      <c r="GW450" s="3">
        <f t="shared" si="383"/>
        <v>0</v>
      </c>
      <c r="GX450" s="3">
        <f t="shared" si="383"/>
        <v>0</v>
      </c>
    </row>
    <row r="452" spans="1:245" x14ac:dyDescent="0.2">
      <c r="A452">
        <v>17</v>
      </c>
      <c r="B452">
        <v>1</v>
      </c>
      <c r="C452">
        <f>ROW(SmtRes!A373)</f>
        <v>373</v>
      </c>
      <c r="D452">
        <f>ROW(EtalonRes!A354)</f>
        <v>354</v>
      </c>
      <c r="E452" t="s">
        <v>335</v>
      </c>
      <c r="F452" t="s">
        <v>72</v>
      </c>
      <c r="G452" t="s">
        <v>246</v>
      </c>
      <c r="H452" t="s">
        <v>74</v>
      </c>
      <c r="I452">
        <f>ROUND(4/100,9)</f>
        <v>0.04</v>
      </c>
      <c r="J452">
        <v>0</v>
      </c>
      <c r="O452">
        <f t="shared" ref="O452:O462" si="384">ROUND(CP452,2)</f>
        <v>9895.19</v>
      </c>
      <c r="P452">
        <f t="shared" ref="P452:P462" si="385">ROUND(CQ452*I452,2)</f>
        <v>714.12</v>
      </c>
      <c r="Q452">
        <f t="shared" ref="Q452:Q462" si="386">ROUND(CR452*I452,2)</f>
        <v>21.77</v>
      </c>
      <c r="R452">
        <f t="shared" ref="R452:R462" si="387">ROUND(CS452*I452,2)</f>
        <v>2.72</v>
      </c>
      <c r="S452">
        <f t="shared" ref="S452:S462" si="388">ROUND(CT452*I452,2)</f>
        <v>9159.2999999999993</v>
      </c>
      <c r="T452">
        <f t="shared" ref="T452:T462" si="389">ROUND(CU452*I452,2)</f>
        <v>0</v>
      </c>
      <c r="U452">
        <f t="shared" ref="U452:U462" si="390">CV452*I452</f>
        <v>36.11</v>
      </c>
      <c r="V452">
        <f t="shared" ref="V452:V462" si="391">CW452*I452</f>
        <v>0</v>
      </c>
      <c r="W452">
        <f t="shared" ref="W452:W462" si="392">ROUND(CX452*I452,2)</f>
        <v>0</v>
      </c>
      <c r="X452">
        <f t="shared" ref="X452:X462" si="393">ROUND(CY452,2)</f>
        <v>6411.51</v>
      </c>
      <c r="Y452">
        <f t="shared" ref="Y452:Y462" si="394">ROUND(CZ452,2)</f>
        <v>915.93</v>
      </c>
      <c r="AA452">
        <v>52430918</v>
      </c>
      <c r="AB452">
        <f t="shared" ref="AB452:AB462" si="395">ROUND((AC452+AD452+AF452),6)</f>
        <v>247379.69</v>
      </c>
      <c r="AC452">
        <f t="shared" ref="AC452:AC462" si="396">ROUND((ES452),6)</f>
        <v>17852.89</v>
      </c>
      <c r="AD452">
        <f t="shared" ref="AD452:AD462" si="397">ROUND((((ET452)-(EU452))+AE452),6)</f>
        <v>544.27</v>
      </c>
      <c r="AE452">
        <f t="shared" ref="AE452:AE462" si="398">ROUND((EU452),6)</f>
        <v>67.94</v>
      </c>
      <c r="AF452">
        <f t="shared" ref="AF452:AF462" si="399">ROUND((EV452),6)</f>
        <v>228982.53</v>
      </c>
      <c r="AG452">
        <f t="shared" ref="AG452:AG462" si="400">ROUND((AP452),6)</f>
        <v>0</v>
      </c>
      <c r="AH452">
        <f t="shared" ref="AH452:AH462" si="401">(EW452)</f>
        <v>902.75</v>
      </c>
      <c r="AI452">
        <f t="shared" ref="AI452:AI462" si="402">(EX452)</f>
        <v>0</v>
      </c>
      <c r="AJ452">
        <f t="shared" ref="AJ452:AJ462" si="403">(AS452)</f>
        <v>0</v>
      </c>
      <c r="AK452">
        <v>247379.69</v>
      </c>
      <c r="AL452">
        <v>17852.89</v>
      </c>
      <c r="AM452">
        <v>544.27</v>
      </c>
      <c r="AN452">
        <v>67.94</v>
      </c>
      <c r="AO452">
        <v>228982.53</v>
      </c>
      <c r="AP452">
        <v>0</v>
      </c>
      <c r="AQ452">
        <v>902.75</v>
      </c>
      <c r="AR452">
        <v>0</v>
      </c>
      <c r="AS452">
        <v>0</v>
      </c>
      <c r="AT452">
        <v>70</v>
      </c>
      <c r="AU452">
        <v>10</v>
      </c>
      <c r="AV452">
        <v>1</v>
      </c>
      <c r="AW452">
        <v>1</v>
      </c>
      <c r="AZ452">
        <v>1</v>
      </c>
      <c r="BA452">
        <v>1</v>
      </c>
      <c r="BB452">
        <v>1</v>
      </c>
      <c r="BC452">
        <v>1</v>
      </c>
      <c r="BD452" t="s">
        <v>3</v>
      </c>
      <c r="BE452" t="s">
        <v>3</v>
      </c>
      <c r="BF452" t="s">
        <v>3</v>
      </c>
      <c r="BG452" t="s">
        <v>3</v>
      </c>
      <c r="BH452">
        <v>0</v>
      </c>
      <c r="BI452">
        <v>4</v>
      </c>
      <c r="BJ452" t="s">
        <v>75</v>
      </c>
      <c r="BM452">
        <v>0</v>
      </c>
      <c r="BN452">
        <v>0</v>
      </c>
      <c r="BO452" t="s">
        <v>3</v>
      </c>
      <c r="BP452">
        <v>0</v>
      </c>
      <c r="BQ452">
        <v>1</v>
      </c>
      <c r="BR452">
        <v>0</v>
      </c>
      <c r="BS452">
        <v>1</v>
      </c>
      <c r="BT452">
        <v>1</v>
      </c>
      <c r="BU452">
        <v>1</v>
      </c>
      <c r="BV452">
        <v>1</v>
      </c>
      <c r="BW452">
        <v>1</v>
      </c>
      <c r="BX452">
        <v>1</v>
      </c>
      <c r="BY452" t="s">
        <v>3</v>
      </c>
      <c r="BZ452">
        <v>70</v>
      </c>
      <c r="CA452">
        <v>10</v>
      </c>
      <c r="CE452">
        <v>0</v>
      </c>
      <c r="CF452">
        <v>0</v>
      </c>
      <c r="CG452">
        <v>0</v>
      </c>
      <c r="CM452">
        <v>0</v>
      </c>
      <c r="CN452" t="s">
        <v>3</v>
      </c>
      <c r="CO452">
        <v>0</v>
      </c>
      <c r="CP452">
        <f t="shared" ref="CP452:CP462" si="404">(P452+Q452+S452)</f>
        <v>9895.1899999999987</v>
      </c>
      <c r="CQ452">
        <f t="shared" ref="CQ452:CQ462" si="405">(AC452*BC452*AW452)</f>
        <v>17852.89</v>
      </c>
      <c r="CR452">
        <f t="shared" ref="CR452:CR462" si="406">((((ET452)*BB452-(EU452)*BS452)+AE452*BS452)*AV452)</f>
        <v>544.27</v>
      </c>
      <c r="CS452">
        <f t="shared" ref="CS452:CS462" si="407">(AE452*BS452*AV452)</f>
        <v>67.94</v>
      </c>
      <c r="CT452">
        <f t="shared" ref="CT452:CT462" si="408">(AF452*BA452*AV452)</f>
        <v>228982.53</v>
      </c>
      <c r="CU452">
        <f t="shared" ref="CU452:CU462" si="409">AG452</f>
        <v>0</v>
      </c>
      <c r="CV452">
        <f t="shared" ref="CV452:CV462" si="410">(AH452*AV452)</f>
        <v>902.75</v>
      </c>
      <c r="CW452">
        <f t="shared" ref="CW452:CW462" si="411">AI452</f>
        <v>0</v>
      </c>
      <c r="CX452">
        <f t="shared" ref="CX452:CX462" si="412">AJ452</f>
        <v>0</v>
      </c>
      <c r="CY452">
        <f t="shared" ref="CY452:CY462" si="413">((S452*BZ452)/100)</f>
        <v>6411.51</v>
      </c>
      <c r="CZ452">
        <f t="shared" ref="CZ452:CZ462" si="414">((S452*CA452)/100)</f>
        <v>915.93</v>
      </c>
      <c r="DC452" t="s">
        <v>3</v>
      </c>
      <c r="DD452" t="s">
        <v>3</v>
      </c>
      <c r="DE452" t="s">
        <v>3</v>
      </c>
      <c r="DF452" t="s">
        <v>3</v>
      </c>
      <c r="DG452" t="s">
        <v>3</v>
      </c>
      <c r="DH452" t="s">
        <v>3</v>
      </c>
      <c r="DI452" t="s">
        <v>3</v>
      </c>
      <c r="DJ452" t="s">
        <v>3</v>
      </c>
      <c r="DK452" t="s">
        <v>3</v>
      </c>
      <c r="DL452" t="s">
        <v>3</v>
      </c>
      <c r="DM452" t="s">
        <v>3</v>
      </c>
      <c r="DN452">
        <v>0</v>
      </c>
      <c r="DO452">
        <v>0</v>
      </c>
      <c r="DP452">
        <v>1</v>
      </c>
      <c r="DQ452">
        <v>1</v>
      </c>
      <c r="DU452">
        <v>1010</v>
      </c>
      <c r="DV452" t="s">
        <v>74</v>
      </c>
      <c r="DW452" t="s">
        <v>74</v>
      </c>
      <c r="DX452">
        <v>100</v>
      </c>
      <c r="EE452">
        <v>52362078</v>
      </c>
      <c r="EF452">
        <v>1</v>
      </c>
      <c r="EG452" t="s">
        <v>22</v>
      </c>
      <c r="EH452">
        <v>0</v>
      </c>
      <c r="EI452" t="s">
        <v>3</v>
      </c>
      <c r="EJ452">
        <v>4</v>
      </c>
      <c r="EK452">
        <v>0</v>
      </c>
      <c r="EL452" t="s">
        <v>23</v>
      </c>
      <c r="EM452" t="s">
        <v>24</v>
      </c>
      <c r="EO452" t="s">
        <v>3</v>
      </c>
      <c r="EQ452">
        <v>0</v>
      </c>
      <c r="ER452">
        <v>247379.69</v>
      </c>
      <c r="ES452">
        <v>17852.89</v>
      </c>
      <c r="ET452">
        <v>544.27</v>
      </c>
      <c r="EU452">
        <v>67.94</v>
      </c>
      <c r="EV452">
        <v>228982.53</v>
      </c>
      <c r="EW452">
        <v>902.75</v>
      </c>
      <c r="EX452">
        <v>0</v>
      </c>
      <c r="EY452">
        <v>0</v>
      </c>
      <c r="FQ452">
        <v>0</v>
      </c>
      <c r="FR452">
        <f t="shared" ref="FR452:FR462" si="415">ROUND(IF(AND(BH452=3,BI452=3),P452,0),2)</f>
        <v>0</v>
      </c>
      <c r="FS452">
        <v>0</v>
      </c>
      <c r="FX452">
        <v>70</v>
      </c>
      <c r="FY452">
        <v>10</v>
      </c>
      <c r="GA452" t="s">
        <v>3</v>
      </c>
      <c r="GD452">
        <v>0</v>
      </c>
      <c r="GF452">
        <v>1660792619</v>
      </c>
      <c r="GG452">
        <v>2</v>
      </c>
      <c r="GH452">
        <v>1</v>
      </c>
      <c r="GI452">
        <v>-2</v>
      </c>
      <c r="GJ452">
        <v>0</v>
      </c>
      <c r="GK452">
        <f>ROUND(R452*(R12)/100,2)</f>
        <v>2.94</v>
      </c>
      <c r="GL452">
        <f t="shared" ref="GL452:GL462" si="416">ROUND(IF(AND(BH452=3,BI452=3,FS452&lt;&gt;0),P452,0),2)</f>
        <v>0</v>
      </c>
      <c r="GM452">
        <f t="shared" ref="GM452:GM462" si="417">ROUND(O452+X452+Y452+GK452,2)+GX452</f>
        <v>17225.57</v>
      </c>
      <c r="GN452">
        <f t="shared" ref="GN452:GN462" si="418">IF(OR(BI452=0,BI452=1),ROUND(O452+X452+Y452+GK452,2),0)</f>
        <v>0</v>
      </c>
      <c r="GO452">
        <f t="shared" ref="GO452:GO462" si="419">IF(BI452=2,ROUND(O452+X452+Y452+GK452,2),0)</f>
        <v>0</v>
      </c>
      <c r="GP452">
        <f t="shared" ref="GP452:GP462" si="420">IF(BI452=4,ROUND(O452+X452+Y452+GK452,2)+GX452,0)</f>
        <v>17225.57</v>
      </c>
      <c r="GR452">
        <v>0</v>
      </c>
      <c r="GS452">
        <v>3</v>
      </c>
      <c r="GT452">
        <v>0</v>
      </c>
      <c r="GU452" t="s">
        <v>3</v>
      </c>
      <c r="GV452">
        <f t="shared" ref="GV452:GV462" si="421">ROUND((GT452),6)</f>
        <v>0</v>
      </c>
      <c r="GW452">
        <v>1</v>
      </c>
      <c r="GX452">
        <f t="shared" ref="GX452:GX462" si="422">ROUND(HC452*I452,2)</f>
        <v>0</v>
      </c>
      <c r="HA452">
        <v>0</v>
      </c>
      <c r="HB452">
        <v>0</v>
      </c>
      <c r="HC452">
        <f t="shared" ref="HC452:HC462" si="423">GV452*GW452</f>
        <v>0</v>
      </c>
      <c r="HE452" t="s">
        <v>3</v>
      </c>
      <c r="HF452" t="s">
        <v>3</v>
      </c>
      <c r="IK452">
        <v>0</v>
      </c>
    </row>
    <row r="453" spans="1:245" x14ac:dyDescent="0.2">
      <c r="A453">
        <v>18</v>
      </c>
      <c r="B453">
        <v>1</v>
      </c>
      <c r="C453">
        <v>367</v>
      </c>
      <c r="E453" t="s">
        <v>336</v>
      </c>
      <c r="F453" t="s">
        <v>77</v>
      </c>
      <c r="G453" t="s">
        <v>78</v>
      </c>
      <c r="H453" t="s">
        <v>79</v>
      </c>
      <c r="I453">
        <f>I452*J453</f>
        <v>-1.48E-3</v>
      </c>
      <c r="J453">
        <v>-3.6999999999999998E-2</v>
      </c>
      <c r="O453">
        <f t="shared" si="384"/>
        <v>-15.42</v>
      </c>
      <c r="P453">
        <f t="shared" si="385"/>
        <v>-15.42</v>
      </c>
      <c r="Q453">
        <f t="shared" si="386"/>
        <v>0</v>
      </c>
      <c r="R453">
        <f t="shared" si="387"/>
        <v>0</v>
      </c>
      <c r="S453">
        <f t="shared" si="388"/>
        <v>0</v>
      </c>
      <c r="T453">
        <f t="shared" si="389"/>
        <v>0</v>
      </c>
      <c r="U453">
        <f t="shared" si="390"/>
        <v>0</v>
      </c>
      <c r="V453">
        <f t="shared" si="391"/>
        <v>0</v>
      </c>
      <c r="W453">
        <f t="shared" si="392"/>
        <v>0</v>
      </c>
      <c r="X453">
        <f t="shared" si="393"/>
        <v>0</v>
      </c>
      <c r="Y453">
        <f t="shared" si="394"/>
        <v>0</v>
      </c>
      <c r="AA453">
        <v>52430918</v>
      </c>
      <c r="AB453">
        <f t="shared" si="395"/>
        <v>10419.43</v>
      </c>
      <c r="AC453">
        <f t="shared" si="396"/>
        <v>10419.43</v>
      </c>
      <c r="AD453">
        <f t="shared" si="397"/>
        <v>0</v>
      </c>
      <c r="AE453">
        <f t="shared" si="398"/>
        <v>0</v>
      </c>
      <c r="AF453">
        <f t="shared" si="399"/>
        <v>0</v>
      </c>
      <c r="AG453">
        <f t="shared" si="400"/>
        <v>0</v>
      </c>
      <c r="AH453">
        <f t="shared" si="401"/>
        <v>0</v>
      </c>
      <c r="AI453">
        <f t="shared" si="402"/>
        <v>0</v>
      </c>
      <c r="AJ453">
        <f t="shared" si="403"/>
        <v>0</v>
      </c>
      <c r="AK453">
        <v>10419.43</v>
      </c>
      <c r="AL453">
        <v>10419.43</v>
      </c>
      <c r="AM453">
        <v>0</v>
      </c>
      <c r="AN453">
        <v>0</v>
      </c>
      <c r="AO453">
        <v>0</v>
      </c>
      <c r="AP453">
        <v>0</v>
      </c>
      <c r="AQ453">
        <v>0</v>
      </c>
      <c r="AR453">
        <v>0</v>
      </c>
      <c r="AS453">
        <v>0</v>
      </c>
      <c r="AT453">
        <v>70</v>
      </c>
      <c r="AU453">
        <v>10</v>
      </c>
      <c r="AV453">
        <v>1</v>
      </c>
      <c r="AW453">
        <v>1</v>
      </c>
      <c r="AZ453">
        <v>1</v>
      </c>
      <c r="BA453">
        <v>1</v>
      </c>
      <c r="BB453">
        <v>1</v>
      </c>
      <c r="BC453">
        <v>1</v>
      </c>
      <c r="BD453" t="s">
        <v>3</v>
      </c>
      <c r="BE453" t="s">
        <v>3</v>
      </c>
      <c r="BF453" t="s">
        <v>3</v>
      </c>
      <c r="BG453" t="s">
        <v>3</v>
      </c>
      <c r="BH453">
        <v>3</v>
      </c>
      <c r="BI453">
        <v>4</v>
      </c>
      <c r="BJ453" t="s">
        <v>80</v>
      </c>
      <c r="BM453">
        <v>0</v>
      </c>
      <c r="BN453">
        <v>0</v>
      </c>
      <c r="BO453" t="s">
        <v>3</v>
      </c>
      <c r="BP453">
        <v>0</v>
      </c>
      <c r="BQ453">
        <v>1</v>
      </c>
      <c r="BR453">
        <v>1</v>
      </c>
      <c r="BS453">
        <v>1</v>
      </c>
      <c r="BT453">
        <v>1</v>
      </c>
      <c r="BU453">
        <v>1</v>
      </c>
      <c r="BV453">
        <v>1</v>
      </c>
      <c r="BW453">
        <v>1</v>
      </c>
      <c r="BX453">
        <v>1</v>
      </c>
      <c r="BY453" t="s">
        <v>3</v>
      </c>
      <c r="BZ453">
        <v>70</v>
      </c>
      <c r="CA453">
        <v>10</v>
      </c>
      <c r="CE453">
        <v>0</v>
      </c>
      <c r="CF453">
        <v>0</v>
      </c>
      <c r="CG453">
        <v>0</v>
      </c>
      <c r="CM453">
        <v>0</v>
      </c>
      <c r="CN453" t="s">
        <v>3</v>
      </c>
      <c r="CO453">
        <v>0</v>
      </c>
      <c r="CP453">
        <f t="shared" si="404"/>
        <v>-15.42</v>
      </c>
      <c r="CQ453">
        <f t="shared" si="405"/>
        <v>10419.43</v>
      </c>
      <c r="CR453">
        <f t="shared" si="406"/>
        <v>0</v>
      </c>
      <c r="CS453">
        <f t="shared" si="407"/>
        <v>0</v>
      </c>
      <c r="CT453">
        <f t="shared" si="408"/>
        <v>0</v>
      </c>
      <c r="CU453">
        <f t="shared" si="409"/>
        <v>0</v>
      </c>
      <c r="CV453">
        <f t="shared" si="410"/>
        <v>0</v>
      </c>
      <c r="CW453">
        <f t="shared" si="411"/>
        <v>0</v>
      </c>
      <c r="CX453">
        <f t="shared" si="412"/>
        <v>0</v>
      </c>
      <c r="CY453">
        <f t="shared" si="413"/>
        <v>0</v>
      </c>
      <c r="CZ453">
        <f t="shared" si="414"/>
        <v>0</v>
      </c>
      <c r="DC453" t="s">
        <v>3</v>
      </c>
      <c r="DD453" t="s">
        <v>3</v>
      </c>
      <c r="DE453" t="s">
        <v>3</v>
      </c>
      <c r="DF453" t="s">
        <v>3</v>
      </c>
      <c r="DG453" t="s">
        <v>3</v>
      </c>
      <c r="DH453" t="s">
        <v>3</v>
      </c>
      <c r="DI453" t="s">
        <v>3</v>
      </c>
      <c r="DJ453" t="s">
        <v>3</v>
      </c>
      <c r="DK453" t="s">
        <v>3</v>
      </c>
      <c r="DL453" t="s">
        <v>3</v>
      </c>
      <c r="DM453" t="s">
        <v>3</v>
      </c>
      <c r="DN453">
        <v>0</v>
      </c>
      <c r="DO453">
        <v>0</v>
      </c>
      <c r="DP453">
        <v>1</v>
      </c>
      <c r="DQ453">
        <v>1</v>
      </c>
      <c r="DU453">
        <v>1010</v>
      </c>
      <c r="DV453" t="s">
        <v>79</v>
      </c>
      <c r="DW453" t="s">
        <v>79</v>
      </c>
      <c r="DX453">
        <v>1000</v>
      </c>
      <c r="EE453">
        <v>52362078</v>
      </c>
      <c r="EF453">
        <v>1</v>
      </c>
      <c r="EG453" t="s">
        <v>22</v>
      </c>
      <c r="EH453">
        <v>0</v>
      </c>
      <c r="EI453" t="s">
        <v>3</v>
      </c>
      <c r="EJ453">
        <v>4</v>
      </c>
      <c r="EK453">
        <v>0</v>
      </c>
      <c r="EL453" t="s">
        <v>23</v>
      </c>
      <c r="EM453" t="s">
        <v>24</v>
      </c>
      <c r="EO453" t="s">
        <v>3</v>
      </c>
      <c r="EQ453">
        <v>32768</v>
      </c>
      <c r="ER453">
        <v>10419.43</v>
      </c>
      <c r="ES453">
        <v>10419.43</v>
      </c>
      <c r="ET453">
        <v>0</v>
      </c>
      <c r="EU453">
        <v>0</v>
      </c>
      <c r="EV453">
        <v>0</v>
      </c>
      <c r="EW453">
        <v>0</v>
      </c>
      <c r="EX453">
        <v>0</v>
      </c>
      <c r="FQ453">
        <v>0</v>
      </c>
      <c r="FR453">
        <f t="shared" si="415"/>
        <v>0</v>
      </c>
      <c r="FS453">
        <v>0</v>
      </c>
      <c r="FX453">
        <v>70</v>
      </c>
      <c r="FY453">
        <v>10</v>
      </c>
      <c r="GA453" t="s">
        <v>3</v>
      </c>
      <c r="GD453">
        <v>0</v>
      </c>
      <c r="GF453">
        <v>-477329452</v>
      </c>
      <c r="GG453">
        <v>2</v>
      </c>
      <c r="GH453">
        <v>1</v>
      </c>
      <c r="GI453">
        <v>-2</v>
      </c>
      <c r="GJ453">
        <v>0</v>
      </c>
      <c r="GK453">
        <f>ROUND(R453*(R12)/100,2)</f>
        <v>0</v>
      </c>
      <c r="GL453">
        <f t="shared" si="416"/>
        <v>0</v>
      </c>
      <c r="GM453">
        <f t="shared" si="417"/>
        <v>-15.42</v>
      </c>
      <c r="GN453">
        <f t="shared" si="418"/>
        <v>0</v>
      </c>
      <c r="GO453">
        <f t="shared" si="419"/>
        <v>0</v>
      </c>
      <c r="GP453">
        <f t="shared" si="420"/>
        <v>-15.42</v>
      </c>
      <c r="GR453">
        <v>0</v>
      </c>
      <c r="GS453">
        <v>3</v>
      </c>
      <c r="GT453">
        <v>0</v>
      </c>
      <c r="GU453" t="s">
        <v>3</v>
      </c>
      <c r="GV453">
        <f t="shared" si="421"/>
        <v>0</v>
      </c>
      <c r="GW453">
        <v>1</v>
      </c>
      <c r="GX453">
        <f t="shared" si="422"/>
        <v>0</v>
      </c>
      <c r="HA453">
        <v>0</v>
      </c>
      <c r="HB453">
        <v>0</v>
      </c>
      <c r="HC453">
        <f t="shared" si="423"/>
        <v>0</v>
      </c>
      <c r="HE453" t="s">
        <v>3</v>
      </c>
      <c r="HF453" t="s">
        <v>3</v>
      </c>
      <c r="IK453">
        <v>0</v>
      </c>
    </row>
    <row r="454" spans="1:245" x14ac:dyDescent="0.2">
      <c r="A454">
        <v>18</v>
      </c>
      <c r="B454">
        <v>1</v>
      </c>
      <c r="C454">
        <v>365</v>
      </c>
      <c r="E454" t="s">
        <v>337</v>
      </c>
      <c r="F454" t="s">
        <v>82</v>
      </c>
      <c r="G454" t="s">
        <v>83</v>
      </c>
      <c r="H454" t="s">
        <v>84</v>
      </c>
      <c r="I454">
        <f>I452*J454</f>
        <v>-0.21759999999999999</v>
      </c>
      <c r="J454">
        <v>-5.4399999999999995</v>
      </c>
      <c r="O454">
        <f t="shared" si="384"/>
        <v>-2.35</v>
      </c>
      <c r="P454">
        <f t="shared" si="385"/>
        <v>0</v>
      </c>
      <c r="Q454">
        <f t="shared" si="386"/>
        <v>-2.35</v>
      </c>
      <c r="R454">
        <f t="shared" si="387"/>
        <v>-0.65</v>
      </c>
      <c r="S454">
        <f t="shared" si="388"/>
        <v>0</v>
      </c>
      <c r="T454">
        <f t="shared" si="389"/>
        <v>0</v>
      </c>
      <c r="U454">
        <f t="shared" si="390"/>
        <v>0</v>
      </c>
      <c r="V454">
        <f t="shared" si="391"/>
        <v>0</v>
      </c>
      <c r="W454">
        <f t="shared" si="392"/>
        <v>0</v>
      </c>
      <c r="X454">
        <f t="shared" si="393"/>
        <v>0</v>
      </c>
      <c r="Y454">
        <f t="shared" si="394"/>
        <v>0</v>
      </c>
      <c r="AA454">
        <v>52430918</v>
      </c>
      <c r="AB454">
        <f t="shared" si="395"/>
        <v>10.82</v>
      </c>
      <c r="AC454">
        <f t="shared" si="396"/>
        <v>0</v>
      </c>
      <c r="AD454">
        <f t="shared" si="397"/>
        <v>10.82</v>
      </c>
      <c r="AE454">
        <f t="shared" si="398"/>
        <v>2.97</v>
      </c>
      <c r="AF454">
        <f t="shared" si="399"/>
        <v>0</v>
      </c>
      <c r="AG454">
        <f t="shared" si="400"/>
        <v>0</v>
      </c>
      <c r="AH454">
        <f t="shared" si="401"/>
        <v>0</v>
      </c>
      <c r="AI454">
        <f t="shared" si="402"/>
        <v>0</v>
      </c>
      <c r="AJ454">
        <f t="shared" si="403"/>
        <v>0</v>
      </c>
      <c r="AK454">
        <v>10.82</v>
      </c>
      <c r="AL454">
        <v>0</v>
      </c>
      <c r="AM454">
        <v>10.82</v>
      </c>
      <c r="AN454">
        <v>2.97</v>
      </c>
      <c r="AO454">
        <v>0</v>
      </c>
      <c r="AP454">
        <v>0</v>
      </c>
      <c r="AQ454">
        <v>0</v>
      </c>
      <c r="AR454">
        <v>0</v>
      </c>
      <c r="AS454">
        <v>0</v>
      </c>
      <c r="AT454">
        <v>70</v>
      </c>
      <c r="AU454">
        <v>10</v>
      </c>
      <c r="AV454">
        <v>1</v>
      </c>
      <c r="AW454">
        <v>1</v>
      </c>
      <c r="AZ454">
        <v>1</v>
      </c>
      <c r="BA454">
        <v>1</v>
      </c>
      <c r="BB454">
        <v>1</v>
      </c>
      <c r="BC454">
        <v>1</v>
      </c>
      <c r="BD454" t="s">
        <v>3</v>
      </c>
      <c r="BE454" t="s">
        <v>3</v>
      </c>
      <c r="BF454" t="s">
        <v>3</v>
      </c>
      <c r="BG454" t="s">
        <v>3</v>
      </c>
      <c r="BH454">
        <v>2</v>
      </c>
      <c r="BI454">
        <v>4</v>
      </c>
      <c r="BJ454" t="s">
        <v>85</v>
      </c>
      <c r="BM454">
        <v>0</v>
      </c>
      <c r="BN454">
        <v>0</v>
      </c>
      <c r="BO454" t="s">
        <v>3</v>
      </c>
      <c r="BP454">
        <v>0</v>
      </c>
      <c r="BQ454">
        <v>1</v>
      </c>
      <c r="BR454">
        <v>1</v>
      </c>
      <c r="BS454">
        <v>1</v>
      </c>
      <c r="BT454">
        <v>1</v>
      </c>
      <c r="BU454">
        <v>1</v>
      </c>
      <c r="BV454">
        <v>1</v>
      </c>
      <c r="BW454">
        <v>1</v>
      </c>
      <c r="BX454">
        <v>1</v>
      </c>
      <c r="BY454" t="s">
        <v>3</v>
      </c>
      <c r="BZ454">
        <v>70</v>
      </c>
      <c r="CA454">
        <v>10</v>
      </c>
      <c r="CE454">
        <v>0</v>
      </c>
      <c r="CF454">
        <v>0</v>
      </c>
      <c r="CG454">
        <v>0</v>
      </c>
      <c r="CM454">
        <v>0</v>
      </c>
      <c r="CN454" t="s">
        <v>3</v>
      </c>
      <c r="CO454">
        <v>0</v>
      </c>
      <c r="CP454">
        <f t="shared" si="404"/>
        <v>-2.35</v>
      </c>
      <c r="CQ454">
        <f t="shared" si="405"/>
        <v>0</v>
      </c>
      <c r="CR454">
        <f t="shared" si="406"/>
        <v>10.82</v>
      </c>
      <c r="CS454">
        <f t="shared" si="407"/>
        <v>2.97</v>
      </c>
      <c r="CT454">
        <f t="shared" si="408"/>
        <v>0</v>
      </c>
      <c r="CU454">
        <f t="shared" si="409"/>
        <v>0</v>
      </c>
      <c r="CV454">
        <f t="shared" si="410"/>
        <v>0</v>
      </c>
      <c r="CW454">
        <f t="shared" si="411"/>
        <v>0</v>
      </c>
      <c r="CX454">
        <f t="shared" si="412"/>
        <v>0</v>
      </c>
      <c r="CY454">
        <f t="shared" si="413"/>
        <v>0</v>
      </c>
      <c r="CZ454">
        <f t="shared" si="414"/>
        <v>0</v>
      </c>
      <c r="DC454" t="s">
        <v>3</v>
      </c>
      <c r="DD454" t="s">
        <v>3</v>
      </c>
      <c r="DE454" t="s">
        <v>3</v>
      </c>
      <c r="DF454" t="s">
        <v>3</v>
      </c>
      <c r="DG454" t="s">
        <v>3</v>
      </c>
      <c r="DH454" t="s">
        <v>3</v>
      </c>
      <c r="DI454" t="s">
        <v>3</v>
      </c>
      <c r="DJ454" t="s">
        <v>3</v>
      </c>
      <c r="DK454" t="s">
        <v>3</v>
      </c>
      <c r="DL454" t="s">
        <v>3</v>
      </c>
      <c r="DM454" t="s">
        <v>3</v>
      </c>
      <c r="DN454">
        <v>0</v>
      </c>
      <c r="DO454">
        <v>0</v>
      </c>
      <c r="DP454">
        <v>1</v>
      </c>
      <c r="DQ454">
        <v>1</v>
      </c>
      <c r="DU454">
        <v>1011</v>
      </c>
      <c r="DV454" t="s">
        <v>84</v>
      </c>
      <c r="DW454" t="s">
        <v>84</v>
      </c>
      <c r="DX454">
        <v>1</v>
      </c>
      <c r="EE454">
        <v>52362078</v>
      </c>
      <c r="EF454">
        <v>1</v>
      </c>
      <c r="EG454" t="s">
        <v>22</v>
      </c>
      <c r="EH454">
        <v>0</v>
      </c>
      <c r="EI454" t="s">
        <v>3</v>
      </c>
      <c r="EJ454">
        <v>4</v>
      </c>
      <c r="EK454">
        <v>0</v>
      </c>
      <c r="EL454" t="s">
        <v>23</v>
      </c>
      <c r="EM454" t="s">
        <v>24</v>
      </c>
      <c r="EO454" t="s">
        <v>3</v>
      </c>
      <c r="EQ454">
        <v>32768</v>
      </c>
      <c r="ER454">
        <v>10.82</v>
      </c>
      <c r="ES454">
        <v>0</v>
      </c>
      <c r="ET454">
        <v>10.82</v>
      </c>
      <c r="EU454">
        <v>2.97</v>
      </c>
      <c r="EV454">
        <v>0</v>
      </c>
      <c r="EW454">
        <v>0</v>
      </c>
      <c r="EX454">
        <v>0</v>
      </c>
      <c r="FQ454">
        <v>0</v>
      </c>
      <c r="FR454">
        <f t="shared" si="415"/>
        <v>0</v>
      </c>
      <c r="FS454">
        <v>0</v>
      </c>
      <c r="FX454">
        <v>70</v>
      </c>
      <c r="FY454">
        <v>10</v>
      </c>
      <c r="GA454" t="s">
        <v>3</v>
      </c>
      <c r="GD454">
        <v>0</v>
      </c>
      <c r="GF454">
        <v>1349119844</v>
      </c>
      <c r="GG454">
        <v>2</v>
      </c>
      <c r="GH454">
        <v>1</v>
      </c>
      <c r="GI454">
        <v>-2</v>
      </c>
      <c r="GJ454">
        <v>0</v>
      </c>
      <c r="GK454">
        <f>ROUND(R454*(R12)/100,2)</f>
        <v>-0.7</v>
      </c>
      <c r="GL454">
        <f t="shared" si="416"/>
        <v>0</v>
      </c>
      <c r="GM454">
        <f t="shared" si="417"/>
        <v>-3.05</v>
      </c>
      <c r="GN454">
        <f t="shared" si="418"/>
        <v>0</v>
      </c>
      <c r="GO454">
        <f t="shared" si="419"/>
        <v>0</v>
      </c>
      <c r="GP454">
        <f t="shared" si="420"/>
        <v>-3.05</v>
      </c>
      <c r="GR454">
        <v>0</v>
      </c>
      <c r="GS454">
        <v>7</v>
      </c>
      <c r="GT454">
        <v>0</v>
      </c>
      <c r="GU454" t="s">
        <v>3</v>
      </c>
      <c r="GV454">
        <f t="shared" si="421"/>
        <v>0</v>
      </c>
      <c r="GW454">
        <v>1</v>
      </c>
      <c r="GX454">
        <f t="shared" si="422"/>
        <v>0</v>
      </c>
      <c r="HA454">
        <v>0</v>
      </c>
      <c r="HB454">
        <v>0</v>
      </c>
      <c r="HC454">
        <f t="shared" si="423"/>
        <v>0</v>
      </c>
      <c r="HE454" t="s">
        <v>3</v>
      </c>
      <c r="HF454" t="s">
        <v>3</v>
      </c>
      <c r="IK454">
        <v>0</v>
      </c>
    </row>
    <row r="455" spans="1:245" x14ac:dyDescent="0.2">
      <c r="A455">
        <v>18</v>
      </c>
      <c r="B455">
        <v>1</v>
      </c>
      <c r="C455">
        <v>364</v>
      </c>
      <c r="E455" t="s">
        <v>338</v>
      </c>
      <c r="F455" t="s">
        <v>87</v>
      </c>
      <c r="G455" t="s">
        <v>88</v>
      </c>
      <c r="H455" t="s">
        <v>84</v>
      </c>
      <c r="I455">
        <f>I452*J455</f>
        <v>-0.57999999999999996</v>
      </c>
      <c r="J455">
        <v>-14.499999999999998</v>
      </c>
      <c r="O455">
        <f t="shared" si="384"/>
        <v>-15.78</v>
      </c>
      <c r="P455">
        <f t="shared" si="385"/>
        <v>0</v>
      </c>
      <c r="Q455">
        <f t="shared" si="386"/>
        <v>-15.78</v>
      </c>
      <c r="R455">
        <f t="shared" si="387"/>
        <v>-0.08</v>
      </c>
      <c r="S455">
        <f t="shared" si="388"/>
        <v>0</v>
      </c>
      <c r="T455">
        <f t="shared" si="389"/>
        <v>0</v>
      </c>
      <c r="U455">
        <f t="shared" si="390"/>
        <v>0</v>
      </c>
      <c r="V455">
        <f t="shared" si="391"/>
        <v>0</v>
      </c>
      <c r="W455">
        <f t="shared" si="392"/>
        <v>0</v>
      </c>
      <c r="X455">
        <f t="shared" si="393"/>
        <v>0</v>
      </c>
      <c r="Y455">
        <f t="shared" si="394"/>
        <v>0</v>
      </c>
      <c r="AA455">
        <v>52430918</v>
      </c>
      <c r="AB455">
        <f t="shared" si="395"/>
        <v>27.21</v>
      </c>
      <c r="AC455">
        <f t="shared" si="396"/>
        <v>0</v>
      </c>
      <c r="AD455">
        <f t="shared" si="397"/>
        <v>27.21</v>
      </c>
      <c r="AE455">
        <f t="shared" si="398"/>
        <v>0.13</v>
      </c>
      <c r="AF455">
        <f t="shared" si="399"/>
        <v>0</v>
      </c>
      <c r="AG455">
        <f t="shared" si="400"/>
        <v>0</v>
      </c>
      <c r="AH455">
        <f t="shared" si="401"/>
        <v>0</v>
      </c>
      <c r="AI455">
        <f t="shared" si="402"/>
        <v>0</v>
      </c>
      <c r="AJ455">
        <f t="shared" si="403"/>
        <v>0</v>
      </c>
      <c r="AK455">
        <v>27.21</v>
      </c>
      <c r="AL455">
        <v>0</v>
      </c>
      <c r="AM455">
        <v>27.21</v>
      </c>
      <c r="AN455">
        <v>0.13</v>
      </c>
      <c r="AO455">
        <v>0</v>
      </c>
      <c r="AP455">
        <v>0</v>
      </c>
      <c r="AQ455">
        <v>0</v>
      </c>
      <c r="AR455">
        <v>0</v>
      </c>
      <c r="AS455">
        <v>0</v>
      </c>
      <c r="AT455">
        <v>70</v>
      </c>
      <c r="AU455">
        <v>10</v>
      </c>
      <c r="AV455">
        <v>1</v>
      </c>
      <c r="AW455">
        <v>1</v>
      </c>
      <c r="AZ455">
        <v>1</v>
      </c>
      <c r="BA455">
        <v>1</v>
      </c>
      <c r="BB455">
        <v>1</v>
      </c>
      <c r="BC455">
        <v>1</v>
      </c>
      <c r="BD455" t="s">
        <v>3</v>
      </c>
      <c r="BE455" t="s">
        <v>3</v>
      </c>
      <c r="BF455" t="s">
        <v>3</v>
      </c>
      <c r="BG455" t="s">
        <v>3</v>
      </c>
      <c r="BH455">
        <v>2</v>
      </c>
      <c r="BI455">
        <v>4</v>
      </c>
      <c r="BJ455" t="s">
        <v>89</v>
      </c>
      <c r="BM455">
        <v>0</v>
      </c>
      <c r="BN455">
        <v>0</v>
      </c>
      <c r="BO455" t="s">
        <v>3</v>
      </c>
      <c r="BP455">
        <v>0</v>
      </c>
      <c r="BQ455">
        <v>1</v>
      </c>
      <c r="BR455">
        <v>1</v>
      </c>
      <c r="BS455">
        <v>1</v>
      </c>
      <c r="BT455">
        <v>1</v>
      </c>
      <c r="BU455">
        <v>1</v>
      </c>
      <c r="BV455">
        <v>1</v>
      </c>
      <c r="BW455">
        <v>1</v>
      </c>
      <c r="BX455">
        <v>1</v>
      </c>
      <c r="BY455" t="s">
        <v>3</v>
      </c>
      <c r="BZ455">
        <v>70</v>
      </c>
      <c r="CA455">
        <v>10</v>
      </c>
      <c r="CE455">
        <v>0</v>
      </c>
      <c r="CF455">
        <v>0</v>
      </c>
      <c r="CG455">
        <v>0</v>
      </c>
      <c r="CM455">
        <v>0</v>
      </c>
      <c r="CN455" t="s">
        <v>3</v>
      </c>
      <c r="CO455">
        <v>0</v>
      </c>
      <c r="CP455">
        <f t="shared" si="404"/>
        <v>-15.78</v>
      </c>
      <c r="CQ455">
        <f t="shared" si="405"/>
        <v>0</v>
      </c>
      <c r="CR455">
        <f t="shared" si="406"/>
        <v>27.21</v>
      </c>
      <c r="CS455">
        <f t="shared" si="407"/>
        <v>0.13</v>
      </c>
      <c r="CT455">
        <f t="shared" si="408"/>
        <v>0</v>
      </c>
      <c r="CU455">
        <f t="shared" si="409"/>
        <v>0</v>
      </c>
      <c r="CV455">
        <f t="shared" si="410"/>
        <v>0</v>
      </c>
      <c r="CW455">
        <f t="shared" si="411"/>
        <v>0</v>
      </c>
      <c r="CX455">
        <f t="shared" si="412"/>
        <v>0</v>
      </c>
      <c r="CY455">
        <f t="shared" si="413"/>
        <v>0</v>
      </c>
      <c r="CZ455">
        <f t="shared" si="414"/>
        <v>0</v>
      </c>
      <c r="DC455" t="s">
        <v>3</v>
      </c>
      <c r="DD455" t="s">
        <v>3</v>
      </c>
      <c r="DE455" t="s">
        <v>3</v>
      </c>
      <c r="DF455" t="s">
        <v>3</v>
      </c>
      <c r="DG455" t="s">
        <v>3</v>
      </c>
      <c r="DH455" t="s">
        <v>3</v>
      </c>
      <c r="DI455" t="s">
        <v>3</v>
      </c>
      <c r="DJ455" t="s">
        <v>3</v>
      </c>
      <c r="DK455" t="s">
        <v>3</v>
      </c>
      <c r="DL455" t="s">
        <v>3</v>
      </c>
      <c r="DM455" t="s">
        <v>3</v>
      </c>
      <c r="DN455">
        <v>0</v>
      </c>
      <c r="DO455">
        <v>0</v>
      </c>
      <c r="DP455">
        <v>1</v>
      </c>
      <c r="DQ455">
        <v>1</v>
      </c>
      <c r="DU455">
        <v>1011</v>
      </c>
      <c r="DV455" t="s">
        <v>84</v>
      </c>
      <c r="DW455" t="s">
        <v>84</v>
      </c>
      <c r="DX455">
        <v>1</v>
      </c>
      <c r="EE455">
        <v>52362078</v>
      </c>
      <c r="EF455">
        <v>1</v>
      </c>
      <c r="EG455" t="s">
        <v>22</v>
      </c>
      <c r="EH455">
        <v>0</v>
      </c>
      <c r="EI455" t="s">
        <v>3</v>
      </c>
      <c r="EJ455">
        <v>4</v>
      </c>
      <c r="EK455">
        <v>0</v>
      </c>
      <c r="EL455" t="s">
        <v>23</v>
      </c>
      <c r="EM455" t="s">
        <v>24</v>
      </c>
      <c r="EO455" t="s">
        <v>3</v>
      </c>
      <c r="EQ455">
        <v>32768</v>
      </c>
      <c r="ER455">
        <v>27.21</v>
      </c>
      <c r="ES455">
        <v>0</v>
      </c>
      <c r="ET455">
        <v>27.21</v>
      </c>
      <c r="EU455">
        <v>0.13</v>
      </c>
      <c r="EV455">
        <v>0</v>
      </c>
      <c r="EW455">
        <v>0</v>
      </c>
      <c r="EX455">
        <v>0</v>
      </c>
      <c r="FQ455">
        <v>0</v>
      </c>
      <c r="FR455">
        <f t="shared" si="415"/>
        <v>0</v>
      </c>
      <c r="FS455">
        <v>0</v>
      </c>
      <c r="FX455">
        <v>70</v>
      </c>
      <c r="FY455">
        <v>10</v>
      </c>
      <c r="GA455" t="s">
        <v>3</v>
      </c>
      <c r="GD455">
        <v>0</v>
      </c>
      <c r="GF455">
        <v>-1757825014</v>
      </c>
      <c r="GG455">
        <v>2</v>
      </c>
      <c r="GH455">
        <v>1</v>
      </c>
      <c r="GI455">
        <v>-2</v>
      </c>
      <c r="GJ455">
        <v>0</v>
      </c>
      <c r="GK455">
        <f>ROUND(R455*(R12)/100,2)</f>
        <v>-0.09</v>
      </c>
      <c r="GL455">
        <f t="shared" si="416"/>
        <v>0</v>
      </c>
      <c r="GM455">
        <f t="shared" si="417"/>
        <v>-15.87</v>
      </c>
      <c r="GN455">
        <f t="shared" si="418"/>
        <v>0</v>
      </c>
      <c r="GO455">
        <f t="shared" si="419"/>
        <v>0</v>
      </c>
      <c r="GP455">
        <f t="shared" si="420"/>
        <v>-15.87</v>
      </c>
      <c r="GR455">
        <v>0</v>
      </c>
      <c r="GS455">
        <v>7</v>
      </c>
      <c r="GT455">
        <v>0</v>
      </c>
      <c r="GU455" t="s">
        <v>3</v>
      </c>
      <c r="GV455">
        <f t="shared" si="421"/>
        <v>0</v>
      </c>
      <c r="GW455">
        <v>1</v>
      </c>
      <c r="GX455">
        <f t="shared" si="422"/>
        <v>0</v>
      </c>
      <c r="HA455">
        <v>0</v>
      </c>
      <c r="HB455">
        <v>0</v>
      </c>
      <c r="HC455">
        <f t="shared" si="423"/>
        <v>0</v>
      </c>
      <c r="HE455" t="s">
        <v>3</v>
      </c>
      <c r="HF455" t="s">
        <v>3</v>
      </c>
      <c r="IK455">
        <v>0</v>
      </c>
    </row>
    <row r="456" spans="1:245" x14ac:dyDescent="0.2">
      <c r="A456">
        <v>18</v>
      </c>
      <c r="B456">
        <v>1</v>
      </c>
      <c r="C456">
        <v>363</v>
      </c>
      <c r="E456" t="s">
        <v>339</v>
      </c>
      <c r="F456" t="s">
        <v>91</v>
      </c>
      <c r="G456" t="s">
        <v>92</v>
      </c>
      <c r="H456" t="s">
        <v>84</v>
      </c>
      <c r="I456">
        <f>I452*J456</f>
        <v>-3.5999999999999999E-3</v>
      </c>
      <c r="J456">
        <v>-0.09</v>
      </c>
      <c r="O456">
        <f t="shared" si="384"/>
        <v>-3.63</v>
      </c>
      <c r="P456">
        <f t="shared" si="385"/>
        <v>0</v>
      </c>
      <c r="Q456">
        <f t="shared" si="386"/>
        <v>-3.63</v>
      </c>
      <c r="R456">
        <f t="shared" si="387"/>
        <v>-2</v>
      </c>
      <c r="S456">
        <f t="shared" si="388"/>
        <v>0</v>
      </c>
      <c r="T456">
        <f t="shared" si="389"/>
        <v>0</v>
      </c>
      <c r="U456">
        <f t="shared" si="390"/>
        <v>0</v>
      </c>
      <c r="V456">
        <f t="shared" si="391"/>
        <v>0</v>
      </c>
      <c r="W456">
        <f t="shared" si="392"/>
        <v>0</v>
      </c>
      <c r="X456">
        <f t="shared" si="393"/>
        <v>0</v>
      </c>
      <c r="Y456">
        <f t="shared" si="394"/>
        <v>0</v>
      </c>
      <c r="AA456">
        <v>52430918</v>
      </c>
      <c r="AB456">
        <f t="shared" si="395"/>
        <v>1009.65</v>
      </c>
      <c r="AC456">
        <f t="shared" si="396"/>
        <v>0</v>
      </c>
      <c r="AD456">
        <f t="shared" si="397"/>
        <v>1009.65</v>
      </c>
      <c r="AE456">
        <f t="shared" si="398"/>
        <v>554.42999999999995</v>
      </c>
      <c r="AF456">
        <f t="shared" si="399"/>
        <v>0</v>
      </c>
      <c r="AG456">
        <f t="shared" si="400"/>
        <v>0</v>
      </c>
      <c r="AH456">
        <f t="shared" si="401"/>
        <v>0</v>
      </c>
      <c r="AI456">
        <f t="shared" si="402"/>
        <v>0</v>
      </c>
      <c r="AJ456">
        <f t="shared" si="403"/>
        <v>0</v>
      </c>
      <c r="AK456">
        <v>1009.65</v>
      </c>
      <c r="AL456">
        <v>0</v>
      </c>
      <c r="AM456">
        <v>1009.65</v>
      </c>
      <c r="AN456">
        <v>554.42999999999995</v>
      </c>
      <c r="AO456">
        <v>0</v>
      </c>
      <c r="AP456">
        <v>0</v>
      </c>
      <c r="AQ456">
        <v>0</v>
      </c>
      <c r="AR456">
        <v>0</v>
      </c>
      <c r="AS456">
        <v>0</v>
      </c>
      <c r="AT456">
        <v>70</v>
      </c>
      <c r="AU456">
        <v>10</v>
      </c>
      <c r="AV456">
        <v>1</v>
      </c>
      <c r="AW456">
        <v>1</v>
      </c>
      <c r="AZ456">
        <v>1</v>
      </c>
      <c r="BA456">
        <v>1</v>
      </c>
      <c r="BB456">
        <v>1</v>
      </c>
      <c r="BC456">
        <v>1</v>
      </c>
      <c r="BD456" t="s">
        <v>3</v>
      </c>
      <c r="BE456" t="s">
        <v>3</v>
      </c>
      <c r="BF456" t="s">
        <v>3</v>
      </c>
      <c r="BG456" t="s">
        <v>3</v>
      </c>
      <c r="BH456">
        <v>2</v>
      </c>
      <c r="BI456">
        <v>4</v>
      </c>
      <c r="BJ456" t="s">
        <v>93</v>
      </c>
      <c r="BM456">
        <v>0</v>
      </c>
      <c r="BN456">
        <v>0</v>
      </c>
      <c r="BO456" t="s">
        <v>3</v>
      </c>
      <c r="BP456">
        <v>0</v>
      </c>
      <c r="BQ456">
        <v>1</v>
      </c>
      <c r="BR456">
        <v>1</v>
      </c>
      <c r="BS456">
        <v>1</v>
      </c>
      <c r="BT456">
        <v>1</v>
      </c>
      <c r="BU456">
        <v>1</v>
      </c>
      <c r="BV456">
        <v>1</v>
      </c>
      <c r="BW456">
        <v>1</v>
      </c>
      <c r="BX456">
        <v>1</v>
      </c>
      <c r="BY456" t="s">
        <v>3</v>
      </c>
      <c r="BZ456">
        <v>70</v>
      </c>
      <c r="CA456">
        <v>10</v>
      </c>
      <c r="CE456">
        <v>0</v>
      </c>
      <c r="CF456">
        <v>0</v>
      </c>
      <c r="CG456">
        <v>0</v>
      </c>
      <c r="CM456">
        <v>0</v>
      </c>
      <c r="CN456" t="s">
        <v>3</v>
      </c>
      <c r="CO456">
        <v>0</v>
      </c>
      <c r="CP456">
        <f t="shared" si="404"/>
        <v>-3.63</v>
      </c>
      <c r="CQ456">
        <f t="shared" si="405"/>
        <v>0</v>
      </c>
      <c r="CR456">
        <f t="shared" si="406"/>
        <v>1009.65</v>
      </c>
      <c r="CS456">
        <f t="shared" si="407"/>
        <v>554.42999999999995</v>
      </c>
      <c r="CT456">
        <f t="shared" si="408"/>
        <v>0</v>
      </c>
      <c r="CU456">
        <f t="shared" si="409"/>
        <v>0</v>
      </c>
      <c r="CV456">
        <f t="shared" si="410"/>
        <v>0</v>
      </c>
      <c r="CW456">
        <f t="shared" si="411"/>
        <v>0</v>
      </c>
      <c r="CX456">
        <f t="shared" si="412"/>
        <v>0</v>
      </c>
      <c r="CY456">
        <f t="shared" si="413"/>
        <v>0</v>
      </c>
      <c r="CZ456">
        <f t="shared" si="414"/>
        <v>0</v>
      </c>
      <c r="DC456" t="s">
        <v>3</v>
      </c>
      <c r="DD456" t="s">
        <v>3</v>
      </c>
      <c r="DE456" t="s">
        <v>3</v>
      </c>
      <c r="DF456" t="s">
        <v>3</v>
      </c>
      <c r="DG456" t="s">
        <v>3</v>
      </c>
      <c r="DH456" t="s">
        <v>3</v>
      </c>
      <c r="DI456" t="s">
        <v>3</v>
      </c>
      <c r="DJ456" t="s">
        <v>3</v>
      </c>
      <c r="DK456" t="s">
        <v>3</v>
      </c>
      <c r="DL456" t="s">
        <v>3</v>
      </c>
      <c r="DM456" t="s">
        <v>3</v>
      </c>
      <c r="DN456">
        <v>0</v>
      </c>
      <c r="DO456">
        <v>0</v>
      </c>
      <c r="DP456">
        <v>1</v>
      </c>
      <c r="DQ456">
        <v>1</v>
      </c>
      <c r="DU456">
        <v>1011</v>
      </c>
      <c r="DV456" t="s">
        <v>84</v>
      </c>
      <c r="DW456" t="s">
        <v>84</v>
      </c>
      <c r="DX456">
        <v>1</v>
      </c>
      <c r="EE456">
        <v>52362078</v>
      </c>
      <c r="EF456">
        <v>1</v>
      </c>
      <c r="EG456" t="s">
        <v>22</v>
      </c>
      <c r="EH456">
        <v>0</v>
      </c>
      <c r="EI456" t="s">
        <v>3</v>
      </c>
      <c r="EJ456">
        <v>4</v>
      </c>
      <c r="EK456">
        <v>0</v>
      </c>
      <c r="EL456" t="s">
        <v>23</v>
      </c>
      <c r="EM456" t="s">
        <v>24</v>
      </c>
      <c r="EO456" t="s">
        <v>3</v>
      </c>
      <c r="EQ456">
        <v>32768</v>
      </c>
      <c r="ER456">
        <v>1009.65</v>
      </c>
      <c r="ES456">
        <v>0</v>
      </c>
      <c r="ET456">
        <v>1009.65</v>
      </c>
      <c r="EU456">
        <v>554.42999999999995</v>
      </c>
      <c r="EV456">
        <v>0</v>
      </c>
      <c r="EW456">
        <v>0</v>
      </c>
      <c r="EX456">
        <v>0</v>
      </c>
      <c r="FQ456">
        <v>0</v>
      </c>
      <c r="FR456">
        <f t="shared" si="415"/>
        <v>0</v>
      </c>
      <c r="FS456">
        <v>0</v>
      </c>
      <c r="FX456">
        <v>70</v>
      </c>
      <c r="FY456">
        <v>10</v>
      </c>
      <c r="GA456" t="s">
        <v>3</v>
      </c>
      <c r="GD456">
        <v>0</v>
      </c>
      <c r="GF456">
        <v>-1957514721</v>
      </c>
      <c r="GG456">
        <v>2</v>
      </c>
      <c r="GH456">
        <v>1</v>
      </c>
      <c r="GI456">
        <v>-2</v>
      </c>
      <c r="GJ456">
        <v>0</v>
      </c>
      <c r="GK456">
        <f>ROUND(R456*(R12)/100,2)</f>
        <v>-2.16</v>
      </c>
      <c r="GL456">
        <f t="shared" si="416"/>
        <v>0</v>
      </c>
      <c r="GM456">
        <f t="shared" si="417"/>
        <v>-5.79</v>
      </c>
      <c r="GN456">
        <f t="shared" si="418"/>
        <v>0</v>
      </c>
      <c r="GO456">
        <f t="shared" si="419"/>
        <v>0</v>
      </c>
      <c r="GP456">
        <f t="shared" si="420"/>
        <v>-5.79</v>
      </c>
      <c r="GR456">
        <v>0</v>
      </c>
      <c r="GS456">
        <v>7</v>
      </c>
      <c r="GT456">
        <v>0</v>
      </c>
      <c r="GU456" t="s">
        <v>3</v>
      </c>
      <c r="GV456">
        <f t="shared" si="421"/>
        <v>0</v>
      </c>
      <c r="GW456">
        <v>1</v>
      </c>
      <c r="GX456">
        <f t="shared" si="422"/>
        <v>0</v>
      </c>
      <c r="HA456">
        <v>0</v>
      </c>
      <c r="HB456">
        <v>0</v>
      </c>
      <c r="HC456">
        <f t="shared" si="423"/>
        <v>0</v>
      </c>
      <c r="HE456" t="s">
        <v>3</v>
      </c>
      <c r="HF456" t="s">
        <v>3</v>
      </c>
      <c r="IK456">
        <v>0</v>
      </c>
    </row>
    <row r="457" spans="1:245" x14ac:dyDescent="0.2">
      <c r="A457">
        <v>18</v>
      </c>
      <c r="B457">
        <v>1</v>
      </c>
      <c r="C457">
        <v>368</v>
      </c>
      <c r="E457" t="s">
        <v>340</v>
      </c>
      <c r="F457" t="s">
        <v>95</v>
      </c>
      <c r="G457" t="s">
        <v>96</v>
      </c>
      <c r="H457" t="s">
        <v>28</v>
      </c>
      <c r="I457">
        <f>I452*J457</f>
        <v>-0.2</v>
      </c>
      <c r="J457">
        <v>-5</v>
      </c>
      <c r="O457">
        <f t="shared" si="384"/>
        <v>-608.08000000000004</v>
      </c>
      <c r="P457">
        <f t="shared" si="385"/>
        <v>-608.08000000000004</v>
      </c>
      <c r="Q457">
        <f t="shared" si="386"/>
        <v>0</v>
      </c>
      <c r="R457">
        <f t="shared" si="387"/>
        <v>0</v>
      </c>
      <c r="S457">
        <f t="shared" si="388"/>
        <v>0</v>
      </c>
      <c r="T457">
        <f t="shared" si="389"/>
        <v>0</v>
      </c>
      <c r="U457">
        <f t="shared" si="390"/>
        <v>0</v>
      </c>
      <c r="V457">
        <f t="shared" si="391"/>
        <v>0</v>
      </c>
      <c r="W457">
        <f t="shared" si="392"/>
        <v>0</v>
      </c>
      <c r="X457">
        <f t="shared" si="393"/>
        <v>0</v>
      </c>
      <c r="Y457">
        <f t="shared" si="394"/>
        <v>0</v>
      </c>
      <c r="AA457">
        <v>52430918</v>
      </c>
      <c r="AB457">
        <f t="shared" si="395"/>
        <v>3040.38</v>
      </c>
      <c r="AC457">
        <f t="shared" si="396"/>
        <v>3040.38</v>
      </c>
      <c r="AD457">
        <f t="shared" si="397"/>
        <v>0</v>
      </c>
      <c r="AE457">
        <f t="shared" si="398"/>
        <v>0</v>
      </c>
      <c r="AF457">
        <f t="shared" si="399"/>
        <v>0</v>
      </c>
      <c r="AG457">
        <f t="shared" si="400"/>
        <v>0</v>
      </c>
      <c r="AH457">
        <f t="shared" si="401"/>
        <v>0</v>
      </c>
      <c r="AI457">
        <f t="shared" si="402"/>
        <v>0</v>
      </c>
      <c r="AJ457">
        <f t="shared" si="403"/>
        <v>0</v>
      </c>
      <c r="AK457">
        <v>3040.38</v>
      </c>
      <c r="AL457">
        <v>3040.38</v>
      </c>
      <c r="AM457">
        <v>0</v>
      </c>
      <c r="AN457">
        <v>0</v>
      </c>
      <c r="AO457">
        <v>0</v>
      </c>
      <c r="AP457">
        <v>0</v>
      </c>
      <c r="AQ457">
        <v>0</v>
      </c>
      <c r="AR457">
        <v>0</v>
      </c>
      <c r="AS457">
        <v>0</v>
      </c>
      <c r="AT457">
        <v>70</v>
      </c>
      <c r="AU457">
        <v>10</v>
      </c>
      <c r="AV457">
        <v>1</v>
      </c>
      <c r="AW457">
        <v>1</v>
      </c>
      <c r="AZ457">
        <v>1</v>
      </c>
      <c r="BA457">
        <v>1</v>
      </c>
      <c r="BB457">
        <v>1</v>
      </c>
      <c r="BC457">
        <v>1</v>
      </c>
      <c r="BD457" t="s">
        <v>3</v>
      </c>
      <c r="BE457" t="s">
        <v>3</v>
      </c>
      <c r="BF457" t="s">
        <v>3</v>
      </c>
      <c r="BG457" t="s">
        <v>3</v>
      </c>
      <c r="BH457">
        <v>3</v>
      </c>
      <c r="BI457">
        <v>4</v>
      </c>
      <c r="BJ457" t="s">
        <v>97</v>
      </c>
      <c r="BM457">
        <v>0</v>
      </c>
      <c r="BN457">
        <v>0</v>
      </c>
      <c r="BO457" t="s">
        <v>3</v>
      </c>
      <c r="BP457">
        <v>0</v>
      </c>
      <c r="BQ457">
        <v>1</v>
      </c>
      <c r="BR457">
        <v>1</v>
      </c>
      <c r="BS457">
        <v>1</v>
      </c>
      <c r="BT457">
        <v>1</v>
      </c>
      <c r="BU457">
        <v>1</v>
      </c>
      <c r="BV457">
        <v>1</v>
      </c>
      <c r="BW457">
        <v>1</v>
      </c>
      <c r="BX457">
        <v>1</v>
      </c>
      <c r="BY457" t="s">
        <v>3</v>
      </c>
      <c r="BZ457">
        <v>70</v>
      </c>
      <c r="CA457">
        <v>10</v>
      </c>
      <c r="CE457">
        <v>0</v>
      </c>
      <c r="CF457">
        <v>0</v>
      </c>
      <c r="CG457">
        <v>0</v>
      </c>
      <c r="CM457">
        <v>0</v>
      </c>
      <c r="CN457" t="s">
        <v>3</v>
      </c>
      <c r="CO457">
        <v>0</v>
      </c>
      <c r="CP457">
        <f t="shared" si="404"/>
        <v>-608.08000000000004</v>
      </c>
      <c r="CQ457">
        <f t="shared" si="405"/>
        <v>3040.38</v>
      </c>
      <c r="CR457">
        <f t="shared" si="406"/>
        <v>0</v>
      </c>
      <c r="CS457">
        <f t="shared" si="407"/>
        <v>0</v>
      </c>
      <c r="CT457">
        <f t="shared" si="408"/>
        <v>0</v>
      </c>
      <c r="CU457">
        <f t="shared" si="409"/>
        <v>0</v>
      </c>
      <c r="CV457">
        <f t="shared" si="410"/>
        <v>0</v>
      </c>
      <c r="CW457">
        <f t="shared" si="411"/>
        <v>0</v>
      </c>
      <c r="CX457">
        <f t="shared" si="412"/>
        <v>0</v>
      </c>
      <c r="CY457">
        <f t="shared" si="413"/>
        <v>0</v>
      </c>
      <c r="CZ457">
        <f t="shared" si="414"/>
        <v>0</v>
      </c>
      <c r="DC457" t="s">
        <v>3</v>
      </c>
      <c r="DD457" t="s">
        <v>3</v>
      </c>
      <c r="DE457" t="s">
        <v>3</v>
      </c>
      <c r="DF457" t="s">
        <v>3</v>
      </c>
      <c r="DG457" t="s">
        <v>3</v>
      </c>
      <c r="DH457" t="s">
        <v>3</v>
      </c>
      <c r="DI457" t="s">
        <v>3</v>
      </c>
      <c r="DJ457" t="s">
        <v>3</v>
      </c>
      <c r="DK457" t="s">
        <v>3</v>
      </c>
      <c r="DL457" t="s">
        <v>3</v>
      </c>
      <c r="DM457" t="s">
        <v>3</v>
      </c>
      <c r="DN457">
        <v>0</v>
      </c>
      <c r="DO457">
        <v>0</v>
      </c>
      <c r="DP457">
        <v>1</v>
      </c>
      <c r="DQ457">
        <v>1</v>
      </c>
      <c r="DU457">
        <v>1007</v>
      </c>
      <c r="DV457" t="s">
        <v>28</v>
      </c>
      <c r="DW457" t="s">
        <v>28</v>
      </c>
      <c r="DX457">
        <v>1</v>
      </c>
      <c r="EE457">
        <v>52362078</v>
      </c>
      <c r="EF457">
        <v>1</v>
      </c>
      <c r="EG457" t="s">
        <v>22</v>
      </c>
      <c r="EH457">
        <v>0</v>
      </c>
      <c r="EI457" t="s">
        <v>3</v>
      </c>
      <c r="EJ457">
        <v>4</v>
      </c>
      <c r="EK457">
        <v>0</v>
      </c>
      <c r="EL457" t="s">
        <v>23</v>
      </c>
      <c r="EM457" t="s">
        <v>24</v>
      </c>
      <c r="EO457" t="s">
        <v>3</v>
      </c>
      <c r="EQ457">
        <v>32768</v>
      </c>
      <c r="ER457">
        <v>3040.38</v>
      </c>
      <c r="ES457">
        <v>3040.38</v>
      </c>
      <c r="ET457">
        <v>0</v>
      </c>
      <c r="EU457">
        <v>0</v>
      </c>
      <c r="EV457">
        <v>0</v>
      </c>
      <c r="EW457">
        <v>0</v>
      </c>
      <c r="EX457">
        <v>0</v>
      </c>
      <c r="FQ457">
        <v>0</v>
      </c>
      <c r="FR457">
        <f t="shared" si="415"/>
        <v>0</v>
      </c>
      <c r="FS457">
        <v>0</v>
      </c>
      <c r="FX457">
        <v>70</v>
      </c>
      <c r="FY457">
        <v>10</v>
      </c>
      <c r="GA457" t="s">
        <v>3</v>
      </c>
      <c r="GD457">
        <v>0</v>
      </c>
      <c r="GF457">
        <v>395141172</v>
      </c>
      <c r="GG457">
        <v>2</v>
      </c>
      <c r="GH457">
        <v>1</v>
      </c>
      <c r="GI457">
        <v>-2</v>
      </c>
      <c r="GJ457">
        <v>0</v>
      </c>
      <c r="GK457">
        <f>ROUND(R457*(R12)/100,2)</f>
        <v>0</v>
      </c>
      <c r="GL457">
        <f t="shared" si="416"/>
        <v>0</v>
      </c>
      <c r="GM457">
        <f t="shared" si="417"/>
        <v>-608.08000000000004</v>
      </c>
      <c r="GN457">
        <f t="shared" si="418"/>
        <v>0</v>
      </c>
      <c r="GO457">
        <f t="shared" si="419"/>
        <v>0</v>
      </c>
      <c r="GP457">
        <f t="shared" si="420"/>
        <v>-608.08000000000004</v>
      </c>
      <c r="GR457">
        <v>0</v>
      </c>
      <c r="GS457">
        <v>3</v>
      </c>
      <c r="GT457">
        <v>0</v>
      </c>
      <c r="GU457" t="s">
        <v>3</v>
      </c>
      <c r="GV457">
        <f t="shared" si="421"/>
        <v>0</v>
      </c>
      <c r="GW457">
        <v>1</v>
      </c>
      <c r="GX457">
        <f t="shared" si="422"/>
        <v>0</v>
      </c>
      <c r="HA457">
        <v>0</v>
      </c>
      <c r="HB457">
        <v>0</v>
      </c>
      <c r="HC457">
        <f t="shared" si="423"/>
        <v>0</v>
      </c>
      <c r="HE457" t="s">
        <v>3</v>
      </c>
      <c r="HF457" t="s">
        <v>3</v>
      </c>
      <c r="IK457">
        <v>0</v>
      </c>
    </row>
    <row r="458" spans="1:245" x14ac:dyDescent="0.2">
      <c r="A458">
        <v>18</v>
      </c>
      <c r="B458">
        <v>1</v>
      </c>
      <c r="C458">
        <v>366</v>
      </c>
      <c r="E458" t="s">
        <v>341</v>
      </c>
      <c r="F458" t="s">
        <v>99</v>
      </c>
      <c r="G458" t="s">
        <v>100</v>
      </c>
      <c r="H458" t="s">
        <v>101</v>
      </c>
      <c r="I458">
        <f>I452*J458</f>
        <v>-8.0000000000000004E-4</v>
      </c>
      <c r="J458">
        <v>-0.02</v>
      </c>
      <c r="O458">
        <f t="shared" si="384"/>
        <v>-88.62</v>
      </c>
      <c r="P458">
        <f t="shared" si="385"/>
        <v>-88.62</v>
      </c>
      <c r="Q458">
        <f t="shared" si="386"/>
        <v>0</v>
      </c>
      <c r="R458">
        <f t="shared" si="387"/>
        <v>0</v>
      </c>
      <c r="S458">
        <f t="shared" si="388"/>
        <v>0</v>
      </c>
      <c r="T458">
        <f t="shared" si="389"/>
        <v>0</v>
      </c>
      <c r="U458">
        <f t="shared" si="390"/>
        <v>0</v>
      </c>
      <c r="V458">
        <f t="shared" si="391"/>
        <v>0</v>
      </c>
      <c r="W458">
        <f t="shared" si="392"/>
        <v>0</v>
      </c>
      <c r="X458">
        <f t="shared" si="393"/>
        <v>0</v>
      </c>
      <c r="Y458">
        <f t="shared" si="394"/>
        <v>0</v>
      </c>
      <c r="AA458">
        <v>52430918</v>
      </c>
      <c r="AB458">
        <f t="shared" si="395"/>
        <v>110781.14</v>
      </c>
      <c r="AC458">
        <f t="shared" si="396"/>
        <v>110781.14</v>
      </c>
      <c r="AD458">
        <f t="shared" si="397"/>
        <v>0</v>
      </c>
      <c r="AE458">
        <f t="shared" si="398"/>
        <v>0</v>
      </c>
      <c r="AF458">
        <f t="shared" si="399"/>
        <v>0</v>
      </c>
      <c r="AG458">
        <f t="shared" si="400"/>
        <v>0</v>
      </c>
      <c r="AH458">
        <f t="shared" si="401"/>
        <v>0</v>
      </c>
      <c r="AI458">
        <f t="shared" si="402"/>
        <v>0</v>
      </c>
      <c r="AJ458">
        <f t="shared" si="403"/>
        <v>0</v>
      </c>
      <c r="AK458">
        <v>110781.14</v>
      </c>
      <c r="AL458">
        <v>110781.14</v>
      </c>
      <c r="AM458">
        <v>0</v>
      </c>
      <c r="AN458">
        <v>0</v>
      </c>
      <c r="AO458">
        <v>0</v>
      </c>
      <c r="AP458">
        <v>0</v>
      </c>
      <c r="AQ458">
        <v>0</v>
      </c>
      <c r="AR458">
        <v>0</v>
      </c>
      <c r="AS458">
        <v>0</v>
      </c>
      <c r="AT458">
        <v>70</v>
      </c>
      <c r="AU458">
        <v>10</v>
      </c>
      <c r="AV458">
        <v>1</v>
      </c>
      <c r="AW458">
        <v>1</v>
      </c>
      <c r="AZ458">
        <v>1</v>
      </c>
      <c r="BA458">
        <v>1</v>
      </c>
      <c r="BB458">
        <v>1</v>
      </c>
      <c r="BC458">
        <v>1</v>
      </c>
      <c r="BD458" t="s">
        <v>3</v>
      </c>
      <c r="BE458" t="s">
        <v>3</v>
      </c>
      <c r="BF458" t="s">
        <v>3</v>
      </c>
      <c r="BG458" t="s">
        <v>3</v>
      </c>
      <c r="BH458">
        <v>3</v>
      </c>
      <c r="BI458">
        <v>4</v>
      </c>
      <c r="BJ458" t="s">
        <v>102</v>
      </c>
      <c r="BM458">
        <v>0</v>
      </c>
      <c r="BN458">
        <v>0</v>
      </c>
      <c r="BO458" t="s">
        <v>3</v>
      </c>
      <c r="BP458">
        <v>0</v>
      </c>
      <c r="BQ458">
        <v>1</v>
      </c>
      <c r="BR458">
        <v>1</v>
      </c>
      <c r="BS458">
        <v>1</v>
      </c>
      <c r="BT458">
        <v>1</v>
      </c>
      <c r="BU458">
        <v>1</v>
      </c>
      <c r="BV458">
        <v>1</v>
      </c>
      <c r="BW458">
        <v>1</v>
      </c>
      <c r="BX458">
        <v>1</v>
      </c>
      <c r="BY458" t="s">
        <v>3</v>
      </c>
      <c r="BZ458">
        <v>70</v>
      </c>
      <c r="CA458">
        <v>10</v>
      </c>
      <c r="CE458">
        <v>0</v>
      </c>
      <c r="CF458">
        <v>0</v>
      </c>
      <c r="CG458">
        <v>0</v>
      </c>
      <c r="CM458">
        <v>0</v>
      </c>
      <c r="CN458" t="s">
        <v>3</v>
      </c>
      <c r="CO458">
        <v>0</v>
      </c>
      <c r="CP458">
        <f t="shared" si="404"/>
        <v>-88.62</v>
      </c>
      <c r="CQ458">
        <f t="shared" si="405"/>
        <v>110781.14</v>
      </c>
      <c r="CR458">
        <f t="shared" si="406"/>
        <v>0</v>
      </c>
      <c r="CS458">
        <f t="shared" si="407"/>
        <v>0</v>
      </c>
      <c r="CT458">
        <f t="shared" si="408"/>
        <v>0</v>
      </c>
      <c r="CU458">
        <f t="shared" si="409"/>
        <v>0</v>
      </c>
      <c r="CV458">
        <f t="shared" si="410"/>
        <v>0</v>
      </c>
      <c r="CW458">
        <f t="shared" si="411"/>
        <v>0</v>
      </c>
      <c r="CX458">
        <f t="shared" si="412"/>
        <v>0</v>
      </c>
      <c r="CY458">
        <f t="shared" si="413"/>
        <v>0</v>
      </c>
      <c r="CZ458">
        <f t="shared" si="414"/>
        <v>0</v>
      </c>
      <c r="DC458" t="s">
        <v>3</v>
      </c>
      <c r="DD458" t="s">
        <v>3</v>
      </c>
      <c r="DE458" t="s">
        <v>3</v>
      </c>
      <c r="DF458" t="s">
        <v>3</v>
      </c>
      <c r="DG458" t="s">
        <v>3</v>
      </c>
      <c r="DH458" t="s">
        <v>3</v>
      </c>
      <c r="DI458" t="s">
        <v>3</v>
      </c>
      <c r="DJ458" t="s">
        <v>3</v>
      </c>
      <c r="DK458" t="s">
        <v>3</v>
      </c>
      <c r="DL458" t="s">
        <v>3</v>
      </c>
      <c r="DM458" t="s">
        <v>3</v>
      </c>
      <c r="DN458">
        <v>0</v>
      </c>
      <c r="DO458">
        <v>0</v>
      </c>
      <c r="DP458">
        <v>1</v>
      </c>
      <c r="DQ458">
        <v>1</v>
      </c>
      <c r="DU458">
        <v>1009</v>
      </c>
      <c r="DV458" t="s">
        <v>101</v>
      </c>
      <c r="DW458" t="s">
        <v>101</v>
      </c>
      <c r="DX458">
        <v>1000</v>
      </c>
      <c r="EE458">
        <v>52362078</v>
      </c>
      <c r="EF458">
        <v>1</v>
      </c>
      <c r="EG458" t="s">
        <v>22</v>
      </c>
      <c r="EH458">
        <v>0</v>
      </c>
      <c r="EI458" t="s">
        <v>3</v>
      </c>
      <c r="EJ458">
        <v>4</v>
      </c>
      <c r="EK458">
        <v>0</v>
      </c>
      <c r="EL458" t="s">
        <v>23</v>
      </c>
      <c r="EM458" t="s">
        <v>24</v>
      </c>
      <c r="EO458" t="s">
        <v>3</v>
      </c>
      <c r="EQ458">
        <v>32768</v>
      </c>
      <c r="ER458">
        <v>110781.14</v>
      </c>
      <c r="ES458">
        <v>110781.14</v>
      </c>
      <c r="ET458">
        <v>0</v>
      </c>
      <c r="EU458">
        <v>0</v>
      </c>
      <c r="EV458">
        <v>0</v>
      </c>
      <c r="EW458">
        <v>0</v>
      </c>
      <c r="EX458">
        <v>0</v>
      </c>
      <c r="FQ458">
        <v>0</v>
      </c>
      <c r="FR458">
        <f t="shared" si="415"/>
        <v>0</v>
      </c>
      <c r="FS458">
        <v>0</v>
      </c>
      <c r="FX458">
        <v>70</v>
      </c>
      <c r="FY458">
        <v>10</v>
      </c>
      <c r="GA458" t="s">
        <v>3</v>
      </c>
      <c r="GD458">
        <v>0</v>
      </c>
      <c r="GF458">
        <v>-672771621</v>
      </c>
      <c r="GG458">
        <v>2</v>
      </c>
      <c r="GH458">
        <v>1</v>
      </c>
      <c r="GI458">
        <v>-2</v>
      </c>
      <c r="GJ458">
        <v>0</v>
      </c>
      <c r="GK458">
        <f>ROUND(R458*(R12)/100,2)</f>
        <v>0</v>
      </c>
      <c r="GL458">
        <f t="shared" si="416"/>
        <v>0</v>
      </c>
      <c r="GM458">
        <f t="shared" si="417"/>
        <v>-88.62</v>
      </c>
      <c r="GN458">
        <f t="shared" si="418"/>
        <v>0</v>
      </c>
      <c r="GO458">
        <f t="shared" si="419"/>
        <v>0</v>
      </c>
      <c r="GP458">
        <f t="shared" si="420"/>
        <v>-88.62</v>
      </c>
      <c r="GR458">
        <v>0</v>
      </c>
      <c r="GS458">
        <v>3</v>
      </c>
      <c r="GT458">
        <v>0</v>
      </c>
      <c r="GU458" t="s">
        <v>3</v>
      </c>
      <c r="GV458">
        <f t="shared" si="421"/>
        <v>0</v>
      </c>
      <c r="GW458">
        <v>1</v>
      </c>
      <c r="GX458">
        <f t="shared" si="422"/>
        <v>0</v>
      </c>
      <c r="HA458">
        <v>0</v>
      </c>
      <c r="HB458">
        <v>0</v>
      </c>
      <c r="HC458">
        <f t="shared" si="423"/>
        <v>0</v>
      </c>
      <c r="HE458" t="s">
        <v>3</v>
      </c>
      <c r="HF458" t="s">
        <v>3</v>
      </c>
      <c r="IK458">
        <v>0</v>
      </c>
    </row>
    <row r="459" spans="1:245" x14ac:dyDescent="0.2">
      <c r="A459">
        <v>18</v>
      </c>
      <c r="B459">
        <v>1</v>
      </c>
      <c r="C459">
        <v>370</v>
      </c>
      <c r="E459" t="s">
        <v>342</v>
      </c>
      <c r="F459" t="s">
        <v>104</v>
      </c>
      <c r="G459" t="s">
        <v>110</v>
      </c>
      <c r="H459" t="s">
        <v>106</v>
      </c>
      <c r="I459">
        <f>I452*J459</f>
        <v>1</v>
      </c>
      <c r="J459">
        <v>25</v>
      </c>
      <c r="O459">
        <f t="shared" si="384"/>
        <v>44166.67</v>
      </c>
      <c r="P459">
        <f t="shared" si="385"/>
        <v>44166.67</v>
      </c>
      <c r="Q459">
        <f t="shared" si="386"/>
        <v>0</v>
      </c>
      <c r="R459">
        <f t="shared" si="387"/>
        <v>0</v>
      </c>
      <c r="S459">
        <f t="shared" si="388"/>
        <v>0</v>
      </c>
      <c r="T459">
        <f t="shared" si="389"/>
        <v>0</v>
      </c>
      <c r="U459">
        <f t="shared" si="390"/>
        <v>0</v>
      </c>
      <c r="V459">
        <f t="shared" si="391"/>
        <v>0</v>
      </c>
      <c r="W459">
        <f t="shared" si="392"/>
        <v>0</v>
      </c>
      <c r="X459">
        <f t="shared" si="393"/>
        <v>0</v>
      </c>
      <c r="Y459">
        <f t="shared" si="394"/>
        <v>0</v>
      </c>
      <c r="AA459">
        <v>52430918</v>
      </c>
      <c r="AB459">
        <f t="shared" si="395"/>
        <v>44166.67</v>
      </c>
      <c r="AC459">
        <f t="shared" si="396"/>
        <v>44166.67</v>
      </c>
      <c r="AD459">
        <f t="shared" si="397"/>
        <v>0</v>
      </c>
      <c r="AE459">
        <f t="shared" si="398"/>
        <v>0</v>
      </c>
      <c r="AF459">
        <f t="shared" si="399"/>
        <v>0</v>
      </c>
      <c r="AG459">
        <f t="shared" si="400"/>
        <v>0</v>
      </c>
      <c r="AH459">
        <f t="shared" si="401"/>
        <v>0</v>
      </c>
      <c r="AI459">
        <f t="shared" si="402"/>
        <v>0</v>
      </c>
      <c r="AJ459">
        <f t="shared" si="403"/>
        <v>0</v>
      </c>
      <c r="AK459">
        <v>44166.67</v>
      </c>
      <c r="AL459">
        <v>44166.67</v>
      </c>
      <c r="AM459">
        <v>0</v>
      </c>
      <c r="AN459">
        <v>0</v>
      </c>
      <c r="AO459">
        <v>0</v>
      </c>
      <c r="AP459">
        <v>0</v>
      </c>
      <c r="AQ459">
        <v>0</v>
      </c>
      <c r="AR459">
        <v>0</v>
      </c>
      <c r="AS459">
        <v>0</v>
      </c>
      <c r="AT459">
        <v>70</v>
      </c>
      <c r="AU459">
        <v>10</v>
      </c>
      <c r="AV459">
        <v>1</v>
      </c>
      <c r="AW459">
        <v>1</v>
      </c>
      <c r="AZ459">
        <v>1</v>
      </c>
      <c r="BA459">
        <v>1</v>
      </c>
      <c r="BB459">
        <v>1</v>
      </c>
      <c r="BC459">
        <v>1</v>
      </c>
      <c r="BD459" t="s">
        <v>3</v>
      </c>
      <c r="BE459" t="s">
        <v>3</v>
      </c>
      <c r="BF459" t="s">
        <v>3</v>
      </c>
      <c r="BG459" t="s">
        <v>3</v>
      </c>
      <c r="BH459">
        <v>3</v>
      </c>
      <c r="BI459">
        <v>4</v>
      </c>
      <c r="BJ459" t="s">
        <v>3</v>
      </c>
      <c r="BM459">
        <v>0</v>
      </c>
      <c r="BN459">
        <v>0</v>
      </c>
      <c r="BO459" t="s">
        <v>3</v>
      </c>
      <c r="BP459">
        <v>0</v>
      </c>
      <c r="BQ459">
        <v>1</v>
      </c>
      <c r="BR459">
        <v>0</v>
      </c>
      <c r="BS459">
        <v>1</v>
      </c>
      <c r="BT459">
        <v>1</v>
      </c>
      <c r="BU459">
        <v>1</v>
      </c>
      <c r="BV459">
        <v>1</v>
      </c>
      <c r="BW459">
        <v>1</v>
      </c>
      <c r="BX459">
        <v>1</v>
      </c>
      <c r="BY459" t="s">
        <v>3</v>
      </c>
      <c r="BZ459">
        <v>70</v>
      </c>
      <c r="CA459">
        <v>10</v>
      </c>
      <c r="CE459">
        <v>0</v>
      </c>
      <c r="CF459">
        <v>0</v>
      </c>
      <c r="CG459">
        <v>0</v>
      </c>
      <c r="CM459">
        <v>0</v>
      </c>
      <c r="CN459" t="s">
        <v>3</v>
      </c>
      <c r="CO459">
        <v>0</v>
      </c>
      <c r="CP459">
        <f t="shared" si="404"/>
        <v>44166.67</v>
      </c>
      <c r="CQ459">
        <f t="shared" si="405"/>
        <v>44166.67</v>
      </c>
      <c r="CR459">
        <f t="shared" si="406"/>
        <v>0</v>
      </c>
      <c r="CS459">
        <f t="shared" si="407"/>
        <v>0</v>
      </c>
      <c r="CT459">
        <f t="shared" si="408"/>
        <v>0</v>
      </c>
      <c r="CU459">
        <f t="shared" si="409"/>
        <v>0</v>
      </c>
      <c r="CV459">
        <f t="shared" si="410"/>
        <v>0</v>
      </c>
      <c r="CW459">
        <f t="shared" si="411"/>
        <v>0</v>
      </c>
      <c r="CX459">
        <f t="shared" si="412"/>
        <v>0</v>
      </c>
      <c r="CY459">
        <f t="shared" si="413"/>
        <v>0</v>
      </c>
      <c r="CZ459">
        <f t="shared" si="414"/>
        <v>0</v>
      </c>
      <c r="DC459" t="s">
        <v>3</v>
      </c>
      <c r="DD459" t="s">
        <v>3</v>
      </c>
      <c r="DE459" t="s">
        <v>3</v>
      </c>
      <c r="DF459" t="s">
        <v>3</v>
      </c>
      <c r="DG459" t="s">
        <v>3</v>
      </c>
      <c r="DH459" t="s">
        <v>3</v>
      </c>
      <c r="DI459" t="s">
        <v>3</v>
      </c>
      <c r="DJ459" t="s">
        <v>3</v>
      </c>
      <c r="DK459" t="s">
        <v>3</v>
      </c>
      <c r="DL459" t="s">
        <v>3</v>
      </c>
      <c r="DM459" t="s">
        <v>3</v>
      </c>
      <c r="DN459">
        <v>0</v>
      </c>
      <c r="DO459">
        <v>0</v>
      </c>
      <c r="DP459">
        <v>1</v>
      </c>
      <c r="DQ459">
        <v>1</v>
      </c>
      <c r="DU459">
        <v>1010</v>
      </c>
      <c r="DV459" t="s">
        <v>106</v>
      </c>
      <c r="DW459" t="s">
        <v>106</v>
      </c>
      <c r="DX459">
        <v>1</v>
      </c>
      <c r="EE459">
        <v>52362078</v>
      </c>
      <c r="EF459">
        <v>1</v>
      </c>
      <c r="EG459" t="s">
        <v>22</v>
      </c>
      <c r="EH459">
        <v>0</v>
      </c>
      <c r="EI459" t="s">
        <v>3</v>
      </c>
      <c r="EJ459">
        <v>4</v>
      </c>
      <c r="EK459">
        <v>0</v>
      </c>
      <c r="EL459" t="s">
        <v>23</v>
      </c>
      <c r="EM459" t="s">
        <v>24</v>
      </c>
      <c r="EO459" t="s">
        <v>3</v>
      </c>
      <c r="EQ459">
        <v>0</v>
      </c>
      <c r="ER459">
        <v>44166.67</v>
      </c>
      <c r="ES459">
        <v>44166.67</v>
      </c>
      <c r="ET459">
        <v>0</v>
      </c>
      <c r="EU459">
        <v>0</v>
      </c>
      <c r="EV459">
        <v>0</v>
      </c>
      <c r="EW459">
        <v>0</v>
      </c>
      <c r="EX459">
        <v>0</v>
      </c>
      <c r="EZ459">
        <v>5</v>
      </c>
      <c r="FC459">
        <v>1</v>
      </c>
      <c r="FD459">
        <v>18</v>
      </c>
      <c r="FF459">
        <v>53000</v>
      </c>
      <c r="FQ459">
        <v>0</v>
      </c>
      <c r="FR459">
        <f t="shared" si="415"/>
        <v>0</v>
      </c>
      <c r="FS459">
        <v>0</v>
      </c>
      <c r="FX459">
        <v>70</v>
      </c>
      <c r="FY459">
        <v>10</v>
      </c>
      <c r="GA459" t="s">
        <v>111</v>
      </c>
      <c r="GD459">
        <v>0</v>
      </c>
      <c r="GF459">
        <v>774189156</v>
      </c>
      <c r="GG459">
        <v>2</v>
      </c>
      <c r="GH459">
        <v>3</v>
      </c>
      <c r="GI459">
        <v>-2</v>
      </c>
      <c r="GJ459">
        <v>0</v>
      </c>
      <c r="GK459">
        <f>ROUND(R459*(R12)/100,2)</f>
        <v>0</v>
      </c>
      <c r="GL459">
        <f t="shared" si="416"/>
        <v>0</v>
      </c>
      <c r="GM459">
        <f t="shared" si="417"/>
        <v>44166.67</v>
      </c>
      <c r="GN459">
        <f t="shared" si="418"/>
        <v>0</v>
      </c>
      <c r="GO459">
        <f t="shared" si="419"/>
        <v>0</v>
      </c>
      <c r="GP459">
        <f t="shared" si="420"/>
        <v>44166.67</v>
      </c>
      <c r="GR459">
        <v>1</v>
      </c>
      <c r="GS459">
        <v>1</v>
      </c>
      <c r="GT459">
        <v>0</v>
      </c>
      <c r="GU459" t="s">
        <v>3</v>
      </c>
      <c r="GV459">
        <f t="shared" si="421"/>
        <v>0</v>
      </c>
      <c r="GW459">
        <v>1</v>
      </c>
      <c r="GX459">
        <f t="shared" si="422"/>
        <v>0</v>
      </c>
      <c r="HA459">
        <v>0</v>
      </c>
      <c r="HB459">
        <v>0</v>
      </c>
      <c r="HC459">
        <f t="shared" si="423"/>
        <v>0</v>
      </c>
      <c r="HE459" t="s">
        <v>108</v>
      </c>
      <c r="HF459" t="s">
        <v>108</v>
      </c>
      <c r="IK459">
        <v>0</v>
      </c>
    </row>
    <row r="460" spans="1:245" x14ac:dyDescent="0.2">
      <c r="A460">
        <v>18</v>
      </c>
      <c r="B460">
        <v>1</v>
      </c>
      <c r="C460">
        <v>371</v>
      </c>
      <c r="E460" t="s">
        <v>343</v>
      </c>
      <c r="F460" t="s">
        <v>104</v>
      </c>
      <c r="G460" t="s">
        <v>203</v>
      </c>
      <c r="H460" t="s">
        <v>106</v>
      </c>
      <c r="I460">
        <f>I452*J460</f>
        <v>1</v>
      </c>
      <c r="J460">
        <v>25</v>
      </c>
      <c r="O460">
        <f t="shared" si="384"/>
        <v>40166.67</v>
      </c>
      <c r="P460">
        <f t="shared" si="385"/>
        <v>40166.67</v>
      </c>
      <c r="Q460">
        <f t="shared" si="386"/>
        <v>0</v>
      </c>
      <c r="R460">
        <f t="shared" si="387"/>
        <v>0</v>
      </c>
      <c r="S460">
        <f t="shared" si="388"/>
        <v>0</v>
      </c>
      <c r="T460">
        <f t="shared" si="389"/>
        <v>0</v>
      </c>
      <c r="U460">
        <f t="shared" si="390"/>
        <v>0</v>
      </c>
      <c r="V460">
        <f t="shared" si="391"/>
        <v>0</v>
      </c>
      <c r="W460">
        <f t="shared" si="392"/>
        <v>0</v>
      </c>
      <c r="X460">
        <f t="shared" si="393"/>
        <v>0</v>
      </c>
      <c r="Y460">
        <f t="shared" si="394"/>
        <v>0</v>
      </c>
      <c r="AA460">
        <v>52430918</v>
      </c>
      <c r="AB460">
        <f t="shared" si="395"/>
        <v>40166.67</v>
      </c>
      <c r="AC460">
        <f t="shared" si="396"/>
        <v>40166.67</v>
      </c>
      <c r="AD460">
        <f t="shared" si="397"/>
        <v>0</v>
      </c>
      <c r="AE460">
        <f t="shared" si="398"/>
        <v>0</v>
      </c>
      <c r="AF460">
        <f t="shared" si="399"/>
        <v>0</v>
      </c>
      <c r="AG460">
        <f t="shared" si="400"/>
        <v>0</v>
      </c>
      <c r="AH460">
        <f t="shared" si="401"/>
        <v>0</v>
      </c>
      <c r="AI460">
        <f t="shared" si="402"/>
        <v>0</v>
      </c>
      <c r="AJ460">
        <f t="shared" si="403"/>
        <v>0</v>
      </c>
      <c r="AK460">
        <v>40166.67</v>
      </c>
      <c r="AL460">
        <v>40166.67</v>
      </c>
      <c r="AM460">
        <v>0</v>
      </c>
      <c r="AN460">
        <v>0</v>
      </c>
      <c r="AO460">
        <v>0</v>
      </c>
      <c r="AP460">
        <v>0</v>
      </c>
      <c r="AQ460">
        <v>0</v>
      </c>
      <c r="AR460">
        <v>0</v>
      </c>
      <c r="AS460">
        <v>0</v>
      </c>
      <c r="AT460">
        <v>70</v>
      </c>
      <c r="AU460">
        <v>10</v>
      </c>
      <c r="AV460">
        <v>1</v>
      </c>
      <c r="AW460">
        <v>1</v>
      </c>
      <c r="AZ460">
        <v>1</v>
      </c>
      <c r="BA460">
        <v>1</v>
      </c>
      <c r="BB460">
        <v>1</v>
      </c>
      <c r="BC460">
        <v>1</v>
      </c>
      <c r="BD460" t="s">
        <v>3</v>
      </c>
      <c r="BE460" t="s">
        <v>3</v>
      </c>
      <c r="BF460" t="s">
        <v>3</v>
      </c>
      <c r="BG460" t="s">
        <v>3</v>
      </c>
      <c r="BH460">
        <v>3</v>
      </c>
      <c r="BI460">
        <v>4</v>
      </c>
      <c r="BJ460" t="s">
        <v>3</v>
      </c>
      <c r="BM460">
        <v>0</v>
      </c>
      <c r="BN460">
        <v>0</v>
      </c>
      <c r="BO460" t="s">
        <v>3</v>
      </c>
      <c r="BP460">
        <v>0</v>
      </c>
      <c r="BQ460">
        <v>1</v>
      </c>
      <c r="BR460">
        <v>0</v>
      </c>
      <c r="BS460">
        <v>1</v>
      </c>
      <c r="BT460">
        <v>1</v>
      </c>
      <c r="BU460">
        <v>1</v>
      </c>
      <c r="BV460">
        <v>1</v>
      </c>
      <c r="BW460">
        <v>1</v>
      </c>
      <c r="BX460">
        <v>1</v>
      </c>
      <c r="BY460" t="s">
        <v>3</v>
      </c>
      <c r="BZ460">
        <v>70</v>
      </c>
      <c r="CA460">
        <v>10</v>
      </c>
      <c r="CE460">
        <v>0</v>
      </c>
      <c r="CF460">
        <v>0</v>
      </c>
      <c r="CG460">
        <v>0</v>
      </c>
      <c r="CM460">
        <v>0</v>
      </c>
      <c r="CN460" t="s">
        <v>3</v>
      </c>
      <c r="CO460">
        <v>0</v>
      </c>
      <c r="CP460">
        <f t="shared" si="404"/>
        <v>40166.67</v>
      </c>
      <c r="CQ460">
        <f t="shared" si="405"/>
        <v>40166.67</v>
      </c>
      <c r="CR460">
        <f t="shared" si="406"/>
        <v>0</v>
      </c>
      <c r="CS460">
        <f t="shared" si="407"/>
        <v>0</v>
      </c>
      <c r="CT460">
        <f t="shared" si="408"/>
        <v>0</v>
      </c>
      <c r="CU460">
        <f t="shared" si="409"/>
        <v>0</v>
      </c>
      <c r="CV460">
        <f t="shared" si="410"/>
        <v>0</v>
      </c>
      <c r="CW460">
        <f t="shared" si="411"/>
        <v>0</v>
      </c>
      <c r="CX460">
        <f t="shared" si="412"/>
        <v>0</v>
      </c>
      <c r="CY460">
        <f t="shared" si="413"/>
        <v>0</v>
      </c>
      <c r="CZ460">
        <f t="shared" si="414"/>
        <v>0</v>
      </c>
      <c r="DC460" t="s">
        <v>3</v>
      </c>
      <c r="DD460" t="s">
        <v>3</v>
      </c>
      <c r="DE460" t="s">
        <v>3</v>
      </c>
      <c r="DF460" t="s">
        <v>3</v>
      </c>
      <c r="DG460" t="s">
        <v>3</v>
      </c>
      <c r="DH460" t="s">
        <v>3</v>
      </c>
      <c r="DI460" t="s">
        <v>3</v>
      </c>
      <c r="DJ460" t="s">
        <v>3</v>
      </c>
      <c r="DK460" t="s">
        <v>3</v>
      </c>
      <c r="DL460" t="s">
        <v>3</v>
      </c>
      <c r="DM460" t="s">
        <v>3</v>
      </c>
      <c r="DN460">
        <v>0</v>
      </c>
      <c r="DO460">
        <v>0</v>
      </c>
      <c r="DP460">
        <v>1</v>
      </c>
      <c r="DQ460">
        <v>1</v>
      </c>
      <c r="DU460">
        <v>1010</v>
      </c>
      <c r="DV460" t="s">
        <v>106</v>
      </c>
      <c r="DW460" t="s">
        <v>106</v>
      </c>
      <c r="DX460">
        <v>1</v>
      </c>
      <c r="EE460">
        <v>52362078</v>
      </c>
      <c r="EF460">
        <v>1</v>
      </c>
      <c r="EG460" t="s">
        <v>22</v>
      </c>
      <c r="EH460">
        <v>0</v>
      </c>
      <c r="EI460" t="s">
        <v>3</v>
      </c>
      <c r="EJ460">
        <v>4</v>
      </c>
      <c r="EK460">
        <v>0</v>
      </c>
      <c r="EL460" t="s">
        <v>23</v>
      </c>
      <c r="EM460" t="s">
        <v>24</v>
      </c>
      <c r="EO460" t="s">
        <v>3</v>
      </c>
      <c r="EQ460">
        <v>0</v>
      </c>
      <c r="ER460">
        <v>40166.67</v>
      </c>
      <c r="ES460">
        <v>40166.67</v>
      </c>
      <c r="ET460">
        <v>0</v>
      </c>
      <c r="EU460">
        <v>0</v>
      </c>
      <c r="EV460">
        <v>0</v>
      </c>
      <c r="EW460">
        <v>0</v>
      </c>
      <c r="EX460">
        <v>0</v>
      </c>
      <c r="EZ460">
        <v>5</v>
      </c>
      <c r="FC460">
        <v>1</v>
      </c>
      <c r="FD460">
        <v>18</v>
      </c>
      <c r="FF460">
        <v>48200</v>
      </c>
      <c r="FQ460">
        <v>0</v>
      </c>
      <c r="FR460">
        <f t="shared" si="415"/>
        <v>0</v>
      </c>
      <c r="FS460">
        <v>0</v>
      </c>
      <c r="FX460">
        <v>70</v>
      </c>
      <c r="FY460">
        <v>10</v>
      </c>
      <c r="GA460" t="s">
        <v>204</v>
      </c>
      <c r="GD460">
        <v>0</v>
      </c>
      <c r="GF460">
        <v>954585822</v>
      </c>
      <c r="GG460">
        <v>2</v>
      </c>
      <c r="GH460">
        <v>3</v>
      </c>
      <c r="GI460">
        <v>-2</v>
      </c>
      <c r="GJ460">
        <v>0</v>
      </c>
      <c r="GK460">
        <f>ROUND(R460*(R12)/100,2)</f>
        <v>0</v>
      </c>
      <c r="GL460">
        <f t="shared" si="416"/>
        <v>0</v>
      </c>
      <c r="GM460">
        <f t="shared" si="417"/>
        <v>40166.67</v>
      </c>
      <c r="GN460">
        <f t="shared" si="418"/>
        <v>0</v>
      </c>
      <c r="GO460">
        <f t="shared" si="419"/>
        <v>0</v>
      </c>
      <c r="GP460">
        <f t="shared" si="420"/>
        <v>40166.67</v>
      </c>
      <c r="GR460">
        <v>1</v>
      </c>
      <c r="GS460">
        <v>1</v>
      </c>
      <c r="GT460">
        <v>0</v>
      </c>
      <c r="GU460" t="s">
        <v>3</v>
      </c>
      <c r="GV460">
        <f t="shared" si="421"/>
        <v>0</v>
      </c>
      <c r="GW460">
        <v>1</v>
      </c>
      <c r="GX460">
        <f t="shared" si="422"/>
        <v>0</v>
      </c>
      <c r="HA460">
        <v>0</v>
      </c>
      <c r="HB460">
        <v>0</v>
      </c>
      <c r="HC460">
        <f t="shared" si="423"/>
        <v>0</v>
      </c>
      <c r="HE460" t="s">
        <v>108</v>
      </c>
      <c r="HF460" t="s">
        <v>108</v>
      </c>
      <c r="IK460">
        <v>0</v>
      </c>
    </row>
    <row r="461" spans="1:245" x14ac:dyDescent="0.2">
      <c r="A461">
        <v>18</v>
      </c>
      <c r="B461">
        <v>1</v>
      </c>
      <c r="C461">
        <v>372</v>
      </c>
      <c r="E461" t="s">
        <v>344</v>
      </c>
      <c r="F461" t="s">
        <v>104</v>
      </c>
      <c r="G461" t="s">
        <v>345</v>
      </c>
      <c r="H461" t="s">
        <v>106</v>
      </c>
      <c r="I461">
        <f>I452*J461</f>
        <v>1</v>
      </c>
      <c r="J461">
        <v>25</v>
      </c>
      <c r="O461">
        <f t="shared" si="384"/>
        <v>13166.67</v>
      </c>
      <c r="P461">
        <f t="shared" si="385"/>
        <v>13166.67</v>
      </c>
      <c r="Q461">
        <f t="shared" si="386"/>
        <v>0</v>
      </c>
      <c r="R461">
        <f t="shared" si="387"/>
        <v>0</v>
      </c>
      <c r="S461">
        <f t="shared" si="388"/>
        <v>0</v>
      </c>
      <c r="T461">
        <f t="shared" si="389"/>
        <v>0</v>
      </c>
      <c r="U461">
        <f t="shared" si="390"/>
        <v>0</v>
      </c>
      <c r="V461">
        <f t="shared" si="391"/>
        <v>0</v>
      </c>
      <c r="W461">
        <f t="shared" si="392"/>
        <v>0</v>
      </c>
      <c r="X461">
        <f t="shared" si="393"/>
        <v>0</v>
      </c>
      <c r="Y461">
        <f t="shared" si="394"/>
        <v>0</v>
      </c>
      <c r="AA461">
        <v>52430918</v>
      </c>
      <c r="AB461">
        <f t="shared" si="395"/>
        <v>13166.67</v>
      </c>
      <c r="AC461">
        <f t="shared" si="396"/>
        <v>13166.67</v>
      </c>
      <c r="AD461">
        <f t="shared" si="397"/>
        <v>0</v>
      </c>
      <c r="AE461">
        <f t="shared" si="398"/>
        <v>0</v>
      </c>
      <c r="AF461">
        <f t="shared" si="399"/>
        <v>0</v>
      </c>
      <c r="AG461">
        <f t="shared" si="400"/>
        <v>0</v>
      </c>
      <c r="AH461">
        <f t="shared" si="401"/>
        <v>0</v>
      </c>
      <c r="AI461">
        <f t="shared" si="402"/>
        <v>0</v>
      </c>
      <c r="AJ461">
        <f t="shared" si="403"/>
        <v>0</v>
      </c>
      <c r="AK461">
        <v>13166.67</v>
      </c>
      <c r="AL461">
        <v>13166.67</v>
      </c>
      <c r="AM461">
        <v>0</v>
      </c>
      <c r="AN461">
        <v>0</v>
      </c>
      <c r="AO461">
        <v>0</v>
      </c>
      <c r="AP461">
        <v>0</v>
      </c>
      <c r="AQ461">
        <v>0</v>
      </c>
      <c r="AR461">
        <v>0</v>
      </c>
      <c r="AS461">
        <v>0</v>
      </c>
      <c r="AT461">
        <v>70</v>
      </c>
      <c r="AU461">
        <v>10</v>
      </c>
      <c r="AV461">
        <v>1</v>
      </c>
      <c r="AW461">
        <v>1</v>
      </c>
      <c r="AZ461">
        <v>1</v>
      </c>
      <c r="BA461">
        <v>1</v>
      </c>
      <c r="BB461">
        <v>1</v>
      </c>
      <c r="BC461">
        <v>1</v>
      </c>
      <c r="BD461" t="s">
        <v>3</v>
      </c>
      <c r="BE461" t="s">
        <v>3</v>
      </c>
      <c r="BF461" t="s">
        <v>3</v>
      </c>
      <c r="BG461" t="s">
        <v>3</v>
      </c>
      <c r="BH461">
        <v>3</v>
      </c>
      <c r="BI461">
        <v>4</v>
      </c>
      <c r="BJ461" t="s">
        <v>3</v>
      </c>
      <c r="BM461">
        <v>0</v>
      </c>
      <c r="BN461">
        <v>0</v>
      </c>
      <c r="BO461" t="s">
        <v>3</v>
      </c>
      <c r="BP461">
        <v>0</v>
      </c>
      <c r="BQ461">
        <v>1</v>
      </c>
      <c r="BR461">
        <v>0</v>
      </c>
      <c r="BS461">
        <v>1</v>
      </c>
      <c r="BT461">
        <v>1</v>
      </c>
      <c r="BU461">
        <v>1</v>
      </c>
      <c r="BV461">
        <v>1</v>
      </c>
      <c r="BW461">
        <v>1</v>
      </c>
      <c r="BX461">
        <v>1</v>
      </c>
      <c r="BY461" t="s">
        <v>3</v>
      </c>
      <c r="BZ461">
        <v>70</v>
      </c>
      <c r="CA461">
        <v>10</v>
      </c>
      <c r="CE461">
        <v>0</v>
      </c>
      <c r="CF461">
        <v>0</v>
      </c>
      <c r="CG461">
        <v>0</v>
      </c>
      <c r="CM461">
        <v>0</v>
      </c>
      <c r="CN461" t="s">
        <v>3</v>
      </c>
      <c r="CO461">
        <v>0</v>
      </c>
      <c r="CP461">
        <f t="shared" si="404"/>
        <v>13166.67</v>
      </c>
      <c r="CQ461">
        <f t="shared" si="405"/>
        <v>13166.67</v>
      </c>
      <c r="CR461">
        <f t="shared" si="406"/>
        <v>0</v>
      </c>
      <c r="CS461">
        <f t="shared" si="407"/>
        <v>0</v>
      </c>
      <c r="CT461">
        <f t="shared" si="408"/>
        <v>0</v>
      </c>
      <c r="CU461">
        <f t="shared" si="409"/>
        <v>0</v>
      </c>
      <c r="CV461">
        <f t="shared" si="410"/>
        <v>0</v>
      </c>
      <c r="CW461">
        <f t="shared" si="411"/>
        <v>0</v>
      </c>
      <c r="CX461">
        <f t="shared" si="412"/>
        <v>0</v>
      </c>
      <c r="CY461">
        <f t="shared" si="413"/>
        <v>0</v>
      </c>
      <c r="CZ461">
        <f t="shared" si="414"/>
        <v>0</v>
      </c>
      <c r="DC461" t="s">
        <v>3</v>
      </c>
      <c r="DD461" t="s">
        <v>3</v>
      </c>
      <c r="DE461" t="s">
        <v>3</v>
      </c>
      <c r="DF461" t="s">
        <v>3</v>
      </c>
      <c r="DG461" t="s">
        <v>3</v>
      </c>
      <c r="DH461" t="s">
        <v>3</v>
      </c>
      <c r="DI461" t="s">
        <v>3</v>
      </c>
      <c r="DJ461" t="s">
        <v>3</v>
      </c>
      <c r="DK461" t="s">
        <v>3</v>
      </c>
      <c r="DL461" t="s">
        <v>3</v>
      </c>
      <c r="DM461" t="s">
        <v>3</v>
      </c>
      <c r="DN461">
        <v>0</v>
      </c>
      <c r="DO461">
        <v>0</v>
      </c>
      <c r="DP461">
        <v>1</v>
      </c>
      <c r="DQ461">
        <v>1</v>
      </c>
      <c r="DU461">
        <v>1010</v>
      </c>
      <c r="DV461" t="s">
        <v>106</v>
      </c>
      <c r="DW461" t="s">
        <v>106</v>
      </c>
      <c r="DX461">
        <v>1</v>
      </c>
      <c r="EE461">
        <v>52362078</v>
      </c>
      <c r="EF461">
        <v>1</v>
      </c>
      <c r="EG461" t="s">
        <v>22</v>
      </c>
      <c r="EH461">
        <v>0</v>
      </c>
      <c r="EI461" t="s">
        <v>3</v>
      </c>
      <c r="EJ461">
        <v>4</v>
      </c>
      <c r="EK461">
        <v>0</v>
      </c>
      <c r="EL461" t="s">
        <v>23</v>
      </c>
      <c r="EM461" t="s">
        <v>24</v>
      </c>
      <c r="EO461" t="s">
        <v>3</v>
      </c>
      <c r="EQ461">
        <v>0</v>
      </c>
      <c r="ER461">
        <v>13166.67</v>
      </c>
      <c r="ES461">
        <v>13166.67</v>
      </c>
      <c r="ET461">
        <v>0</v>
      </c>
      <c r="EU461">
        <v>0</v>
      </c>
      <c r="EV461">
        <v>0</v>
      </c>
      <c r="EW461">
        <v>0</v>
      </c>
      <c r="EX461">
        <v>0</v>
      </c>
      <c r="EZ461">
        <v>5</v>
      </c>
      <c r="FC461">
        <v>1</v>
      </c>
      <c r="FD461">
        <v>18</v>
      </c>
      <c r="FF461">
        <v>15800</v>
      </c>
      <c r="FQ461">
        <v>0</v>
      </c>
      <c r="FR461">
        <f t="shared" si="415"/>
        <v>0</v>
      </c>
      <c r="FS461">
        <v>0</v>
      </c>
      <c r="FX461">
        <v>70</v>
      </c>
      <c r="FY461">
        <v>10</v>
      </c>
      <c r="GA461" t="s">
        <v>346</v>
      </c>
      <c r="GD461">
        <v>0</v>
      </c>
      <c r="GF461">
        <v>-1807715979</v>
      </c>
      <c r="GG461">
        <v>2</v>
      </c>
      <c r="GH461">
        <v>3</v>
      </c>
      <c r="GI461">
        <v>-2</v>
      </c>
      <c r="GJ461">
        <v>0</v>
      </c>
      <c r="GK461">
        <f>ROUND(R461*(R12)/100,2)</f>
        <v>0</v>
      </c>
      <c r="GL461">
        <f t="shared" si="416"/>
        <v>0</v>
      </c>
      <c r="GM461">
        <f t="shared" si="417"/>
        <v>13166.67</v>
      </c>
      <c r="GN461">
        <f t="shared" si="418"/>
        <v>0</v>
      </c>
      <c r="GO461">
        <f t="shared" si="419"/>
        <v>0</v>
      </c>
      <c r="GP461">
        <f t="shared" si="420"/>
        <v>13166.67</v>
      </c>
      <c r="GR461">
        <v>1</v>
      </c>
      <c r="GS461">
        <v>1</v>
      </c>
      <c r="GT461">
        <v>0</v>
      </c>
      <c r="GU461" t="s">
        <v>3</v>
      </c>
      <c r="GV461">
        <f t="shared" si="421"/>
        <v>0</v>
      </c>
      <c r="GW461">
        <v>1</v>
      </c>
      <c r="GX461">
        <f t="shared" si="422"/>
        <v>0</v>
      </c>
      <c r="HA461">
        <v>0</v>
      </c>
      <c r="HB461">
        <v>0</v>
      </c>
      <c r="HC461">
        <f t="shared" si="423"/>
        <v>0</v>
      </c>
      <c r="HE461" t="s">
        <v>108</v>
      </c>
      <c r="HF461" t="s">
        <v>108</v>
      </c>
      <c r="IK461">
        <v>0</v>
      </c>
    </row>
    <row r="462" spans="1:245" x14ac:dyDescent="0.2">
      <c r="A462">
        <v>18</v>
      </c>
      <c r="B462">
        <v>1</v>
      </c>
      <c r="C462">
        <v>373</v>
      </c>
      <c r="E462" t="s">
        <v>347</v>
      </c>
      <c r="F462" t="s">
        <v>104</v>
      </c>
      <c r="G462" t="s">
        <v>200</v>
      </c>
      <c r="H462" t="s">
        <v>106</v>
      </c>
      <c r="I462">
        <f>I452*J462</f>
        <v>1</v>
      </c>
      <c r="J462">
        <v>25</v>
      </c>
      <c r="O462">
        <f t="shared" si="384"/>
        <v>43083.33</v>
      </c>
      <c r="P462">
        <f t="shared" si="385"/>
        <v>43083.33</v>
      </c>
      <c r="Q462">
        <f t="shared" si="386"/>
        <v>0</v>
      </c>
      <c r="R462">
        <f t="shared" si="387"/>
        <v>0</v>
      </c>
      <c r="S462">
        <f t="shared" si="388"/>
        <v>0</v>
      </c>
      <c r="T462">
        <f t="shared" si="389"/>
        <v>0</v>
      </c>
      <c r="U462">
        <f t="shared" si="390"/>
        <v>0</v>
      </c>
      <c r="V462">
        <f t="shared" si="391"/>
        <v>0</v>
      </c>
      <c r="W462">
        <f t="shared" si="392"/>
        <v>0</v>
      </c>
      <c r="X462">
        <f t="shared" si="393"/>
        <v>0</v>
      </c>
      <c r="Y462">
        <f t="shared" si="394"/>
        <v>0</v>
      </c>
      <c r="AA462">
        <v>52430918</v>
      </c>
      <c r="AB462">
        <f t="shared" si="395"/>
        <v>43083.33</v>
      </c>
      <c r="AC462">
        <f t="shared" si="396"/>
        <v>43083.33</v>
      </c>
      <c r="AD462">
        <f t="shared" si="397"/>
        <v>0</v>
      </c>
      <c r="AE462">
        <f t="shared" si="398"/>
        <v>0</v>
      </c>
      <c r="AF462">
        <f t="shared" si="399"/>
        <v>0</v>
      </c>
      <c r="AG462">
        <f t="shared" si="400"/>
        <v>0</v>
      </c>
      <c r="AH462">
        <f t="shared" si="401"/>
        <v>0</v>
      </c>
      <c r="AI462">
        <f t="shared" si="402"/>
        <v>0</v>
      </c>
      <c r="AJ462">
        <f t="shared" si="403"/>
        <v>0</v>
      </c>
      <c r="AK462">
        <v>43083.33</v>
      </c>
      <c r="AL462">
        <v>43083.33</v>
      </c>
      <c r="AM462">
        <v>0</v>
      </c>
      <c r="AN462">
        <v>0</v>
      </c>
      <c r="AO462">
        <v>0</v>
      </c>
      <c r="AP462">
        <v>0</v>
      </c>
      <c r="AQ462">
        <v>0</v>
      </c>
      <c r="AR462">
        <v>0</v>
      </c>
      <c r="AS462">
        <v>0</v>
      </c>
      <c r="AT462">
        <v>70</v>
      </c>
      <c r="AU462">
        <v>10</v>
      </c>
      <c r="AV462">
        <v>1</v>
      </c>
      <c r="AW462">
        <v>1</v>
      </c>
      <c r="AZ462">
        <v>1</v>
      </c>
      <c r="BA462">
        <v>1</v>
      </c>
      <c r="BB462">
        <v>1</v>
      </c>
      <c r="BC462">
        <v>1</v>
      </c>
      <c r="BD462" t="s">
        <v>3</v>
      </c>
      <c r="BE462" t="s">
        <v>3</v>
      </c>
      <c r="BF462" t="s">
        <v>3</v>
      </c>
      <c r="BG462" t="s">
        <v>3</v>
      </c>
      <c r="BH462">
        <v>3</v>
      </c>
      <c r="BI462">
        <v>4</v>
      </c>
      <c r="BJ462" t="s">
        <v>3</v>
      </c>
      <c r="BM462">
        <v>0</v>
      </c>
      <c r="BN462">
        <v>0</v>
      </c>
      <c r="BO462" t="s">
        <v>3</v>
      </c>
      <c r="BP462">
        <v>0</v>
      </c>
      <c r="BQ462">
        <v>1</v>
      </c>
      <c r="BR462">
        <v>0</v>
      </c>
      <c r="BS462">
        <v>1</v>
      </c>
      <c r="BT462">
        <v>1</v>
      </c>
      <c r="BU462">
        <v>1</v>
      </c>
      <c r="BV462">
        <v>1</v>
      </c>
      <c r="BW462">
        <v>1</v>
      </c>
      <c r="BX462">
        <v>1</v>
      </c>
      <c r="BY462" t="s">
        <v>3</v>
      </c>
      <c r="BZ462">
        <v>70</v>
      </c>
      <c r="CA462">
        <v>10</v>
      </c>
      <c r="CE462">
        <v>0</v>
      </c>
      <c r="CF462">
        <v>0</v>
      </c>
      <c r="CG462">
        <v>0</v>
      </c>
      <c r="CM462">
        <v>0</v>
      </c>
      <c r="CN462" t="s">
        <v>3</v>
      </c>
      <c r="CO462">
        <v>0</v>
      </c>
      <c r="CP462">
        <f t="shared" si="404"/>
        <v>43083.33</v>
      </c>
      <c r="CQ462">
        <f t="shared" si="405"/>
        <v>43083.33</v>
      </c>
      <c r="CR462">
        <f t="shared" si="406"/>
        <v>0</v>
      </c>
      <c r="CS462">
        <f t="shared" si="407"/>
        <v>0</v>
      </c>
      <c r="CT462">
        <f t="shared" si="408"/>
        <v>0</v>
      </c>
      <c r="CU462">
        <f t="shared" si="409"/>
        <v>0</v>
      </c>
      <c r="CV462">
        <f t="shared" si="410"/>
        <v>0</v>
      </c>
      <c r="CW462">
        <f t="shared" si="411"/>
        <v>0</v>
      </c>
      <c r="CX462">
        <f t="shared" si="412"/>
        <v>0</v>
      </c>
      <c r="CY462">
        <f t="shared" si="413"/>
        <v>0</v>
      </c>
      <c r="CZ462">
        <f t="shared" si="414"/>
        <v>0</v>
      </c>
      <c r="DC462" t="s">
        <v>3</v>
      </c>
      <c r="DD462" t="s">
        <v>3</v>
      </c>
      <c r="DE462" t="s">
        <v>3</v>
      </c>
      <c r="DF462" t="s">
        <v>3</v>
      </c>
      <c r="DG462" t="s">
        <v>3</v>
      </c>
      <c r="DH462" t="s">
        <v>3</v>
      </c>
      <c r="DI462" t="s">
        <v>3</v>
      </c>
      <c r="DJ462" t="s">
        <v>3</v>
      </c>
      <c r="DK462" t="s">
        <v>3</v>
      </c>
      <c r="DL462" t="s">
        <v>3</v>
      </c>
      <c r="DM462" t="s">
        <v>3</v>
      </c>
      <c r="DN462">
        <v>0</v>
      </c>
      <c r="DO462">
        <v>0</v>
      </c>
      <c r="DP462">
        <v>1</v>
      </c>
      <c r="DQ462">
        <v>1</v>
      </c>
      <c r="DU462">
        <v>1010</v>
      </c>
      <c r="DV462" t="s">
        <v>106</v>
      </c>
      <c r="DW462" t="s">
        <v>106</v>
      </c>
      <c r="DX462">
        <v>1</v>
      </c>
      <c r="EE462">
        <v>52362078</v>
      </c>
      <c r="EF462">
        <v>1</v>
      </c>
      <c r="EG462" t="s">
        <v>22</v>
      </c>
      <c r="EH462">
        <v>0</v>
      </c>
      <c r="EI462" t="s">
        <v>3</v>
      </c>
      <c r="EJ462">
        <v>4</v>
      </c>
      <c r="EK462">
        <v>0</v>
      </c>
      <c r="EL462" t="s">
        <v>23</v>
      </c>
      <c r="EM462" t="s">
        <v>24</v>
      </c>
      <c r="EO462" t="s">
        <v>3</v>
      </c>
      <c r="EQ462">
        <v>0</v>
      </c>
      <c r="ER462">
        <v>43083.33</v>
      </c>
      <c r="ES462">
        <v>43083.33</v>
      </c>
      <c r="ET462">
        <v>0</v>
      </c>
      <c r="EU462">
        <v>0</v>
      </c>
      <c r="EV462">
        <v>0</v>
      </c>
      <c r="EW462">
        <v>0</v>
      </c>
      <c r="EX462">
        <v>0</v>
      </c>
      <c r="EZ462">
        <v>5</v>
      </c>
      <c r="FC462">
        <v>1</v>
      </c>
      <c r="FD462">
        <v>18</v>
      </c>
      <c r="FF462">
        <v>51700</v>
      </c>
      <c r="FQ462">
        <v>0</v>
      </c>
      <c r="FR462">
        <f t="shared" si="415"/>
        <v>0</v>
      </c>
      <c r="FS462">
        <v>0</v>
      </c>
      <c r="FX462">
        <v>70</v>
      </c>
      <c r="FY462">
        <v>10</v>
      </c>
      <c r="GA462" t="s">
        <v>201</v>
      </c>
      <c r="GD462">
        <v>0</v>
      </c>
      <c r="GF462">
        <v>-797437268</v>
      </c>
      <c r="GG462">
        <v>2</v>
      </c>
      <c r="GH462">
        <v>3</v>
      </c>
      <c r="GI462">
        <v>-2</v>
      </c>
      <c r="GJ462">
        <v>0</v>
      </c>
      <c r="GK462">
        <f>ROUND(R462*(R12)/100,2)</f>
        <v>0</v>
      </c>
      <c r="GL462">
        <f t="shared" si="416"/>
        <v>0</v>
      </c>
      <c r="GM462">
        <f t="shared" si="417"/>
        <v>43083.33</v>
      </c>
      <c r="GN462">
        <f t="shared" si="418"/>
        <v>0</v>
      </c>
      <c r="GO462">
        <f t="shared" si="419"/>
        <v>0</v>
      </c>
      <c r="GP462">
        <f t="shared" si="420"/>
        <v>43083.33</v>
      </c>
      <c r="GR462">
        <v>1</v>
      </c>
      <c r="GS462">
        <v>1</v>
      </c>
      <c r="GT462">
        <v>0</v>
      </c>
      <c r="GU462" t="s">
        <v>3</v>
      </c>
      <c r="GV462">
        <f t="shared" si="421"/>
        <v>0</v>
      </c>
      <c r="GW462">
        <v>1</v>
      </c>
      <c r="GX462">
        <f t="shared" si="422"/>
        <v>0</v>
      </c>
      <c r="HA462">
        <v>0</v>
      </c>
      <c r="HB462">
        <v>0</v>
      </c>
      <c r="HC462">
        <f t="shared" si="423"/>
        <v>0</v>
      </c>
      <c r="HE462" t="s">
        <v>108</v>
      </c>
      <c r="HF462" t="s">
        <v>108</v>
      </c>
      <c r="IK462">
        <v>0</v>
      </c>
    </row>
    <row r="464" spans="1:245" x14ac:dyDescent="0.2">
      <c r="A464" s="2">
        <v>51</v>
      </c>
      <c r="B464" s="2">
        <f>B448</f>
        <v>1</v>
      </c>
      <c r="C464" s="2">
        <f>A448</f>
        <v>5</v>
      </c>
      <c r="D464" s="2">
        <f>ROW(A448)</f>
        <v>448</v>
      </c>
      <c r="E464" s="2"/>
      <c r="F464" s="2" t="str">
        <f>IF(F448&lt;&gt;"",F448,"")</f>
        <v>Новый подраздел</v>
      </c>
      <c r="G464" s="2" t="str">
        <f>IF(G448&lt;&gt;"",G448,"")</f>
        <v>Установка МАФов площадка № 9</v>
      </c>
      <c r="H464" s="2">
        <v>0</v>
      </c>
      <c r="I464" s="2"/>
      <c r="J464" s="2"/>
      <c r="K464" s="2"/>
      <c r="L464" s="2"/>
      <c r="M464" s="2"/>
      <c r="N464" s="2"/>
      <c r="O464" s="2">
        <f t="shared" ref="O464:T464" si="424">ROUND(AB464,2)</f>
        <v>149744.65</v>
      </c>
      <c r="P464" s="2">
        <f t="shared" si="424"/>
        <v>140585.34</v>
      </c>
      <c r="Q464" s="2">
        <f t="shared" si="424"/>
        <v>0.01</v>
      </c>
      <c r="R464" s="2">
        <f t="shared" si="424"/>
        <v>-0.01</v>
      </c>
      <c r="S464" s="2">
        <f t="shared" si="424"/>
        <v>9159.2999999999993</v>
      </c>
      <c r="T464" s="2">
        <f t="shared" si="424"/>
        <v>0</v>
      </c>
      <c r="U464" s="2">
        <f>AH464</f>
        <v>36.11</v>
      </c>
      <c r="V464" s="2">
        <f>AI464</f>
        <v>0</v>
      </c>
      <c r="W464" s="2">
        <f>ROUND(AJ464,2)</f>
        <v>0</v>
      </c>
      <c r="X464" s="2">
        <f>ROUND(AK464,2)</f>
        <v>6411.51</v>
      </c>
      <c r="Y464" s="2">
        <f>ROUND(AL464,2)</f>
        <v>915.93</v>
      </c>
      <c r="Z464" s="2"/>
      <c r="AA464" s="2"/>
      <c r="AB464" s="2">
        <f>ROUND(SUMIF(AA452:AA462,"=52430918",O452:O462),2)</f>
        <v>149744.65</v>
      </c>
      <c r="AC464" s="2">
        <f>ROUND(SUMIF(AA452:AA462,"=52430918",P452:P462),2)</f>
        <v>140585.34</v>
      </c>
      <c r="AD464" s="2">
        <f>ROUND(SUMIF(AA452:AA462,"=52430918",Q452:Q462),2)</f>
        <v>0.01</v>
      </c>
      <c r="AE464" s="2">
        <f>ROUND(SUMIF(AA452:AA462,"=52430918",R452:R462),2)</f>
        <v>-0.01</v>
      </c>
      <c r="AF464" s="2">
        <f>ROUND(SUMIF(AA452:AA462,"=52430918",S452:S462),2)</f>
        <v>9159.2999999999993</v>
      </c>
      <c r="AG464" s="2">
        <f>ROUND(SUMIF(AA452:AA462,"=52430918",T452:T462),2)</f>
        <v>0</v>
      </c>
      <c r="AH464" s="2">
        <f>SUMIF(AA452:AA462,"=52430918",U452:U462)</f>
        <v>36.11</v>
      </c>
      <c r="AI464" s="2">
        <f>SUMIF(AA452:AA462,"=52430918",V452:V462)</f>
        <v>0</v>
      </c>
      <c r="AJ464" s="2">
        <f>ROUND(SUMIF(AA452:AA462,"=52430918",W452:W462),2)</f>
        <v>0</v>
      </c>
      <c r="AK464" s="2">
        <f>ROUND(SUMIF(AA452:AA462,"=52430918",X452:X462),2)</f>
        <v>6411.51</v>
      </c>
      <c r="AL464" s="2">
        <f>ROUND(SUMIF(AA452:AA462,"=52430918",Y452:Y462),2)</f>
        <v>915.93</v>
      </c>
      <c r="AM464" s="2"/>
      <c r="AN464" s="2"/>
      <c r="AO464" s="2">
        <f t="shared" ref="AO464:BD464" si="425">ROUND(BX464,2)</f>
        <v>0</v>
      </c>
      <c r="AP464" s="2">
        <f t="shared" si="425"/>
        <v>0</v>
      </c>
      <c r="AQ464" s="2">
        <f t="shared" si="425"/>
        <v>0</v>
      </c>
      <c r="AR464" s="2">
        <f t="shared" si="425"/>
        <v>157072.07999999999</v>
      </c>
      <c r="AS464" s="2">
        <f t="shared" si="425"/>
        <v>0</v>
      </c>
      <c r="AT464" s="2">
        <f t="shared" si="425"/>
        <v>0</v>
      </c>
      <c r="AU464" s="2">
        <f t="shared" si="425"/>
        <v>157072.07999999999</v>
      </c>
      <c r="AV464" s="2">
        <f t="shared" si="425"/>
        <v>140585.34</v>
      </c>
      <c r="AW464" s="2">
        <f t="shared" si="425"/>
        <v>140585.34</v>
      </c>
      <c r="AX464" s="2">
        <f t="shared" si="425"/>
        <v>0</v>
      </c>
      <c r="AY464" s="2">
        <f t="shared" si="425"/>
        <v>140585.34</v>
      </c>
      <c r="AZ464" s="2">
        <f t="shared" si="425"/>
        <v>0</v>
      </c>
      <c r="BA464" s="2">
        <f t="shared" si="425"/>
        <v>0</v>
      </c>
      <c r="BB464" s="2">
        <f t="shared" si="425"/>
        <v>0</v>
      </c>
      <c r="BC464" s="2">
        <f t="shared" si="425"/>
        <v>0</v>
      </c>
      <c r="BD464" s="2">
        <f t="shared" si="425"/>
        <v>0</v>
      </c>
      <c r="BE464" s="2"/>
      <c r="BF464" s="2"/>
      <c r="BG464" s="2"/>
      <c r="BH464" s="2"/>
      <c r="BI464" s="2"/>
      <c r="BJ464" s="2"/>
      <c r="BK464" s="2"/>
      <c r="BL464" s="2"/>
      <c r="BM464" s="2"/>
      <c r="BN464" s="2"/>
      <c r="BO464" s="2"/>
      <c r="BP464" s="2"/>
      <c r="BQ464" s="2"/>
      <c r="BR464" s="2"/>
      <c r="BS464" s="2"/>
      <c r="BT464" s="2"/>
      <c r="BU464" s="2"/>
      <c r="BV464" s="2"/>
      <c r="BW464" s="2"/>
      <c r="BX464" s="2">
        <f>ROUND(SUMIF(AA452:AA462,"=52430918",FQ452:FQ462),2)</f>
        <v>0</v>
      </c>
      <c r="BY464" s="2">
        <f>ROUND(SUMIF(AA452:AA462,"=52430918",FR452:FR462),2)</f>
        <v>0</v>
      </c>
      <c r="BZ464" s="2">
        <f>ROUND(SUMIF(AA452:AA462,"=52430918",GL452:GL462),2)</f>
        <v>0</v>
      </c>
      <c r="CA464" s="2">
        <f>ROUND(SUMIF(AA452:AA462,"=52430918",GM452:GM462),2)</f>
        <v>157072.07999999999</v>
      </c>
      <c r="CB464" s="2">
        <f>ROUND(SUMIF(AA452:AA462,"=52430918",GN452:GN462),2)</f>
        <v>0</v>
      </c>
      <c r="CC464" s="2">
        <f>ROUND(SUMIF(AA452:AA462,"=52430918",GO452:GO462),2)</f>
        <v>0</v>
      </c>
      <c r="CD464" s="2">
        <f>ROUND(SUMIF(AA452:AA462,"=52430918",GP452:GP462),2)</f>
        <v>157072.07999999999</v>
      </c>
      <c r="CE464" s="2">
        <f>AC464-BX464</f>
        <v>140585.34</v>
      </c>
      <c r="CF464" s="2">
        <f>AC464-BY464</f>
        <v>140585.34</v>
      </c>
      <c r="CG464" s="2">
        <f>BX464-BZ464</f>
        <v>0</v>
      </c>
      <c r="CH464" s="2">
        <f>AC464-BX464-BY464+BZ464</f>
        <v>140585.34</v>
      </c>
      <c r="CI464" s="2">
        <f>BY464-BZ464</f>
        <v>0</v>
      </c>
      <c r="CJ464" s="2">
        <f>ROUND(SUMIF(AA452:AA462,"=52430918",GX452:GX462),2)</f>
        <v>0</v>
      </c>
      <c r="CK464" s="2">
        <f>ROUND(SUMIF(AA452:AA462,"=52430918",GY452:GY462),2)</f>
        <v>0</v>
      </c>
      <c r="CL464" s="2">
        <f>ROUND(SUMIF(AA452:AA462,"=52430918",GZ452:GZ462),2)</f>
        <v>0</v>
      </c>
      <c r="CM464" s="2">
        <f>ROUND(SUMIF(AA452:AA462,"=52430918",HD452:HD462),2)</f>
        <v>0</v>
      </c>
      <c r="CN464" s="2"/>
      <c r="CO464" s="2"/>
      <c r="CP464" s="2"/>
      <c r="CQ464" s="2"/>
      <c r="CR464" s="2"/>
      <c r="CS464" s="2"/>
      <c r="CT464" s="2"/>
      <c r="CU464" s="2"/>
      <c r="CV464" s="2"/>
      <c r="CW464" s="2"/>
      <c r="CX464" s="2"/>
      <c r="CY464" s="2"/>
      <c r="CZ464" s="2"/>
      <c r="DA464" s="2"/>
      <c r="DB464" s="2"/>
      <c r="DC464" s="2"/>
      <c r="DD464" s="2"/>
      <c r="DE464" s="2"/>
      <c r="DF464" s="2"/>
      <c r="DG464" s="3"/>
      <c r="DH464" s="3"/>
      <c r="DI464" s="3"/>
      <c r="DJ464" s="3"/>
      <c r="DK464" s="3"/>
      <c r="DL464" s="3"/>
      <c r="DM464" s="3"/>
      <c r="DN464" s="3"/>
      <c r="DO464" s="3"/>
      <c r="DP464" s="3"/>
      <c r="DQ464" s="3"/>
      <c r="DR464" s="3"/>
      <c r="DS464" s="3"/>
      <c r="DT464" s="3"/>
      <c r="DU464" s="3"/>
      <c r="DV464" s="3"/>
      <c r="DW464" s="3"/>
      <c r="DX464" s="3"/>
      <c r="DY464" s="3"/>
      <c r="DZ464" s="3"/>
      <c r="EA464" s="3"/>
      <c r="EB464" s="3"/>
      <c r="EC464" s="3"/>
      <c r="ED464" s="3"/>
      <c r="EE464" s="3"/>
      <c r="EF464" s="3"/>
      <c r="EG464" s="3"/>
      <c r="EH464" s="3"/>
      <c r="EI464" s="3"/>
      <c r="EJ464" s="3"/>
      <c r="EK464" s="3"/>
      <c r="EL464" s="3"/>
      <c r="EM464" s="3"/>
      <c r="EN464" s="3"/>
      <c r="EO464" s="3"/>
      <c r="EP464" s="3"/>
      <c r="EQ464" s="3"/>
      <c r="ER464" s="3"/>
      <c r="ES464" s="3"/>
      <c r="ET464" s="3"/>
      <c r="EU464" s="3"/>
      <c r="EV464" s="3"/>
      <c r="EW464" s="3"/>
      <c r="EX464" s="3"/>
      <c r="EY464" s="3"/>
      <c r="EZ464" s="3"/>
      <c r="FA464" s="3"/>
      <c r="FB464" s="3"/>
      <c r="FC464" s="3"/>
      <c r="FD464" s="3"/>
      <c r="FE464" s="3"/>
      <c r="FF464" s="3"/>
      <c r="FG464" s="3"/>
      <c r="FH464" s="3"/>
      <c r="FI464" s="3"/>
      <c r="FJ464" s="3"/>
      <c r="FK464" s="3"/>
      <c r="FL464" s="3"/>
      <c r="FM464" s="3"/>
      <c r="FN464" s="3"/>
      <c r="FO464" s="3"/>
      <c r="FP464" s="3"/>
      <c r="FQ464" s="3"/>
      <c r="FR464" s="3"/>
      <c r="FS464" s="3"/>
      <c r="FT464" s="3"/>
      <c r="FU464" s="3"/>
      <c r="FV464" s="3"/>
      <c r="FW464" s="3"/>
      <c r="FX464" s="3"/>
      <c r="FY464" s="3"/>
      <c r="FZ464" s="3"/>
      <c r="GA464" s="3"/>
      <c r="GB464" s="3"/>
      <c r="GC464" s="3"/>
      <c r="GD464" s="3"/>
      <c r="GE464" s="3"/>
      <c r="GF464" s="3"/>
      <c r="GG464" s="3"/>
      <c r="GH464" s="3"/>
      <c r="GI464" s="3"/>
      <c r="GJ464" s="3"/>
      <c r="GK464" s="3"/>
      <c r="GL464" s="3"/>
      <c r="GM464" s="3"/>
      <c r="GN464" s="3"/>
      <c r="GO464" s="3"/>
      <c r="GP464" s="3"/>
      <c r="GQ464" s="3"/>
      <c r="GR464" s="3"/>
      <c r="GS464" s="3"/>
      <c r="GT464" s="3"/>
      <c r="GU464" s="3"/>
      <c r="GV464" s="3"/>
      <c r="GW464" s="3"/>
      <c r="GX464" s="3">
        <v>0</v>
      </c>
    </row>
    <row r="466" spans="1:23" x14ac:dyDescent="0.2">
      <c r="A466" s="4">
        <v>50</v>
      </c>
      <c r="B466" s="4">
        <v>0</v>
      </c>
      <c r="C466" s="4">
        <v>0</v>
      </c>
      <c r="D466" s="4">
        <v>1</v>
      </c>
      <c r="E466" s="4">
        <v>201</v>
      </c>
      <c r="F466" s="4">
        <f>ROUND(Source!O464,O466)</f>
        <v>149744.65</v>
      </c>
      <c r="G466" s="4" t="s">
        <v>118</v>
      </c>
      <c r="H466" s="4" t="s">
        <v>119</v>
      </c>
      <c r="I466" s="4"/>
      <c r="J466" s="4"/>
      <c r="K466" s="4">
        <v>201</v>
      </c>
      <c r="L466" s="4">
        <v>1</v>
      </c>
      <c r="M466" s="4">
        <v>3</v>
      </c>
      <c r="N466" s="4" t="s">
        <v>3</v>
      </c>
      <c r="O466" s="4">
        <v>2</v>
      </c>
      <c r="P466" s="4"/>
      <c r="Q466" s="4"/>
      <c r="R466" s="4"/>
      <c r="S466" s="4"/>
      <c r="T466" s="4"/>
      <c r="U466" s="4"/>
      <c r="V466" s="4"/>
      <c r="W466" s="4"/>
    </row>
    <row r="467" spans="1:23" x14ac:dyDescent="0.2">
      <c r="A467" s="4">
        <v>50</v>
      </c>
      <c r="B467" s="4">
        <v>0</v>
      </c>
      <c r="C467" s="4">
        <v>0</v>
      </c>
      <c r="D467" s="4">
        <v>1</v>
      </c>
      <c r="E467" s="4">
        <v>202</v>
      </c>
      <c r="F467" s="4">
        <f>ROUND(Source!P464,O467)</f>
        <v>140585.34</v>
      </c>
      <c r="G467" s="4" t="s">
        <v>120</v>
      </c>
      <c r="H467" s="4" t="s">
        <v>121</v>
      </c>
      <c r="I467" s="4"/>
      <c r="J467" s="4"/>
      <c r="K467" s="4">
        <v>202</v>
      </c>
      <c r="L467" s="4">
        <v>2</v>
      </c>
      <c r="M467" s="4">
        <v>3</v>
      </c>
      <c r="N467" s="4" t="s">
        <v>3</v>
      </c>
      <c r="O467" s="4">
        <v>2</v>
      </c>
      <c r="P467" s="4"/>
      <c r="Q467" s="4"/>
      <c r="R467" s="4"/>
      <c r="S467" s="4"/>
      <c r="T467" s="4"/>
      <c r="U467" s="4"/>
      <c r="V467" s="4"/>
      <c r="W467" s="4"/>
    </row>
    <row r="468" spans="1:23" x14ac:dyDescent="0.2">
      <c r="A468" s="4">
        <v>50</v>
      </c>
      <c r="B468" s="4">
        <v>0</v>
      </c>
      <c r="C468" s="4">
        <v>0</v>
      </c>
      <c r="D468" s="4">
        <v>1</v>
      </c>
      <c r="E468" s="4">
        <v>222</v>
      </c>
      <c r="F468" s="4">
        <f>ROUND(Source!AO464,O468)</f>
        <v>0</v>
      </c>
      <c r="G468" s="4" t="s">
        <v>122</v>
      </c>
      <c r="H468" s="4" t="s">
        <v>123</v>
      </c>
      <c r="I468" s="4"/>
      <c r="J468" s="4"/>
      <c r="K468" s="4">
        <v>222</v>
      </c>
      <c r="L468" s="4">
        <v>3</v>
      </c>
      <c r="M468" s="4">
        <v>3</v>
      </c>
      <c r="N468" s="4" t="s">
        <v>3</v>
      </c>
      <c r="O468" s="4">
        <v>2</v>
      </c>
      <c r="P468" s="4"/>
      <c r="Q468" s="4"/>
      <c r="R468" s="4"/>
      <c r="S468" s="4"/>
      <c r="T468" s="4"/>
      <c r="U468" s="4"/>
      <c r="V468" s="4"/>
      <c r="W468" s="4"/>
    </row>
    <row r="469" spans="1:23" x14ac:dyDescent="0.2">
      <c r="A469" s="4">
        <v>50</v>
      </c>
      <c r="B469" s="4">
        <v>0</v>
      </c>
      <c r="C469" s="4">
        <v>0</v>
      </c>
      <c r="D469" s="4">
        <v>1</v>
      </c>
      <c r="E469" s="4">
        <v>225</v>
      </c>
      <c r="F469" s="4">
        <f>ROUND(Source!AV464,O469)</f>
        <v>140585.34</v>
      </c>
      <c r="G469" s="4" t="s">
        <v>124</v>
      </c>
      <c r="H469" s="4" t="s">
        <v>125</v>
      </c>
      <c r="I469" s="4"/>
      <c r="J469" s="4"/>
      <c r="K469" s="4">
        <v>225</v>
      </c>
      <c r="L469" s="4">
        <v>4</v>
      </c>
      <c r="M469" s="4">
        <v>3</v>
      </c>
      <c r="N469" s="4" t="s">
        <v>3</v>
      </c>
      <c r="O469" s="4">
        <v>2</v>
      </c>
      <c r="P469" s="4"/>
      <c r="Q469" s="4"/>
      <c r="R469" s="4"/>
      <c r="S469" s="4"/>
      <c r="T469" s="4"/>
      <c r="U469" s="4"/>
      <c r="V469" s="4"/>
      <c r="W469" s="4"/>
    </row>
    <row r="470" spans="1:23" x14ac:dyDescent="0.2">
      <c r="A470" s="4">
        <v>50</v>
      </c>
      <c r="B470" s="4">
        <v>0</v>
      </c>
      <c r="C470" s="4">
        <v>0</v>
      </c>
      <c r="D470" s="4">
        <v>1</v>
      </c>
      <c r="E470" s="4">
        <v>226</v>
      </c>
      <c r="F470" s="4">
        <f>ROUND(Source!AW464,O470)</f>
        <v>140585.34</v>
      </c>
      <c r="G470" s="4" t="s">
        <v>126</v>
      </c>
      <c r="H470" s="4" t="s">
        <v>127</v>
      </c>
      <c r="I470" s="4"/>
      <c r="J470" s="4"/>
      <c r="K470" s="4">
        <v>226</v>
      </c>
      <c r="L470" s="4">
        <v>5</v>
      </c>
      <c r="M470" s="4">
        <v>3</v>
      </c>
      <c r="N470" s="4" t="s">
        <v>3</v>
      </c>
      <c r="O470" s="4">
        <v>2</v>
      </c>
      <c r="P470" s="4"/>
      <c r="Q470" s="4"/>
      <c r="R470" s="4"/>
      <c r="S470" s="4"/>
      <c r="T470" s="4"/>
      <c r="U470" s="4"/>
      <c r="V470" s="4"/>
      <c r="W470" s="4"/>
    </row>
    <row r="471" spans="1:23" x14ac:dyDescent="0.2">
      <c r="A471" s="4">
        <v>50</v>
      </c>
      <c r="B471" s="4">
        <v>0</v>
      </c>
      <c r="C471" s="4">
        <v>0</v>
      </c>
      <c r="D471" s="4">
        <v>1</v>
      </c>
      <c r="E471" s="4">
        <v>227</v>
      </c>
      <c r="F471" s="4">
        <f>ROUND(Source!AX464,O471)</f>
        <v>0</v>
      </c>
      <c r="G471" s="4" t="s">
        <v>128</v>
      </c>
      <c r="H471" s="4" t="s">
        <v>129</v>
      </c>
      <c r="I471" s="4"/>
      <c r="J471" s="4"/>
      <c r="K471" s="4">
        <v>227</v>
      </c>
      <c r="L471" s="4">
        <v>6</v>
      </c>
      <c r="M471" s="4">
        <v>3</v>
      </c>
      <c r="N471" s="4" t="s">
        <v>3</v>
      </c>
      <c r="O471" s="4">
        <v>2</v>
      </c>
      <c r="P471" s="4"/>
      <c r="Q471" s="4"/>
      <c r="R471" s="4"/>
      <c r="S471" s="4"/>
      <c r="T471" s="4"/>
      <c r="U471" s="4"/>
      <c r="V471" s="4"/>
      <c r="W471" s="4"/>
    </row>
    <row r="472" spans="1:23" x14ac:dyDescent="0.2">
      <c r="A472" s="4">
        <v>50</v>
      </c>
      <c r="B472" s="4">
        <v>0</v>
      </c>
      <c r="C472" s="4">
        <v>0</v>
      </c>
      <c r="D472" s="4">
        <v>1</v>
      </c>
      <c r="E472" s="4">
        <v>228</v>
      </c>
      <c r="F472" s="4">
        <f>ROUND(Source!AY464,O472)</f>
        <v>140585.34</v>
      </c>
      <c r="G472" s="4" t="s">
        <v>130</v>
      </c>
      <c r="H472" s="4" t="s">
        <v>131</v>
      </c>
      <c r="I472" s="4"/>
      <c r="J472" s="4"/>
      <c r="K472" s="4">
        <v>228</v>
      </c>
      <c r="L472" s="4">
        <v>7</v>
      </c>
      <c r="M472" s="4">
        <v>3</v>
      </c>
      <c r="N472" s="4" t="s">
        <v>3</v>
      </c>
      <c r="O472" s="4">
        <v>2</v>
      </c>
      <c r="P472" s="4"/>
      <c r="Q472" s="4"/>
      <c r="R472" s="4"/>
      <c r="S472" s="4"/>
      <c r="T472" s="4"/>
      <c r="U472" s="4"/>
      <c r="V472" s="4"/>
      <c r="W472" s="4"/>
    </row>
    <row r="473" spans="1:23" x14ac:dyDescent="0.2">
      <c r="A473" s="4">
        <v>50</v>
      </c>
      <c r="B473" s="4">
        <v>0</v>
      </c>
      <c r="C473" s="4">
        <v>0</v>
      </c>
      <c r="D473" s="4">
        <v>1</v>
      </c>
      <c r="E473" s="4">
        <v>216</v>
      </c>
      <c r="F473" s="4">
        <f>ROUND(Source!AP464,O473)</f>
        <v>0</v>
      </c>
      <c r="G473" s="4" t="s">
        <v>132</v>
      </c>
      <c r="H473" s="4" t="s">
        <v>133</v>
      </c>
      <c r="I473" s="4"/>
      <c r="J473" s="4"/>
      <c r="K473" s="4">
        <v>216</v>
      </c>
      <c r="L473" s="4">
        <v>8</v>
      </c>
      <c r="M473" s="4">
        <v>3</v>
      </c>
      <c r="N473" s="4" t="s">
        <v>3</v>
      </c>
      <c r="O473" s="4">
        <v>2</v>
      </c>
      <c r="P473" s="4"/>
      <c r="Q473" s="4"/>
      <c r="R473" s="4"/>
      <c r="S473" s="4"/>
      <c r="T473" s="4"/>
      <c r="U473" s="4"/>
      <c r="V473" s="4"/>
      <c r="W473" s="4"/>
    </row>
    <row r="474" spans="1:23" x14ac:dyDescent="0.2">
      <c r="A474" s="4">
        <v>50</v>
      </c>
      <c r="B474" s="4">
        <v>0</v>
      </c>
      <c r="C474" s="4">
        <v>0</v>
      </c>
      <c r="D474" s="4">
        <v>1</v>
      </c>
      <c r="E474" s="4">
        <v>223</v>
      </c>
      <c r="F474" s="4">
        <f>ROUND(Source!AQ464,O474)</f>
        <v>0</v>
      </c>
      <c r="G474" s="4" t="s">
        <v>134</v>
      </c>
      <c r="H474" s="4" t="s">
        <v>135</v>
      </c>
      <c r="I474" s="4"/>
      <c r="J474" s="4"/>
      <c r="K474" s="4">
        <v>223</v>
      </c>
      <c r="L474" s="4">
        <v>9</v>
      </c>
      <c r="M474" s="4">
        <v>3</v>
      </c>
      <c r="N474" s="4" t="s">
        <v>3</v>
      </c>
      <c r="O474" s="4">
        <v>2</v>
      </c>
      <c r="P474" s="4"/>
      <c r="Q474" s="4"/>
      <c r="R474" s="4"/>
      <c r="S474" s="4"/>
      <c r="T474" s="4"/>
      <c r="U474" s="4"/>
      <c r="V474" s="4"/>
      <c r="W474" s="4"/>
    </row>
    <row r="475" spans="1:23" x14ac:dyDescent="0.2">
      <c r="A475" s="4">
        <v>50</v>
      </c>
      <c r="B475" s="4">
        <v>0</v>
      </c>
      <c r="C475" s="4">
        <v>0</v>
      </c>
      <c r="D475" s="4">
        <v>1</v>
      </c>
      <c r="E475" s="4">
        <v>229</v>
      </c>
      <c r="F475" s="4">
        <f>ROUND(Source!AZ464,O475)</f>
        <v>0</v>
      </c>
      <c r="G475" s="4" t="s">
        <v>136</v>
      </c>
      <c r="H475" s="4" t="s">
        <v>137</v>
      </c>
      <c r="I475" s="4"/>
      <c r="J475" s="4"/>
      <c r="K475" s="4">
        <v>229</v>
      </c>
      <c r="L475" s="4">
        <v>10</v>
      </c>
      <c r="M475" s="4">
        <v>3</v>
      </c>
      <c r="N475" s="4" t="s">
        <v>3</v>
      </c>
      <c r="O475" s="4">
        <v>2</v>
      </c>
      <c r="P475" s="4"/>
      <c r="Q475" s="4"/>
      <c r="R475" s="4"/>
      <c r="S475" s="4"/>
      <c r="T475" s="4"/>
      <c r="U475" s="4"/>
      <c r="V475" s="4"/>
      <c r="W475" s="4"/>
    </row>
    <row r="476" spans="1:23" x14ac:dyDescent="0.2">
      <c r="A476" s="4">
        <v>50</v>
      </c>
      <c r="B476" s="4">
        <v>0</v>
      </c>
      <c r="C476" s="4">
        <v>0</v>
      </c>
      <c r="D476" s="4">
        <v>1</v>
      </c>
      <c r="E476" s="4">
        <v>203</v>
      </c>
      <c r="F476" s="4">
        <f>ROUND(Source!Q464,O476)</f>
        <v>0.01</v>
      </c>
      <c r="G476" s="4" t="s">
        <v>138</v>
      </c>
      <c r="H476" s="4" t="s">
        <v>139</v>
      </c>
      <c r="I476" s="4"/>
      <c r="J476" s="4"/>
      <c r="K476" s="4">
        <v>203</v>
      </c>
      <c r="L476" s="4">
        <v>11</v>
      </c>
      <c r="M476" s="4">
        <v>3</v>
      </c>
      <c r="N476" s="4" t="s">
        <v>3</v>
      </c>
      <c r="O476" s="4">
        <v>2</v>
      </c>
      <c r="P476" s="4"/>
      <c r="Q476" s="4"/>
      <c r="R476" s="4"/>
      <c r="S476" s="4"/>
      <c r="T476" s="4"/>
      <c r="U476" s="4"/>
      <c r="V476" s="4"/>
      <c r="W476" s="4"/>
    </row>
    <row r="477" spans="1:23" x14ac:dyDescent="0.2">
      <c r="A477" s="4">
        <v>50</v>
      </c>
      <c r="B477" s="4">
        <v>0</v>
      </c>
      <c r="C477" s="4">
        <v>0</v>
      </c>
      <c r="D477" s="4">
        <v>1</v>
      </c>
      <c r="E477" s="4">
        <v>231</v>
      </c>
      <c r="F477" s="4">
        <f>ROUND(Source!BB464,O477)</f>
        <v>0</v>
      </c>
      <c r="G477" s="4" t="s">
        <v>140</v>
      </c>
      <c r="H477" s="4" t="s">
        <v>141</v>
      </c>
      <c r="I477" s="4"/>
      <c r="J477" s="4"/>
      <c r="K477" s="4">
        <v>231</v>
      </c>
      <c r="L477" s="4">
        <v>12</v>
      </c>
      <c r="M477" s="4">
        <v>3</v>
      </c>
      <c r="N477" s="4" t="s">
        <v>3</v>
      </c>
      <c r="O477" s="4">
        <v>2</v>
      </c>
      <c r="P477" s="4"/>
      <c r="Q477" s="4"/>
      <c r="R477" s="4"/>
      <c r="S477" s="4"/>
      <c r="T477" s="4"/>
      <c r="U477" s="4"/>
      <c r="V477" s="4"/>
      <c r="W477" s="4"/>
    </row>
    <row r="478" spans="1:23" x14ac:dyDescent="0.2">
      <c r="A478" s="4">
        <v>50</v>
      </c>
      <c r="B478" s="4">
        <v>0</v>
      </c>
      <c r="C478" s="4">
        <v>0</v>
      </c>
      <c r="D478" s="4">
        <v>1</v>
      </c>
      <c r="E478" s="4">
        <v>204</v>
      </c>
      <c r="F478" s="4">
        <f>ROUND(Source!R464,O478)</f>
        <v>-0.01</v>
      </c>
      <c r="G478" s="4" t="s">
        <v>142</v>
      </c>
      <c r="H478" s="4" t="s">
        <v>143</v>
      </c>
      <c r="I478" s="4"/>
      <c r="J478" s="4"/>
      <c r="K478" s="4">
        <v>204</v>
      </c>
      <c r="L478" s="4">
        <v>13</v>
      </c>
      <c r="M478" s="4">
        <v>3</v>
      </c>
      <c r="N478" s="4" t="s">
        <v>3</v>
      </c>
      <c r="O478" s="4">
        <v>2</v>
      </c>
      <c r="P478" s="4"/>
      <c r="Q478" s="4"/>
      <c r="R478" s="4"/>
      <c r="S478" s="4"/>
      <c r="T478" s="4"/>
      <c r="U478" s="4"/>
      <c r="V478" s="4"/>
      <c r="W478" s="4"/>
    </row>
    <row r="479" spans="1:23" x14ac:dyDescent="0.2">
      <c r="A479" s="4">
        <v>50</v>
      </c>
      <c r="B479" s="4">
        <v>0</v>
      </c>
      <c r="C479" s="4">
        <v>0</v>
      </c>
      <c r="D479" s="4">
        <v>1</v>
      </c>
      <c r="E479" s="4">
        <v>205</v>
      </c>
      <c r="F479" s="4">
        <f>ROUND(Source!S464,O479)</f>
        <v>9159.2999999999993</v>
      </c>
      <c r="G479" s="4" t="s">
        <v>144</v>
      </c>
      <c r="H479" s="4" t="s">
        <v>145</v>
      </c>
      <c r="I479" s="4"/>
      <c r="J479" s="4"/>
      <c r="K479" s="4">
        <v>205</v>
      </c>
      <c r="L479" s="4">
        <v>14</v>
      </c>
      <c r="M479" s="4">
        <v>3</v>
      </c>
      <c r="N479" s="4" t="s">
        <v>3</v>
      </c>
      <c r="O479" s="4">
        <v>2</v>
      </c>
      <c r="P479" s="4"/>
      <c r="Q479" s="4"/>
      <c r="R479" s="4"/>
      <c r="S479" s="4"/>
      <c r="T479" s="4"/>
      <c r="U479" s="4"/>
      <c r="V479" s="4"/>
      <c r="W479" s="4"/>
    </row>
    <row r="480" spans="1:23" x14ac:dyDescent="0.2">
      <c r="A480" s="4">
        <v>50</v>
      </c>
      <c r="B480" s="4">
        <v>0</v>
      </c>
      <c r="C480" s="4">
        <v>0</v>
      </c>
      <c r="D480" s="4">
        <v>1</v>
      </c>
      <c r="E480" s="4">
        <v>232</v>
      </c>
      <c r="F480" s="4">
        <f>ROUND(Source!BC464,O480)</f>
        <v>0</v>
      </c>
      <c r="G480" s="4" t="s">
        <v>146</v>
      </c>
      <c r="H480" s="4" t="s">
        <v>147</v>
      </c>
      <c r="I480" s="4"/>
      <c r="J480" s="4"/>
      <c r="K480" s="4">
        <v>232</v>
      </c>
      <c r="L480" s="4">
        <v>15</v>
      </c>
      <c r="M480" s="4">
        <v>3</v>
      </c>
      <c r="N480" s="4" t="s">
        <v>3</v>
      </c>
      <c r="O480" s="4">
        <v>2</v>
      </c>
      <c r="P480" s="4"/>
      <c r="Q480" s="4"/>
      <c r="R480" s="4"/>
      <c r="S480" s="4"/>
      <c r="T480" s="4"/>
      <c r="U480" s="4"/>
      <c r="V480" s="4"/>
      <c r="W480" s="4"/>
    </row>
    <row r="481" spans="1:206" x14ac:dyDescent="0.2">
      <c r="A481" s="4">
        <v>50</v>
      </c>
      <c r="B481" s="4">
        <v>0</v>
      </c>
      <c r="C481" s="4">
        <v>0</v>
      </c>
      <c r="D481" s="4">
        <v>1</v>
      </c>
      <c r="E481" s="4">
        <v>214</v>
      </c>
      <c r="F481" s="4">
        <f>ROUND(Source!AS464,O481)</f>
        <v>0</v>
      </c>
      <c r="G481" s="4" t="s">
        <v>148</v>
      </c>
      <c r="H481" s="4" t="s">
        <v>149</v>
      </c>
      <c r="I481" s="4"/>
      <c r="J481" s="4"/>
      <c r="K481" s="4">
        <v>214</v>
      </c>
      <c r="L481" s="4">
        <v>16</v>
      </c>
      <c r="M481" s="4">
        <v>3</v>
      </c>
      <c r="N481" s="4" t="s">
        <v>3</v>
      </c>
      <c r="O481" s="4">
        <v>2</v>
      </c>
      <c r="P481" s="4"/>
      <c r="Q481" s="4"/>
      <c r="R481" s="4"/>
      <c r="S481" s="4"/>
      <c r="T481" s="4"/>
      <c r="U481" s="4"/>
      <c r="V481" s="4"/>
      <c r="W481" s="4"/>
    </row>
    <row r="482" spans="1:206" x14ac:dyDescent="0.2">
      <c r="A482" s="4">
        <v>50</v>
      </c>
      <c r="B482" s="4">
        <v>0</v>
      </c>
      <c r="C482" s="4">
        <v>0</v>
      </c>
      <c r="D482" s="4">
        <v>1</v>
      </c>
      <c r="E482" s="4">
        <v>215</v>
      </c>
      <c r="F482" s="4">
        <f>ROUND(Source!AT464,O482)</f>
        <v>0</v>
      </c>
      <c r="G482" s="4" t="s">
        <v>150</v>
      </c>
      <c r="H482" s="4" t="s">
        <v>151</v>
      </c>
      <c r="I482" s="4"/>
      <c r="J482" s="4"/>
      <c r="K482" s="4">
        <v>215</v>
      </c>
      <c r="L482" s="4">
        <v>17</v>
      </c>
      <c r="M482" s="4">
        <v>3</v>
      </c>
      <c r="N482" s="4" t="s">
        <v>3</v>
      </c>
      <c r="O482" s="4">
        <v>2</v>
      </c>
      <c r="P482" s="4"/>
      <c r="Q482" s="4"/>
      <c r="R482" s="4"/>
      <c r="S482" s="4"/>
      <c r="T482" s="4"/>
      <c r="U482" s="4"/>
      <c r="V482" s="4"/>
      <c r="W482" s="4"/>
    </row>
    <row r="483" spans="1:206" x14ac:dyDescent="0.2">
      <c r="A483" s="4">
        <v>50</v>
      </c>
      <c r="B483" s="4">
        <v>0</v>
      </c>
      <c r="C483" s="4">
        <v>0</v>
      </c>
      <c r="D483" s="4">
        <v>1</v>
      </c>
      <c r="E483" s="4">
        <v>217</v>
      </c>
      <c r="F483" s="4">
        <f>ROUND(Source!AU464,O483)</f>
        <v>157072.07999999999</v>
      </c>
      <c r="G483" s="4" t="s">
        <v>152</v>
      </c>
      <c r="H483" s="4" t="s">
        <v>153</v>
      </c>
      <c r="I483" s="4"/>
      <c r="J483" s="4"/>
      <c r="K483" s="4">
        <v>217</v>
      </c>
      <c r="L483" s="4">
        <v>18</v>
      </c>
      <c r="M483" s="4">
        <v>3</v>
      </c>
      <c r="N483" s="4" t="s">
        <v>3</v>
      </c>
      <c r="O483" s="4">
        <v>2</v>
      </c>
      <c r="P483" s="4"/>
      <c r="Q483" s="4"/>
      <c r="R483" s="4"/>
      <c r="S483" s="4"/>
      <c r="T483" s="4"/>
      <c r="U483" s="4"/>
      <c r="V483" s="4"/>
      <c r="W483" s="4"/>
    </row>
    <row r="484" spans="1:206" x14ac:dyDescent="0.2">
      <c r="A484" s="4">
        <v>50</v>
      </c>
      <c r="B484" s="4">
        <v>0</v>
      </c>
      <c r="C484" s="4">
        <v>0</v>
      </c>
      <c r="D484" s="4">
        <v>1</v>
      </c>
      <c r="E484" s="4">
        <v>230</v>
      </c>
      <c r="F484" s="4">
        <f>ROUND(Source!BA464,O484)</f>
        <v>0</v>
      </c>
      <c r="G484" s="4" t="s">
        <v>154</v>
      </c>
      <c r="H484" s="4" t="s">
        <v>155</v>
      </c>
      <c r="I484" s="4"/>
      <c r="J484" s="4"/>
      <c r="K484" s="4">
        <v>230</v>
      </c>
      <c r="L484" s="4">
        <v>19</v>
      </c>
      <c r="M484" s="4">
        <v>3</v>
      </c>
      <c r="N484" s="4" t="s">
        <v>3</v>
      </c>
      <c r="O484" s="4">
        <v>2</v>
      </c>
      <c r="P484" s="4"/>
      <c r="Q484" s="4"/>
      <c r="R484" s="4"/>
      <c r="S484" s="4"/>
      <c r="T484" s="4"/>
      <c r="U484" s="4"/>
      <c r="V484" s="4"/>
      <c r="W484" s="4"/>
    </row>
    <row r="485" spans="1:206" x14ac:dyDescent="0.2">
      <c r="A485" s="4">
        <v>50</v>
      </c>
      <c r="B485" s="4">
        <v>0</v>
      </c>
      <c r="C485" s="4">
        <v>0</v>
      </c>
      <c r="D485" s="4">
        <v>1</v>
      </c>
      <c r="E485" s="4">
        <v>206</v>
      </c>
      <c r="F485" s="4">
        <f>ROUND(Source!T464,O485)</f>
        <v>0</v>
      </c>
      <c r="G485" s="4" t="s">
        <v>156</v>
      </c>
      <c r="H485" s="4" t="s">
        <v>157</v>
      </c>
      <c r="I485" s="4"/>
      <c r="J485" s="4"/>
      <c r="K485" s="4">
        <v>206</v>
      </c>
      <c r="L485" s="4">
        <v>20</v>
      </c>
      <c r="M485" s="4">
        <v>3</v>
      </c>
      <c r="N485" s="4" t="s">
        <v>3</v>
      </c>
      <c r="O485" s="4">
        <v>2</v>
      </c>
      <c r="P485" s="4"/>
      <c r="Q485" s="4"/>
      <c r="R485" s="4"/>
      <c r="S485" s="4"/>
      <c r="T485" s="4"/>
      <c r="U485" s="4"/>
      <c r="V485" s="4"/>
      <c r="W485" s="4"/>
    </row>
    <row r="486" spans="1:206" x14ac:dyDescent="0.2">
      <c r="A486" s="4">
        <v>50</v>
      </c>
      <c r="B486" s="4">
        <v>0</v>
      </c>
      <c r="C486" s="4">
        <v>0</v>
      </c>
      <c r="D486" s="4">
        <v>1</v>
      </c>
      <c r="E486" s="4">
        <v>207</v>
      </c>
      <c r="F486" s="4">
        <f>Source!U464</f>
        <v>36.11</v>
      </c>
      <c r="G486" s="4" t="s">
        <v>158</v>
      </c>
      <c r="H486" s="4" t="s">
        <v>159</v>
      </c>
      <c r="I486" s="4"/>
      <c r="J486" s="4"/>
      <c r="K486" s="4">
        <v>207</v>
      </c>
      <c r="L486" s="4">
        <v>21</v>
      </c>
      <c r="M486" s="4">
        <v>3</v>
      </c>
      <c r="N486" s="4" t="s">
        <v>3</v>
      </c>
      <c r="O486" s="4">
        <v>-1</v>
      </c>
      <c r="P486" s="4"/>
      <c r="Q486" s="4"/>
      <c r="R486" s="4"/>
      <c r="S486" s="4"/>
      <c r="T486" s="4"/>
      <c r="U486" s="4"/>
      <c r="V486" s="4"/>
      <c r="W486" s="4"/>
    </row>
    <row r="487" spans="1:206" x14ac:dyDescent="0.2">
      <c r="A487" s="4">
        <v>50</v>
      </c>
      <c r="B487" s="4">
        <v>0</v>
      </c>
      <c r="C487" s="4">
        <v>0</v>
      </c>
      <c r="D487" s="4">
        <v>1</v>
      </c>
      <c r="E487" s="4">
        <v>208</v>
      </c>
      <c r="F487" s="4">
        <f>Source!V464</f>
        <v>0</v>
      </c>
      <c r="G487" s="4" t="s">
        <v>160</v>
      </c>
      <c r="H487" s="4" t="s">
        <v>161</v>
      </c>
      <c r="I487" s="4"/>
      <c r="J487" s="4"/>
      <c r="K487" s="4">
        <v>208</v>
      </c>
      <c r="L487" s="4">
        <v>22</v>
      </c>
      <c r="M487" s="4">
        <v>3</v>
      </c>
      <c r="N487" s="4" t="s">
        <v>3</v>
      </c>
      <c r="O487" s="4">
        <v>-1</v>
      </c>
      <c r="P487" s="4"/>
      <c r="Q487" s="4"/>
      <c r="R487" s="4"/>
      <c r="S487" s="4"/>
      <c r="T487" s="4"/>
      <c r="U487" s="4"/>
      <c r="V487" s="4"/>
      <c r="W487" s="4"/>
    </row>
    <row r="488" spans="1:206" x14ac:dyDescent="0.2">
      <c r="A488" s="4">
        <v>50</v>
      </c>
      <c r="B488" s="4">
        <v>0</v>
      </c>
      <c r="C488" s="4">
        <v>0</v>
      </c>
      <c r="D488" s="4">
        <v>1</v>
      </c>
      <c r="E488" s="4">
        <v>209</v>
      </c>
      <c r="F488" s="4">
        <f>ROUND(Source!W464,O488)</f>
        <v>0</v>
      </c>
      <c r="G488" s="4" t="s">
        <v>162</v>
      </c>
      <c r="H488" s="4" t="s">
        <v>163</v>
      </c>
      <c r="I488" s="4"/>
      <c r="J488" s="4"/>
      <c r="K488" s="4">
        <v>209</v>
      </c>
      <c r="L488" s="4">
        <v>23</v>
      </c>
      <c r="M488" s="4">
        <v>3</v>
      </c>
      <c r="N488" s="4" t="s">
        <v>3</v>
      </c>
      <c r="O488" s="4">
        <v>2</v>
      </c>
      <c r="P488" s="4"/>
      <c r="Q488" s="4"/>
      <c r="R488" s="4"/>
      <c r="S488" s="4"/>
      <c r="T488" s="4"/>
      <c r="U488" s="4"/>
      <c r="V488" s="4"/>
      <c r="W488" s="4"/>
    </row>
    <row r="489" spans="1:206" x14ac:dyDescent="0.2">
      <c r="A489" s="4">
        <v>50</v>
      </c>
      <c r="B489" s="4">
        <v>0</v>
      </c>
      <c r="C489" s="4">
        <v>0</v>
      </c>
      <c r="D489" s="4">
        <v>1</v>
      </c>
      <c r="E489" s="4">
        <v>233</v>
      </c>
      <c r="F489" s="4">
        <f>ROUND(Source!BD464,O489)</f>
        <v>0</v>
      </c>
      <c r="G489" s="4" t="s">
        <v>164</v>
      </c>
      <c r="H489" s="4" t="s">
        <v>165</v>
      </c>
      <c r="I489" s="4"/>
      <c r="J489" s="4"/>
      <c r="K489" s="4">
        <v>233</v>
      </c>
      <c r="L489" s="4">
        <v>24</v>
      </c>
      <c r="M489" s="4">
        <v>3</v>
      </c>
      <c r="N489" s="4" t="s">
        <v>3</v>
      </c>
      <c r="O489" s="4">
        <v>2</v>
      </c>
      <c r="P489" s="4"/>
      <c r="Q489" s="4"/>
      <c r="R489" s="4"/>
      <c r="S489" s="4"/>
      <c r="T489" s="4"/>
      <c r="U489" s="4"/>
      <c r="V489" s="4"/>
      <c r="W489" s="4"/>
    </row>
    <row r="490" spans="1:206" x14ac:dyDescent="0.2">
      <c r="A490" s="4">
        <v>50</v>
      </c>
      <c r="B490" s="4">
        <v>0</v>
      </c>
      <c r="C490" s="4">
        <v>0</v>
      </c>
      <c r="D490" s="4">
        <v>1</v>
      </c>
      <c r="E490" s="4">
        <v>210</v>
      </c>
      <c r="F490" s="4">
        <f>ROUND(Source!X464,O490)</f>
        <v>6411.51</v>
      </c>
      <c r="G490" s="4" t="s">
        <v>166</v>
      </c>
      <c r="H490" s="4" t="s">
        <v>167</v>
      </c>
      <c r="I490" s="4"/>
      <c r="J490" s="4"/>
      <c r="K490" s="4">
        <v>210</v>
      </c>
      <c r="L490" s="4">
        <v>25</v>
      </c>
      <c r="M490" s="4">
        <v>3</v>
      </c>
      <c r="N490" s="4" t="s">
        <v>3</v>
      </c>
      <c r="O490" s="4">
        <v>2</v>
      </c>
      <c r="P490" s="4"/>
      <c r="Q490" s="4"/>
      <c r="R490" s="4"/>
      <c r="S490" s="4"/>
      <c r="T490" s="4"/>
      <c r="U490" s="4"/>
      <c r="V490" s="4"/>
      <c r="W490" s="4"/>
    </row>
    <row r="491" spans="1:206" x14ac:dyDescent="0.2">
      <c r="A491" s="4">
        <v>50</v>
      </c>
      <c r="B491" s="4">
        <v>0</v>
      </c>
      <c r="C491" s="4">
        <v>0</v>
      </c>
      <c r="D491" s="4">
        <v>1</v>
      </c>
      <c r="E491" s="4">
        <v>211</v>
      </c>
      <c r="F491" s="4">
        <f>ROUND(Source!Y464,O491)</f>
        <v>915.93</v>
      </c>
      <c r="G491" s="4" t="s">
        <v>168</v>
      </c>
      <c r="H491" s="4" t="s">
        <v>169</v>
      </c>
      <c r="I491" s="4"/>
      <c r="J491" s="4"/>
      <c r="K491" s="4">
        <v>211</v>
      </c>
      <c r="L491" s="4">
        <v>26</v>
      </c>
      <c r="M491" s="4">
        <v>3</v>
      </c>
      <c r="N491" s="4" t="s">
        <v>3</v>
      </c>
      <c r="O491" s="4">
        <v>2</v>
      </c>
      <c r="P491" s="4"/>
      <c r="Q491" s="4"/>
      <c r="R491" s="4"/>
      <c r="S491" s="4"/>
      <c r="T491" s="4"/>
      <c r="U491" s="4"/>
      <c r="V491" s="4"/>
      <c r="W491" s="4"/>
    </row>
    <row r="492" spans="1:206" x14ac:dyDescent="0.2">
      <c r="A492" s="4">
        <v>50</v>
      </c>
      <c r="B492" s="4">
        <v>0</v>
      </c>
      <c r="C492" s="4">
        <v>0</v>
      </c>
      <c r="D492" s="4">
        <v>1</v>
      </c>
      <c r="E492" s="4">
        <v>224</v>
      </c>
      <c r="F492" s="4">
        <f>ROUND(Source!AR464,O492)</f>
        <v>157072.07999999999</v>
      </c>
      <c r="G492" s="4" t="s">
        <v>170</v>
      </c>
      <c r="H492" s="4" t="s">
        <v>171</v>
      </c>
      <c r="I492" s="4"/>
      <c r="J492" s="4"/>
      <c r="K492" s="4">
        <v>224</v>
      </c>
      <c r="L492" s="4">
        <v>27</v>
      </c>
      <c r="M492" s="4">
        <v>3</v>
      </c>
      <c r="N492" s="4" t="s">
        <v>3</v>
      </c>
      <c r="O492" s="4">
        <v>2</v>
      </c>
      <c r="P492" s="4"/>
      <c r="Q492" s="4"/>
      <c r="R492" s="4"/>
      <c r="S492" s="4"/>
      <c r="T492" s="4"/>
      <c r="U492" s="4"/>
      <c r="V492" s="4"/>
      <c r="W492" s="4"/>
    </row>
    <row r="494" spans="1:206" x14ac:dyDescent="0.2">
      <c r="A494" s="1">
        <v>5</v>
      </c>
      <c r="B494" s="1">
        <v>1</v>
      </c>
      <c r="C494" s="1"/>
      <c r="D494" s="1">
        <f>ROW(A505)</f>
        <v>505</v>
      </c>
      <c r="E494" s="1"/>
      <c r="F494" s="1" t="s">
        <v>15</v>
      </c>
      <c r="G494" s="1" t="s">
        <v>348</v>
      </c>
      <c r="H494" s="1" t="s">
        <v>3</v>
      </c>
      <c r="I494" s="1">
        <v>0</v>
      </c>
      <c r="J494" s="1"/>
      <c r="K494" s="1">
        <v>0</v>
      </c>
      <c r="L494" s="1"/>
      <c r="M494" s="1"/>
      <c r="N494" s="1"/>
      <c r="O494" s="1"/>
      <c r="P494" s="1"/>
      <c r="Q494" s="1"/>
      <c r="R494" s="1"/>
      <c r="S494" s="1"/>
      <c r="T494" s="1"/>
      <c r="U494" s="1" t="s">
        <v>3</v>
      </c>
      <c r="V494" s="1">
        <v>0</v>
      </c>
      <c r="W494" s="1"/>
      <c r="X494" s="1"/>
      <c r="Y494" s="1"/>
      <c r="Z494" s="1"/>
      <c r="AA494" s="1"/>
      <c r="AB494" s="1" t="s">
        <v>3</v>
      </c>
      <c r="AC494" s="1" t="s">
        <v>3</v>
      </c>
      <c r="AD494" s="1" t="s">
        <v>3</v>
      </c>
      <c r="AE494" s="1" t="s">
        <v>3</v>
      </c>
      <c r="AF494" s="1" t="s">
        <v>3</v>
      </c>
      <c r="AG494" s="1" t="s">
        <v>3</v>
      </c>
      <c r="AH494" s="1"/>
      <c r="AI494" s="1"/>
      <c r="AJ494" s="1"/>
      <c r="AK494" s="1"/>
      <c r="AL494" s="1"/>
      <c r="AM494" s="1"/>
      <c r="AN494" s="1"/>
      <c r="AO494" s="1"/>
      <c r="AP494" s="1" t="s">
        <v>3</v>
      </c>
      <c r="AQ494" s="1" t="s">
        <v>3</v>
      </c>
      <c r="AR494" s="1" t="s">
        <v>3</v>
      </c>
      <c r="AS494" s="1"/>
      <c r="AT494" s="1"/>
      <c r="AU494" s="1"/>
      <c r="AV494" s="1"/>
      <c r="AW494" s="1"/>
      <c r="AX494" s="1"/>
      <c r="AY494" s="1"/>
      <c r="AZ494" s="1" t="s">
        <v>3</v>
      </c>
      <c r="BA494" s="1"/>
      <c r="BB494" s="1" t="s">
        <v>3</v>
      </c>
      <c r="BC494" s="1" t="s">
        <v>3</v>
      </c>
      <c r="BD494" s="1" t="s">
        <v>3</v>
      </c>
      <c r="BE494" s="1" t="s">
        <v>3</v>
      </c>
      <c r="BF494" s="1" t="s">
        <v>3</v>
      </c>
      <c r="BG494" s="1" t="s">
        <v>3</v>
      </c>
      <c r="BH494" s="1" t="s">
        <v>3</v>
      </c>
      <c r="BI494" s="1" t="s">
        <v>3</v>
      </c>
      <c r="BJ494" s="1" t="s">
        <v>3</v>
      </c>
      <c r="BK494" s="1" t="s">
        <v>3</v>
      </c>
      <c r="BL494" s="1" t="s">
        <v>3</v>
      </c>
      <c r="BM494" s="1" t="s">
        <v>3</v>
      </c>
      <c r="BN494" s="1" t="s">
        <v>3</v>
      </c>
      <c r="BO494" s="1" t="s">
        <v>3</v>
      </c>
      <c r="BP494" s="1" t="s">
        <v>3</v>
      </c>
      <c r="BQ494" s="1"/>
      <c r="BR494" s="1"/>
      <c r="BS494" s="1"/>
      <c r="BT494" s="1"/>
      <c r="BU494" s="1"/>
      <c r="BV494" s="1"/>
      <c r="BW494" s="1"/>
      <c r="BX494" s="1">
        <v>0</v>
      </c>
      <c r="BY494" s="1"/>
      <c r="BZ494" s="1"/>
      <c r="CA494" s="1"/>
      <c r="CB494" s="1"/>
      <c r="CC494" s="1"/>
      <c r="CD494" s="1"/>
      <c r="CE494" s="1"/>
      <c r="CF494" s="1"/>
      <c r="CG494" s="1"/>
      <c r="CH494" s="1"/>
      <c r="CI494" s="1"/>
      <c r="CJ494" s="1">
        <v>0</v>
      </c>
    </row>
    <row r="496" spans="1:206" x14ac:dyDescent="0.2">
      <c r="A496" s="2">
        <v>52</v>
      </c>
      <c r="B496" s="2">
        <f t="shared" ref="B496:G496" si="426">B505</f>
        <v>1</v>
      </c>
      <c r="C496" s="2">
        <f t="shared" si="426"/>
        <v>5</v>
      </c>
      <c r="D496" s="2">
        <f t="shared" si="426"/>
        <v>494</v>
      </c>
      <c r="E496" s="2">
        <f t="shared" si="426"/>
        <v>0</v>
      </c>
      <c r="F496" s="2" t="str">
        <f t="shared" si="426"/>
        <v>Новый подраздел</v>
      </c>
      <c r="G496" s="2" t="str">
        <f t="shared" si="426"/>
        <v>Мусор</v>
      </c>
      <c r="H496" s="2"/>
      <c r="I496" s="2"/>
      <c r="J496" s="2"/>
      <c r="K496" s="2"/>
      <c r="L496" s="2"/>
      <c r="M496" s="2"/>
      <c r="N496" s="2"/>
      <c r="O496" s="2">
        <f t="shared" ref="O496:AT496" si="427">O505</f>
        <v>131303.10999999999</v>
      </c>
      <c r="P496" s="2">
        <f t="shared" si="427"/>
        <v>0</v>
      </c>
      <c r="Q496" s="2">
        <f t="shared" si="427"/>
        <v>129057.55</v>
      </c>
      <c r="R496" s="2">
        <f t="shared" si="427"/>
        <v>67146.62</v>
      </c>
      <c r="S496" s="2">
        <f t="shared" si="427"/>
        <v>2245.56</v>
      </c>
      <c r="T496" s="2">
        <f t="shared" si="427"/>
        <v>0</v>
      </c>
      <c r="U496" s="2">
        <f t="shared" si="427"/>
        <v>9.1168999999999993</v>
      </c>
      <c r="V496" s="2">
        <f t="shared" si="427"/>
        <v>0</v>
      </c>
      <c r="W496" s="2">
        <f t="shared" si="427"/>
        <v>0</v>
      </c>
      <c r="X496" s="2">
        <f t="shared" si="427"/>
        <v>1571.89</v>
      </c>
      <c r="Y496" s="2">
        <f t="shared" si="427"/>
        <v>224.56</v>
      </c>
      <c r="Z496" s="2">
        <f t="shared" si="427"/>
        <v>0</v>
      </c>
      <c r="AA496" s="2">
        <f t="shared" si="427"/>
        <v>0</v>
      </c>
      <c r="AB496" s="2">
        <f t="shared" si="427"/>
        <v>131303.10999999999</v>
      </c>
      <c r="AC496" s="2">
        <f t="shared" si="427"/>
        <v>0</v>
      </c>
      <c r="AD496" s="2">
        <f t="shared" si="427"/>
        <v>129057.55</v>
      </c>
      <c r="AE496" s="2">
        <f t="shared" si="427"/>
        <v>67146.62</v>
      </c>
      <c r="AF496" s="2">
        <f t="shared" si="427"/>
        <v>2245.56</v>
      </c>
      <c r="AG496" s="2">
        <f t="shared" si="427"/>
        <v>0</v>
      </c>
      <c r="AH496" s="2">
        <f t="shared" si="427"/>
        <v>9.1168999999999993</v>
      </c>
      <c r="AI496" s="2">
        <f t="shared" si="427"/>
        <v>0</v>
      </c>
      <c r="AJ496" s="2">
        <f t="shared" si="427"/>
        <v>0</v>
      </c>
      <c r="AK496" s="2">
        <f t="shared" si="427"/>
        <v>1571.89</v>
      </c>
      <c r="AL496" s="2">
        <f t="shared" si="427"/>
        <v>224.56</v>
      </c>
      <c r="AM496" s="2">
        <f t="shared" si="427"/>
        <v>0</v>
      </c>
      <c r="AN496" s="2">
        <f t="shared" si="427"/>
        <v>0</v>
      </c>
      <c r="AO496" s="2">
        <f t="shared" si="427"/>
        <v>0</v>
      </c>
      <c r="AP496" s="2">
        <f t="shared" si="427"/>
        <v>0</v>
      </c>
      <c r="AQ496" s="2">
        <f t="shared" si="427"/>
        <v>0</v>
      </c>
      <c r="AR496" s="2">
        <f t="shared" si="427"/>
        <v>140099.22</v>
      </c>
      <c r="AS496" s="2">
        <f t="shared" si="427"/>
        <v>0</v>
      </c>
      <c r="AT496" s="2">
        <f t="shared" si="427"/>
        <v>0</v>
      </c>
      <c r="AU496" s="2">
        <f t="shared" ref="AU496:BZ496" si="428">AU505</f>
        <v>140099.22</v>
      </c>
      <c r="AV496" s="2">
        <f t="shared" si="428"/>
        <v>0</v>
      </c>
      <c r="AW496" s="2">
        <f t="shared" si="428"/>
        <v>0</v>
      </c>
      <c r="AX496" s="2">
        <f t="shared" si="428"/>
        <v>0</v>
      </c>
      <c r="AY496" s="2">
        <f t="shared" si="428"/>
        <v>0</v>
      </c>
      <c r="AZ496" s="2">
        <f t="shared" si="428"/>
        <v>0</v>
      </c>
      <c r="BA496" s="2">
        <f t="shared" si="428"/>
        <v>0</v>
      </c>
      <c r="BB496" s="2">
        <f t="shared" si="428"/>
        <v>0</v>
      </c>
      <c r="BC496" s="2">
        <f t="shared" si="428"/>
        <v>0</v>
      </c>
      <c r="BD496" s="2">
        <f t="shared" si="428"/>
        <v>0</v>
      </c>
      <c r="BE496" s="2">
        <f t="shared" si="428"/>
        <v>0</v>
      </c>
      <c r="BF496" s="2">
        <f t="shared" si="428"/>
        <v>0</v>
      </c>
      <c r="BG496" s="2">
        <f t="shared" si="428"/>
        <v>0</v>
      </c>
      <c r="BH496" s="2">
        <f t="shared" si="428"/>
        <v>0</v>
      </c>
      <c r="BI496" s="2">
        <f t="shared" si="428"/>
        <v>0</v>
      </c>
      <c r="BJ496" s="2">
        <f t="shared" si="428"/>
        <v>0</v>
      </c>
      <c r="BK496" s="2">
        <f t="shared" si="428"/>
        <v>0</v>
      </c>
      <c r="BL496" s="2">
        <f t="shared" si="428"/>
        <v>0</v>
      </c>
      <c r="BM496" s="2">
        <f t="shared" si="428"/>
        <v>0</v>
      </c>
      <c r="BN496" s="2">
        <f t="shared" si="428"/>
        <v>0</v>
      </c>
      <c r="BO496" s="2">
        <f t="shared" si="428"/>
        <v>0</v>
      </c>
      <c r="BP496" s="2">
        <f t="shared" si="428"/>
        <v>0</v>
      </c>
      <c r="BQ496" s="2">
        <f t="shared" si="428"/>
        <v>0</v>
      </c>
      <c r="BR496" s="2">
        <f t="shared" si="428"/>
        <v>0</v>
      </c>
      <c r="BS496" s="2">
        <f t="shared" si="428"/>
        <v>0</v>
      </c>
      <c r="BT496" s="2">
        <f t="shared" si="428"/>
        <v>0</v>
      </c>
      <c r="BU496" s="2">
        <f t="shared" si="428"/>
        <v>0</v>
      </c>
      <c r="BV496" s="2">
        <f t="shared" si="428"/>
        <v>0</v>
      </c>
      <c r="BW496" s="2">
        <f t="shared" si="428"/>
        <v>0</v>
      </c>
      <c r="BX496" s="2">
        <f t="shared" si="428"/>
        <v>0</v>
      </c>
      <c r="BY496" s="2">
        <f t="shared" si="428"/>
        <v>0</v>
      </c>
      <c r="BZ496" s="2">
        <f t="shared" si="428"/>
        <v>0</v>
      </c>
      <c r="CA496" s="2">
        <f t="shared" ref="CA496:DF496" si="429">CA505</f>
        <v>140099.22</v>
      </c>
      <c r="CB496" s="2">
        <f t="shared" si="429"/>
        <v>0</v>
      </c>
      <c r="CC496" s="2">
        <f t="shared" si="429"/>
        <v>0</v>
      </c>
      <c r="CD496" s="2">
        <f t="shared" si="429"/>
        <v>140099.22</v>
      </c>
      <c r="CE496" s="2">
        <f t="shared" si="429"/>
        <v>0</v>
      </c>
      <c r="CF496" s="2">
        <f t="shared" si="429"/>
        <v>0</v>
      </c>
      <c r="CG496" s="2">
        <f t="shared" si="429"/>
        <v>0</v>
      </c>
      <c r="CH496" s="2">
        <f t="shared" si="429"/>
        <v>0</v>
      </c>
      <c r="CI496" s="2">
        <f t="shared" si="429"/>
        <v>0</v>
      </c>
      <c r="CJ496" s="2">
        <f t="shared" si="429"/>
        <v>0</v>
      </c>
      <c r="CK496" s="2">
        <f t="shared" si="429"/>
        <v>0</v>
      </c>
      <c r="CL496" s="2">
        <f t="shared" si="429"/>
        <v>0</v>
      </c>
      <c r="CM496" s="2">
        <f t="shared" si="429"/>
        <v>0</v>
      </c>
      <c r="CN496" s="2">
        <f t="shared" si="429"/>
        <v>0</v>
      </c>
      <c r="CO496" s="2">
        <f t="shared" si="429"/>
        <v>0</v>
      </c>
      <c r="CP496" s="2">
        <f t="shared" si="429"/>
        <v>0</v>
      </c>
      <c r="CQ496" s="2">
        <f t="shared" si="429"/>
        <v>0</v>
      </c>
      <c r="CR496" s="2">
        <f t="shared" si="429"/>
        <v>0</v>
      </c>
      <c r="CS496" s="2">
        <f t="shared" si="429"/>
        <v>0</v>
      </c>
      <c r="CT496" s="2">
        <f t="shared" si="429"/>
        <v>0</v>
      </c>
      <c r="CU496" s="2">
        <f t="shared" si="429"/>
        <v>0</v>
      </c>
      <c r="CV496" s="2">
        <f t="shared" si="429"/>
        <v>0</v>
      </c>
      <c r="CW496" s="2">
        <f t="shared" si="429"/>
        <v>0</v>
      </c>
      <c r="CX496" s="2">
        <f t="shared" si="429"/>
        <v>0</v>
      </c>
      <c r="CY496" s="2">
        <f t="shared" si="429"/>
        <v>0</v>
      </c>
      <c r="CZ496" s="2">
        <f t="shared" si="429"/>
        <v>0</v>
      </c>
      <c r="DA496" s="2">
        <f t="shared" si="429"/>
        <v>0</v>
      </c>
      <c r="DB496" s="2">
        <f t="shared" si="429"/>
        <v>0</v>
      </c>
      <c r="DC496" s="2">
        <f t="shared" si="429"/>
        <v>0</v>
      </c>
      <c r="DD496" s="2">
        <f t="shared" si="429"/>
        <v>0</v>
      </c>
      <c r="DE496" s="2">
        <f t="shared" si="429"/>
        <v>0</v>
      </c>
      <c r="DF496" s="2">
        <f t="shared" si="429"/>
        <v>0</v>
      </c>
      <c r="DG496" s="3">
        <f t="shared" ref="DG496:EL496" si="430">DG505</f>
        <v>0</v>
      </c>
      <c r="DH496" s="3">
        <f t="shared" si="430"/>
        <v>0</v>
      </c>
      <c r="DI496" s="3">
        <f t="shared" si="430"/>
        <v>0</v>
      </c>
      <c r="DJ496" s="3">
        <f t="shared" si="430"/>
        <v>0</v>
      </c>
      <c r="DK496" s="3">
        <f t="shared" si="430"/>
        <v>0</v>
      </c>
      <c r="DL496" s="3">
        <f t="shared" si="430"/>
        <v>0</v>
      </c>
      <c r="DM496" s="3">
        <f t="shared" si="430"/>
        <v>0</v>
      </c>
      <c r="DN496" s="3">
        <f t="shared" si="430"/>
        <v>0</v>
      </c>
      <c r="DO496" s="3">
        <f t="shared" si="430"/>
        <v>0</v>
      </c>
      <c r="DP496" s="3">
        <f t="shared" si="430"/>
        <v>0</v>
      </c>
      <c r="DQ496" s="3">
        <f t="shared" si="430"/>
        <v>0</v>
      </c>
      <c r="DR496" s="3">
        <f t="shared" si="430"/>
        <v>0</v>
      </c>
      <c r="DS496" s="3">
        <f t="shared" si="430"/>
        <v>0</v>
      </c>
      <c r="DT496" s="3">
        <f t="shared" si="430"/>
        <v>0</v>
      </c>
      <c r="DU496" s="3">
        <f t="shared" si="430"/>
        <v>0</v>
      </c>
      <c r="DV496" s="3">
        <f t="shared" si="430"/>
        <v>0</v>
      </c>
      <c r="DW496" s="3">
        <f t="shared" si="430"/>
        <v>0</v>
      </c>
      <c r="DX496" s="3">
        <f t="shared" si="430"/>
        <v>0</v>
      </c>
      <c r="DY496" s="3">
        <f t="shared" si="430"/>
        <v>0</v>
      </c>
      <c r="DZ496" s="3">
        <f t="shared" si="430"/>
        <v>0</v>
      </c>
      <c r="EA496" s="3">
        <f t="shared" si="430"/>
        <v>0</v>
      </c>
      <c r="EB496" s="3">
        <f t="shared" si="430"/>
        <v>0</v>
      </c>
      <c r="EC496" s="3">
        <f t="shared" si="430"/>
        <v>0</v>
      </c>
      <c r="ED496" s="3">
        <f t="shared" si="430"/>
        <v>0</v>
      </c>
      <c r="EE496" s="3">
        <f t="shared" si="430"/>
        <v>0</v>
      </c>
      <c r="EF496" s="3">
        <f t="shared" si="430"/>
        <v>0</v>
      </c>
      <c r="EG496" s="3">
        <f t="shared" si="430"/>
        <v>0</v>
      </c>
      <c r="EH496" s="3">
        <f t="shared" si="430"/>
        <v>0</v>
      </c>
      <c r="EI496" s="3">
        <f t="shared" si="430"/>
        <v>0</v>
      </c>
      <c r="EJ496" s="3">
        <f t="shared" si="430"/>
        <v>0</v>
      </c>
      <c r="EK496" s="3">
        <f t="shared" si="430"/>
        <v>0</v>
      </c>
      <c r="EL496" s="3">
        <f t="shared" si="430"/>
        <v>0</v>
      </c>
      <c r="EM496" s="3">
        <f t="shared" ref="EM496:FR496" si="431">EM505</f>
        <v>0</v>
      </c>
      <c r="EN496" s="3">
        <f t="shared" si="431"/>
        <v>0</v>
      </c>
      <c r="EO496" s="3">
        <f t="shared" si="431"/>
        <v>0</v>
      </c>
      <c r="EP496" s="3">
        <f t="shared" si="431"/>
        <v>0</v>
      </c>
      <c r="EQ496" s="3">
        <f t="shared" si="431"/>
        <v>0</v>
      </c>
      <c r="ER496" s="3">
        <f t="shared" si="431"/>
        <v>0</v>
      </c>
      <c r="ES496" s="3">
        <f t="shared" si="431"/>
        <v>0</v>
      </c>
      <c r="ET496" s="3">
        <f t="shared" si="431"/>
        <v>0</v>
      </c>
      <c r="EU496" s="3">
        <f t="shared" si="431"/>
        <v>0</v>
      </c>
      <c r="EV496" s="3">
        <f t="shared" si="431"/>
        <v>0</v>
      </c>
      <c r="EW496" s="3">
        <f t="shared" si="431"/>
        <v>0</v>
      </c>
      <c r="EX496" s="3">
        <f t="shared" si="431"/>
        <v>0</v>
      </c>
      <c r="EY496" s="3">
        <f t="shared" si="431"/>
        <v>0</v>
      </c>
      <c r="EZ496" s="3">
        <f t="shared" si="431"/>
        <v>0</v>
      </c>
      <c r="FA496" s="3">
        <f t="shared" si="431"/>
        <v>0</v>
      </c>
      <c r="FB496" s="3">
        <f t="shared" si="431"/>
        <v>0</v>
      </c>
      <c r="FC496" s="3">
        <f t="shared" si="431"/>
        <v>0</v>
      </c>
      <c r="FD496" s="3">
        <f t="shared" si="431"/>
        <v>0</v>
      </c>
      <c r="FE496" s="3">
        <f t="shared" si="431"/>
        <v>0</v>
      </c>
      <c r="FF496" s="3">
        <f t="shared" si="431"/>
        <v>0</v>
      </c>
      <c r="FG496" s="3">
        <f t="shared" si="431"/>
        <v>0</v>
      </c>
      <c r="FH496" s="3">
        <f t="shared" si="431"/>
        <v>0</v>
      </c>
      <c r="FI496" s="3">
        <f t="shared" si="431"/>
        <v>0</v>
      </c>
      <c r="FJ496" s="3">
        <f t="shared" si="431"/>
        <v>0</v>
      </c>
      <c r="FK496" s="3">
        <f t="shared" si="431"/>
        <v>0</v>
      </c>
      <c r="FL496" s="3">
        <f t="shared" si="431"/>
        <v>0</v>
      </c>
      <c r="FM496" s="3">
        <f t="shared" si="431"/>
        <v>0</v>
      </c>
      <c r="FN496" s="3">
        <f t="shared" si="431"/>
        <v>0</v>
      </c>
      <c r="FO496" s="3">
        <f t="shared" si="431"/>
        <v>0</v>
      </c>
      <c r="FP496" s="3">
        <f t="shared" si="431"/>
        <v>0</v>
      </c>
      <c r="FQ496" s="3">
        <f t="shared" si="431"/>
        <v>0</v>
      </c>
      <c r="FR496" s="3">
        <f t="shared" si="431"/>
        <v>0</v>
      </c>
      <c r="FS496" s="3">
        <f t="shared" ref="FS496:GX496" si="432">FS505</f>
        <v>0</v>
      </c>
      <c r="FT496" s="3">
        <f t="shared" si="432"/>
        <v>0</v>
      </c>
      <c r="FU496" s="3">
        <f t="shared" si="432"/>
        <v>0</v>
      </c>
      <c r="FV496" s="3">
        <f t="shared" si="432"/>
        <v>0</v>
      </c>
      <c r="FW496" s="3">
        <f t="shared" si="432"/>
        <v>0</v>
      </c>
      <c r="FX496" s="3">
        <f t="shared" si="432"/>
        <v>0</v>
      </c>
      <c r="FY496" s="3">
        <f t="shared" si="432"/>
        <v>0</v>
      </c>
      <c r="FZ496" s="3">
        <f t="shared" si="432"/>
        <v>0</v>
      </c>
      <c r="GA496" s="3">
        <f t="shared" si="432"/>
        <v>0</v>
      </c>
      <c r="GB496" s="3">
        <f t="shared" si="432"/>
        <v>0</v>
      </c>
      <c r="GC496" s="3">
        <f t="shared" si="432"/>
        <v>0</v>
      </c>
      <c r="GD496" s="3">
        <f t="shared" si="432"/>
        <v>0</v>
      </c>
      <c r="GE496" s="3">
        <f t="shared" si="432"/>
        <v>0</v>
      </c>
      <c r="GF496" s="3">
        <f t="shared" si="432"/>
        <v>0</v>
      </c>
      <c r="GG496" s="3">
        <f t="shared" si="432"/>
        <v>0</v>
      </c>
      <c r="GH496" s="3">
        <f t="shared" si="432"/>
        <v>0</v>
      </c>
      <c r="GI496" s="3">
        <f t="shared" si="432"/>
        <v>0</v>
      </c>
      <c r="GJ496" s="3">
        <f t="shared" si="432"/>
        <v>0</v>
      </c>
      <c r="GK496" s="3">
        <f t="shared" si="432"/>
        <v>0</v>
      </c>
      <c r="GL496" s="3">
        <f t="shared" si="432"/>
        <v>0</v>
      </c>
      <c r="GM496" s="3">
        <f t="shared" si="432"/>
        <v>0</v>
      </c>
      <c r="GN496" s="3">
        <f t="shared" si="432"/>
        <v>0</v>
      </c>
      <c r="GO496" s="3">
        <f t="shared" si="432"/>
        <v>0</v>
      </c>
      <c r="GP496" s="3">
        <f t="shared" si="432"/>
        <v>0</v>
      </c>
      <c r="GQ496" s="3">
        <f t="shared" si="432"/>
        <v>0</v>
      </c>
      <c r="GR496" s="3">
        <f t="shared" si="432"/>
        <v>0</v>
      </c>
      <c r="GS496" s="3">
        <f t="shared" si="432"/>
        <v>0</v>
      </c>
      <c r="GT496" s="3">
        <f t="shared" si="432"/>
        <v>0</v>
      </c>
      <c r="GU496" s="3">
        <f t="shared" si="432"/>
        <v>0</v>
      </c>
      <c r="GV496" s="3">
        <f t="shared" si="432"/>
        <v>0</v>
      </c>
      <c r="GW496" s="3">
        <f t="shared" si="432"/>
        <v>0</v>
      </c>
      <c r="GX496" s="3">
        <f t="shared" si="432"/>
        <v>0</v>
      </c>
    </row>
    <row r="498" spans="1:245" x14ac:dyDescent="0.2">
      <c r="A498">
        <v>17</v>
      </c>
      <c r="B498">
        <v>1</v>
      </c>
      <c r="C498">
        <f>ROW(SmtRes!A375)</f>
        <v>375</v>
      </c>
      <c r="D498">
        <f>ROW(EtalonRes!A356)</f>
        <v>356</v>
      </c>
      <c r="E498" t="s">
        <v>349</v>
      </c>
      <c r="F498" t="s">
        <v>350</v>
      </c>
      <c r="G498" t="s">
        <v>351</v>
      </c>
      <c r="H498" t="s">
        <v>352</v>
      </c>
      <c r="I498">
        <f>ROUND(140.26/10,9)</f>
        <v>14.026</v>
      </c>
      <c r="J498">
        <v>0</v>
      </c>
      <c r="O498">
        <f t="shared" ref="O498:O503" si="433">ROUND(CP498,2)</f>
        <v>19429.79</v>
      </c>
      <c r="P498">
        <f t="shared" ref="P498:P503" si="434">ROUND(CQ498*I498,2)</f>
        <v>0</v>
      </c>
      <c r="Q498">
        <f t="shared" ref="Q498:Q503" si="435">ROUND(CR498*I498,2)</f>
        <v>17184.23</v>
      </c>
      <c r="R498">
        <f t="shared" ref="R498:R503" si="436">ROUND(CS498*I498,2)</f>
        <v>6435.41</v>
      </c>
      <c r="S498">
        <f t="shared" ref="S498:S503" si="437">ROUND(CT498*I498,2)</f>
        <v>2245.56</v>
      </c>
      <c r="T498">
        <f t="shared" ref="T498:T503" si="438">ROUND(CU498*I498,2)</f>
        <v>0</v>
      </c>
      <c r="U498">
        <f t="shared" ref="U498:U503" si="439">CV498*I498</f>
        <v>9.1168999999999993</v>
      </c>
      <c r="V498">
        <f t="shared" ref="V498:V503" si="440">CW498*I498</f>
        <v>0</v>
      </c>
      <c r="W498">
        <f t="shared" ref="W498:W503" si="441">ROUND(CX498*I498,2)</f>
        <v>0</v>
      </c>
      <c r="X498">
        <f t="shared" ref="X498:Y503" si="442">ROUND(CY498,2)</f>
        <v>1571.89</v>
      </c>
      <c r="Y498">
        <f t="shared" si="442"/>
        <v>224.56</v>
      </c>
      <c r="AA498">
        <v>52430918</v>
      </c>
      <c r="AB498">
        <f t="shared" ref="AB498:AB503" si="443">ROUND((AC498+AD498+AF498),6)</f>
        <v>1385.27</v>
      </c>
      <c r="AC498">
        <f>ROUND((ES498),6)</f>
        <v>0</v>
      </c>
      <c r="AD498">
        <f>ROUND((((ET498)-(EU498))+AE498),6)</f>
        <v>1225.17</v>
      </c>
      <c r="AE498">
        <f>ROUND((EU498),6)</f>
        <v>458.82</v>
      </c>
      <c r="AF498">
        <f>ROUND((EV498),6)</f>
        <v>160.1</v>
      </c>
      <c r="AG498">
        <f t="shared" ref="AG498:AG503" si="444">ROUND((AP498),6)</f>
        <v>0</v>
      </c>
      <c r="AH498">
        <f>(EW498)</f>
        <v>0.65</v>
      </c>
      <c r="AI498">
        <f>(EX498)</f>
        <v>0</v>
      </c>
      <c r="AJ498">
        <f t="shared" ref="AJ498:AJ503" si="445">(AS498)</f>
        <v>0</v>
      </c>
      <c r="AK498">
        <v>1385.27</v>
      </c>
      <c r="AL498">
        <v>0</v>
      </c>
      <c r="AM498">
        <v>1225.17</v>
      </c>
      <c r="AN498">
        <v>458.82</v>
      </c>
      <c r="AO498">
        <v>160.1</v>
      </c>
      <c r="AP498">
        <v>0</v>
      </c>
      <c r="AQ498">
        <v>0.65</v>
      </c>
      <c r="AR498">
        <v>0</v>
      </c>
      <c r="AS498">
        <v>0</v>
      </c>
      <c r="AT498">
        <v>70</v>
      </c>
      <c r="AU498">
        <v>10</v>
      </c>
      <c r="AV498">
        <v>1</v>
      </c>
      <c r="AW498">
        <v>1</v>
      </c>
      <c r="AZ498">
        <v>1</v>
      </c>
      <c r="BA498">
        <v>1</v>
      </c>
      <c r="BB498">
        <v>1</v>
      </c>
      <c r="BC498">
        <v>1</v>
      </c>
      <c r="BD498" t="s">
        <v>3</v>
      </c>
      <c r="BE498" t="s">
        <v>3</v>
      </c>
      <c r="BF498" t="s">
        <v>3</v>
      </c>
      <c r="BG498" t="s">
        <v>3</v>
      </c>
      <c r="BH498">
        <v>0</v>
      </c>
      <c r="BI498">
        <v>4</v>
      </c>
      <c r="BJ498" t="s">
        <v>353</v>
      </c>
      <c r="BM498">
        <v>0</v>
      </c>
      <c r="BN498">
        <v>0</v>
      </c>
      <c r="BO498" t="s">
        <v>3</v>
      </c>
      <c r="BP498">
        <v>0</v>
      </c>
      <c r="BQ498">
        <v>1</v>
      </c>
      <c r="BR498">
        <v>0</v>
      </c>
      <c r="BS498">
        <v>1</v>
      </c>
      <c r="BT498">
        <v>1</v>
      </c>
      <c r="BU498">
        <v>1</v>
      </c>
      <c r="BV498">
        <v>1</v>
      </c>
      <c r="BW498">
        <v>1</v>
      </c>
      <c r="BX498">
        <v>1</v>
      </c>
      <c r="BY498" t="s">
        <v>3</v>
      </c>
      <c r="BZ498">
        <v>70</v>
      </c>
      <c r="CA498">
        <v>10</v>
      </c>
      <c r="CE498">
        <v>0</v>
      </c>
      <c r="CF498">
        <v>0</v>
      </c>
      <c r="CG498">
        <v>0</v>
      </c>
      <c r="CM498">
        <v>0</v>
      </c>
      <c r="CN498" t="s">
        <v>3</v>
      </c>
      <c r="CO498">
        <v>0</v>
      </c>
      <c r="CP498">
        <f t="shared" ref="CP498:CP503" si="446">(P498+Q498+S498)</f>
        <v>19429.79</v>
      </c>
      <c r="CQ498">
        <f t="shared" ref="CQ498:CQ503" si="447">(AC498*BC498*AW498)</f>
        <v>0</v>
      </c>
      <c r="CR498">
        <f>((((ET498)*BB498-(EU498)*BS498)+AE498*BS498)*AV498)</f>
        <v>1225.17</v>
      </c>
      <c r="CS498">
        <f t="shared" ref="CS498:CS503" si="448">(AE498*BS498*AV498)</f>
        <v>458.82</v>
      </c>
      <c r="CT498">
        <f t="shared" ref="CT498:CT503" si="449">(AF498*BA498*AV498)</f>
        <v>160.1</v>
      </c>
      <c r="CU498">
        <f t="shared" ref="CU498:CU503" si="450">AG498</f>
        <v>0</v>
      </c>
      <c r="CV498">
        <f t="shared" ref="CV498:CV503" si="451">(AH498*AV498)</f>
        <v>0.65</v>
      </c>
      <c r="CW498">
        <f t="shared" ref="CW498:CX503" si="452">AI498</f>
        <v>0</v>
      </c>
      <c r="CX498">
        <f t="shared" si="452"/>
        <v>0</v>
      </c>
      <c r="CY498">
        <f t="shared" ref="CY498:CY503" si="453">((S498*BZ498)/100)</f>
        <v>1571.8919999999998</v>
      </c>
      <c r="CZ498">
        <f t="shared" ref="CZ498:CZ503" si="454">((S498*CA498)/100)</f>
        <v>224.55599999999998</v>
      </c>
      <c r="DC498" t="s">
        <v>3</v>
      </c>
      <c r="DD498" t="s">
        <v>3</v>
      </c>
      <c r="DE498" t="s">
        <v>3</v>
      </c>
      <c r="DF498" t="s">
        <v>3</v>
      </c>
      <c r="DG498" t="s">
        <v>3</v>
      </c>
      <c r="DH498" t="s">
        <v>3</v>
      </c>
      <c r="DI498" t="s">
        <v>3</v>
      </c>
      <c r="DJ498" t="s">
        <v>3</v>
      </c>
      <c r="DK498" t="s">
        <v>3</v>
      </c>
      <c r="DL498" t="s">
        <v>3</v>
      </c>
      <c r="DM498" t="s">
        <v>3</v>
      </c>
      <c r="DN498">
        <v>0</v>
      </c>
      <c r="DO498">
        <v>0</v>
      </c>
      <c r="DP498">
        <v>1</v>
      </c>
      <c r="DQ498">
        <v>1</v>
      </c>
      <c r="DU498">
        <v>1007</v>
      </c>
      <c r="DV498" t="s">
        <v>352</v>
      </c>
      <c r="DW498" t="s">
        <v>352</v>
      </c>
      <c r="DX498">
        <v>10</v>
      </c>
      <c r="EE498">
        <v>52362078</v>
      </c>
      <c r="EF498">
        <v>1</v>
      </c>
      <c r="EG498" t="s">
        <v>22</v>
      </c>
      <c r="EH498">
        <v>0</v>
      </c>
      <c r="EI498" t="s">
        <v>3</v>
      </c>
      <c r="EJ498">
        <v>4</v>
      </c>
      <c r="EK498">
        <v>0</v>
      </c>
      <c r="EL498" t="s">
        <v>23</v>
      </c>
      <c r="EM498" t="s">
        <v>24</v>
      </c>
      <c r="EO498" t="s">
        <v>3</v>
      </c>
      <c r="EQ498">
        <v>1179648</v>
      </c>
      <c r="ER498">
        <v>1385.27</v>
      </c>
      <c r="ES498">
        <v>0</v>
      </c>
      <c r="ET498">
        <v>1225.17</v>
      </c>
      <c r="EU498">
        <v>458.82</v>
      </c>
      <c r="EV498">
        <v>160.1</v>
      </c>
      <c r="EW498">
        <v>0.65</v>
      </c>
      <c r="EX498">
        <v>0</v>
      </c>
      <c r="EY498">
        <v>0</v>
      </c>
      <c r="FQ498">
        <v>0</v>
      </c>
      <c r="FR498">
        <f t="shared" ref="FR498:FR503" si="455">ROUND(IF(AND(BH498=3,BI498=3),P498,0),2)</f>
        <v>0</v>
      </c>
      <c r="FS498">
        <v>0</v>
      </c>
      <c r="FX498">
        <v>70</v>
      </c>
      <c r="FY498">
        <v>10</v>
      </c>
      <c r="GA498" t="s">
        <v>3</v>
      </c>
      <c r="GD498">
        <v>0</v>
      </c>
      <c r="GF498">
        <v>1351009232</v>
      </c>
      <c r="GG498">
        <v>2</v>
      </c>
      <c r="GH498">
        <v>1</v>
      </c>
      <c r="GI498">
        <v>-2</v>
      </c>
      <c r="GJ498">
        <v>0</v>
      </c>
      <c r="GK498">
        <f>ROUND(R498*(R12)/100,2)</f>
        <v>6950.24</v>
      </c>
      <c r="GL498">
        <f t="shared" ref="GL498:GL503" si="456">ROUND(IF(AND(BH498=3,BI498=3,FS498&lt;&gt;0),P498,0),2)</f>
        <v>0</v>
      </c>
      <c r="GM498">
        <f>ROUND(O498+X498+Y498+GK498,2)+GX498</f>
        <v>28176.48</v>
      </c>
      <c r="GN498">
        <f>IF(OR(BI498=0,BI498=1),ROUND(O498+X498+Y498+GK498,2),0)</f>
        <v>0</v>
      </c>
      <c r="GO498">
        <f>IF(BI498=2,ROUND(O498+X498+Y498+GK498,2),0)</f>
        <v>0</v>
      </c>
      <c r="GP498">
        <f>IF(BI498=4,ROUND(O498+X498+Y498+GK498,2)+GX498,0)</f>
        <v>28176.48</v>
      </c>
      <c r="GR498">
        <v>0</v>
      </c>
      <c r="GS498">
        <v>3</v>
      </c>
      <c r="GT498">
        <v>0</v>
      </c>
      <c r="GU498" t="s">
        <v>3</v>
      </c>
      <c r="GV498">
        <f t="shared" ref="GV498:GV503" si="457">ROUND((GT498),6)</f>
        <v>0</v>
      </c>
      <c r="GW498">
        <v>1</v>
      </c>
      <c r="GX498">
        <f t="shared" ref="GX498:GX503" si="458">ROUND(HC498*I498,2)</f>
        <v>0</v>
      </c>
      <c r="HA498">
        <v>0</v>
      </c>
      <c r="HB498">
        <v>0</v>
      </c>
      <c r="HC498">
        <f t="shared" ref="HC498:HC503" si="459">GV498*GW498</f>
        <v>0</v>
      </c>
      <c r="HE498" t="s">
        <v>3</v>
      </c>
      <c r="HF498" t="s">
        <v>3</v>
      </c>
      <c r="IK498">
        <v>0</v>
      </c>
    </row>
    <row r="499" spans="1:245" x14ac:dyDescent="0.2">
      <c r="A499">
        <v>17</v>
      </c>
      <c r="B499">
        <v>1</v>
      </c>
      <c r="C499">
        <f>ROW(SmtRes!A376)</f>
        <v>376</v>
      </c>
      <c r="D499">
        <f>ROW(EtalonRes!A357)</f>
        <v>357</v>
      </c>
      <c r="E499" t="s">
        <v>354</v>
      </c>
      <c r="F499" t="s">
        <v>355</v>
      </c>
      <c r="G499" t="s">
        <v>356</v>
      </c>
      <c r="H499" t="s">
        <v>28</v>
      </c>
      <c r="I499">
        <v>140.26</v>
      </c>
      <c r="J499">
        <v>0</v>
      </c>
      <c r="O499">
        <f t="shared" si="433"/>
        <v>6630.09</v>
      </c>
      <c r="P499">
        <f t="shared" si="434"/>
        <v>0</v>
      </c>
      <c r="Q499">
        <f t="shared" si="435"/>
        <v>6630.09</v>
      </c>
      <c r="R499">
        <f t="shared" si="436"/>
        <v>3599.07</v>
      </c>
      <c r="S499">
        <f t="shared" si="437"/>
        <v>0</v>
      </c>
      <c r="T499">
        <f t="shared" si="438"/>
        <v>0</v>
      </c>
      <c r="U499">
        <f t="shared" si="439"/>
        <v>0</v>
      </c>
      <c r="V499">
        <f t="shared" si="440"/>
        <v>0</v>
      </c>
      <c r="W499">
        <f t="shared" si="441"/>
        <v>0</v>
      </c>
      <c r="X499">
        <f t="shared" si="442"/>
        <v>0</v>
      </c>
      <c r="Y499">
        <f t="shared" si="442"/>
        <v>0</v>
      </c>
      <c r="AA499">
        <v>52430918</v>
      </c>
      <c r="AB499">
        <f t="shared" si="443"/>
        <v>47.27</v>
      </c>
      <c r="AC499">
        <f>ROUND((ES499),6)</f>
        <v>0</v>
      </c>
      <c r="AD499">
        <f>ROUND((((ET499)-(EU499))+AE499),6)</f>
        <v>47.27</v>
      </c>
      <c r="AE499">
        <f>ROUND((EU499),6)</f>
        <v>25.66</v>
      </c>
      <c r="AF499">
        <f>ROUND((EV499),6)</f>
        <v>0</v>
      </c>
      <c r="AG499">
        <f t="shared" si="444"/>
        <v>0</v>
      </c>
      <c r="AH499">
        <f>(EW499)</f>
        <v>0</v>
      </c>
      <c r="AI499">
        <f>(EX499)</f>
        <v>0</v>
      </c>
      <c r="AJ499">
        <f t="shared" si="445"/>
        <v>0</v>
      </c>
      <c r="AK499">
        <v>47.27</v>
      </c>
      <c r="AL499">
        <v>0</v>
      </c>
      <c r="AM499">
        <v>47.27</v>
      </c>
      <c r="AN499">
        <v>25.66</v>
      </c>
      <c r="AO499">
        <v>0</v>
      </c>
      <c r="AP499">
        <v>0</v>
      </c>
      <c r="AQ499">
        <v>0</v>
      </c>
      <c r="AR499">
        <v>0</v>
      </c>
      <c r="AS499">
        <v>0</v>
      </c>
      <c r="AT499">
        <v>0</v>
      </c>
      <c r="AU499">
        <v>0</v>
      </c>
      <c r="AV499">
        <v>1</v>
      </c>
      <c r="AW499">
        <v>1</v>
      </c>
      <c r="AZ499">
        <v>1</v>
      </c>
      <c r="BA499">
        <v>1</v>
      </c>
      <c r="BB499">
        <v>1</v>
      </c>
      <c r="BC499">
        <v>1</v>
      </c>
      <c r="BD499" t="s">
        <v>3</v>
      </c>
      <c r="BE499" t="s">
        <v>3</v>
      </c>
      <c r="BF499" t="s">
        <v>3</v>
      </c>
      <c r="BG499" t="s">
        <v>3</v>
      </c>
      <c r="BH499">
        <v>0</v>
      </c>
      <c r="BI499">
        <v>4</v>
      </c>
      <c r="BJ499" t="s">
        <v>357</v>
      </c>
      <c r="BM499">
        <v>1</v>
      </c>
      <c r="BN499">
        <v>0</v>
      </c>
      <c r="BO499" t="s">
        <v>3</v>
      </c>
      <c r="BP499">
        <v>0</v>
      </c>
      <c r="BQ499">
        <v>1</v>
      </c>
      <c r="BR499">
        <v>0</v>
      </c>
      <c r="BS499">
        <v>1</v>
      </c>
      <c r="BT499">
        <v>1</v>
      </c>
      <c r="BU499">
        <v>1</v>
      </c>
      <c r="BV499">
        <v>1</v>
      </c>
      <c r="BW499">
        <v>1</v>
      </c>
      <c r="BX499">
        <v>1</v>
      </c>
      <c r="BY499" t="s">
        <v>3</v>
      </c>
      <c r="BZ499">
        <v>0</v>
      </c>
      <c r="CA499">
        <v>0</v>
      </c>
      <c r="CE499">
        <v>0</v>
      </c>
      <c r="CF499">
        <v>0</v>
      </c>
      <c r="CG499">
        <v>0</v>
      </c>
      <c r="CM499">
        <v>0</v>
      </c>
      <c r="CN499" t="s">
        <v>3</v>
      </c>
      <c r="CO499">
        <v>0</v>
      </c>
      <c r="CP499">
        <f t="shared" si="446"/>
        <v>6630.09</v>
      </c>
      <c r="CQ499">
        <f t="shared" si="447"/>
        <v>0</v>
      </c>
      <c r="CR499">
        <f>((((ET499)*BB499-(EU499)*BS499)+AE499*BS499)*AV499)</f>
        <v>47.27</v>
      </c>
      <c r="CS499">
        <f t="shared" si="448"/>
        <v>25.66</v>
      </c>
      <c r="CT499">
        <f t="shared" si="449"/>
        <v>0</v>
      </c>
      <c r="CU499">
        <f t="shared" si="450"/>
        <v>0</v>
      </c>
      <c r="CV499">
        <f t="shared" si="451"/>
        <v>0</v>
      </c>
      <c r="CW499">
        <f t="shared" si="452"/>
        <v>0</v>
      </c>
      <c r="CX499">
        <f t="shared" si="452"/>
        <v>0</v>
      </c>
      <c r="CY499">
        <f t="shared" si="453"/>
        <v>0</v>
      </c>
      <c r="CZ499">
        <f t="shared" si="454"/>
        <v>0</v>
      </c>
      <c r="DC499" t="s">
        <v>3</v>
      </c>
      <c r="DD499" t="s">
        <v>3</v>
      </c>
      <c r="DE499" t="s">
        <v>3</v>
      </c>
      <c r="DF499" t="s">
        <v>3</v>
      </c>
      <c r="DG499" t="s">
        <v>3</v>
      </c>
      <c r="DH499" t="s">
        <v>3</v>
      </c>
      <c r="DI499" t="s">
        <v>3</v>
      </c>
      <c r="DJ499" t="s">
        <v>3</v>
      </c>
      <c r="DK499" t="s">
        <v>3</v>
      </c>
      <c r="DL499" t="s">
        <v>3</v>
      </c>
      <c r="DM499" t="s">
        <v>3</v>
      </c>
      <c r="DN499">
        <v>0</v>
      </c>
      <c r="DO499">
        <v>0</v>
      </c>
      <c r="DP499">
        <v>1</v>
      </c>
      <c r="DQ499">
        <v>1</v>
      </c>
      <c r="DU499">
        <v>1007</v>
      </c>
      <c r="DV499" t="s">
        <v>28</v>
      </c>
      <c r="DW499" t="s">
        <v>28</v>
      </c>
      <c r="DX499">
        <v>1</v>
      </c>
      <c r="EE499">
        <v>52362080</v>
      </c>
      <c r="EF499">
        <v>1</v>
      </c>
      <c r="EG499" t="s">
        <v>22</v>
      </c>
      <c r="EH499">
        <v>0</v>
      </c>
      <c r="EI499" t="s">
        <v>3</v>
      </c>
      <c r="EJ499">
        <v>4</v>
      </c>
      <c r="EK499">
        <v>1</v>
      </c>
      <c r="EL499" t="s">
        <v>358</v>
      </c>
      <c r="EM499" t="s">
        <v>24</v>
      </c>
      <c r="EO499" t="s">
        <v>3</v>
      </c>
      <c r="EQ499">
        <v>1179648</v>
      </c>
      <c r="ER499">
        <v>47.27</v>
      </c>
      <c r="ES499">
        <v>0</v>
      </c>
      <c r="ET499">
        <v>47.27</v>
      </c>
      <c r="EU499">
        <v>25.66</v>
      </c>
      <c r="EV499">
        <v>0</v>
      </c>
      <c r="EW499">
        <v>0</v>
      </c>
      <c r="EX499">
        <v>0</v>
      </c>
      <c r="EY499">
        <v>0</v>
      </c>
      <c r="FQ499">
        <v>0</v>
      </c>
      <c r="FR499">
        <f t="shared" si="455"/>
        <v>0</v>
      </c>
      <c r="FS499">
        <v>0</v>
      </c>
      <c r="FX499">
        <v>0</v>
      </c>
      <c r="FY499">
        <v>0</v>
      </c>
      <c r="GA499" t="s">
        <v>3</v>
      </c>
      <c r="GD499">
        <v>1</v>
      </c>
      <c r="GF499">
        <v>-1023303705</v>
      </c>
      <c r="GG499">
        <v>2</v>
      </c>
      <c r="GH499">
        <v>1</v>
      </c>
      <c r="GI499">
        <v>-2</v>
      </c>
      <c r="GJ499">
        <v>0</v>
      </c>
      <c r="GK499">
        <v>0</v>
      </c>
      <c r="GL499">
        <f t="shared" si="456"/>
        <v>0</v>
      </c>
      <c r="GM499">
        <f>ROUND(O499+X499+Y499,2)+GX499</f>
        <v>6630.09</v>
      </c>
      <c r="GN499">
        <f>IF(OR(BI499=0,BI499=1),ROUND(O499+X499+Y499,2),0)</f>
        <v>0</v>
      </c>
      <c r="GO499">
        <f>IF(BI499=2,ROUND(O499+X499+Y499,2),0)</f>
        <v>0</v>
      </c>
      <c r="GP499">
        <f>IF(BI499=4,ROUND(O499+X499+Y499,2)+GX499,0)</f>
        <v>6630.09</v>
      </c>
      <c r="GR499">
        <v>0</v>
      </c>
      <c r="GS499">
        <v>3</v>
      </c>
      <c r="GT499">
        <v>0</v>
      </c>
      <c r="GU499" t="s">
        <v>3</v>
      </c>
      <c r="GV499">
        <f t="shared" si="457"/>
        <v>0</v>
      </c>
      <c r="GW499">
        <v>1</v>
      </c>
      <c r="GX499">
        <f t="shared" si="458"/>
        <v>0</v>
      </c>
      <c r="HA499">
        <v>0</v>
      </c>
      <c r="HB499">
        <v>0</v>
      </c>
      <c r="HC499">
        <f t="shared" si="459"/>
        <v>0</v>
      </c>
      <c r="HE499" t="s">
        <v>3</v>
      </c>
      <c r="HF499" t="s">
        <v>3</v>
      </c>
      <c r="IK499">
        <v>0</v>
      </c>
    </row>
    <row r="500" spans="1:245" x14ac:dyDescent="0.2">
      <c r="A500">
        <v>17</v>
      </c>
      <c r="B500">
        <v>1</v>
      </c>
      <c r="C500">
        <f>ROW(SmtRes!A377)</f>
        <v>377</v>
      </c>
      <c r="D500">
        <f>ROW(EtalonRes!A358)</f>
        <v>358</v>
      </c>
      <c r="E500" t="s">
        <v>359</v>
      </c>
      <c r="F500" t="s">
        <v>360</v>
      </c>
      <c r="G500" t="s">
        <v>361</v>
      </c>
      <c r="H500" t="s">
        <v>28</v>
      </c>
      <c r="I500">
        <v>140.26</v>
      </c>
      <c r="J500">
        <v>0</v>
      </c>
      <c r="O500">
        <f t="shared" si="433"/>
        <v>102670.32</v>
      </c>
      <c r="P500">
        <f t="shared" si="434"/>
        <v>0</v>
      </c>
      <c r="Q500">
        <f t="shared" si="435"/>
        <v>102670.32</v>
      </c>
      <c r="R500">
        <f t="shared" si="436"/>
        <v>55744.93</v>
      </c>
      <c r="S500">
        <f t="shared" si="437"/>
        <v>0</v>
      </c>
      <c r="T500">
        <f t="shared" si="438"/>
        <v>0</v>
      </c>
      <c r="U500">
        <f t="shared" si="439"/>
        <v>0</v>
      </c>
      <c r="V500">
        <f t="shared" si="440"/>
        <v>0</v>
      </c>
      <c r="W500">
        <f t="shared" si="441"/>
        <v>0</v>
      </c>
      <c r="X500">
        <f t="shared" si="442"/>
        <v>0</v>
      </c>
      <c r="Y500">
        <f t="shared" si="442"/>
        <v>0</v>
      </c>
      <c r="AA500">
        <v>52430918</v>
      </c>
      <c r="AB500">
        <f t="shared" si="443"/>
        <v>732</v>
      </c>
      <c r="AC500">
        <f>ROUND(((ES500*48)),6)</f>
        <v>0</v>
      </c>
      <c r="AD500">
        <f>ROUND(((((ET500*48))-((EU500*48)))+AE500),6)</f>
        <v>732</v>
      </c>
      <c r="AE500">
        <f>ROUND(((EU500*48)),6)</f>
        <v>397.44</v>
      </c>
      <c r="AF500">
        <f>ROUND(((EV500*48)),6)</f>
        <v>0</v>
      </c>
      <c r="AG500">
        <f t="shared" si="444"/>
        <v>0</v>
      </c>
      <c r="AH500">
        <f>((EW500*48))</f>
        <v>0</v>
      </c>
      <c r="AI500">
        <f>((EX500*48))</f>
        <v>0</v>
      </c>
      <c r="AJ500">
        <f t="shared" si="445"/>
        <v>0</v>
      </c>
      <c r="AK500">
        <v>15.25</v>
      </c>
      <c r="AL500">
        <v>0</v>
      </c>
      <c r="AM500">
        <v>15.25</v>
      </c>
      <c r="AN500">
        <v>8.2799999999999994</v>
      </c>
      <c r="AO500">
        <v>0</v>
      </c>
      <c r="AP500">
        <v>0</v>
      </c>
      <c r="AQ500">
        <v>0</v>
      </c>
      <c r="AR500">
        <v>0</v>
      </c>
      <c r="AS500">
        <v>0</v>
      </c>
      <c r="AT500">
        <v>0</v>
      </c>
      <c r="AU500">
        <v>0</v>
      </c>
      <c r="AV500">
        <v>1</v>
      </c>
      <c r="AW500">
        <v>1</v>
      </c>
      <c r="AZ500">
        <v>1</v>
      </c>
      <c r="BA500">
        <v>1</v>
      </c>
      <c r="BB500">
        <v>1</v>
      </c>
      <c r="BC500">
        <v>1</v>
      </c>
      <c r="BD500" t="s">
        <v>3</v>
      </c>
      <c r="BE500" t="s">
        <v>3</v>
      </c>
      <c r="BF500" t="s">
        <v>3</v>
      </c>
      <c r="BG500" t="s">
        <v>3</v>
      </c>
      <c r="BH500">
        <v>0</v>
      </c>
      <c r="BI500">
        <v>4</v>
      </c>
      <c r="BJ500" t="s">
        <v>362</v>
      </c>
      <c r="BM500">
        <v>1</v>
      </c>
      <c r="BN500">
        <v>0</v>
      </c>
      <c r="BO500" t="s">
        <v>3</v>
      </c>
      <c r="BP500">
        <v>0</v>
      </c>
      <c r="BQ500">
        <v>1</v>
      </c>
      <c r="BR500">
        <v>0</v>
      </c>
      <c r="BS500">
        <v>1</v>
      </c>
      <c r="BT500">
        <v>1</v>
      </c>
      <c r="BU500">
        <v>1</v>
      </c>
      <c r="BV500">
        <v>1</v>
      </c>
      <c r="BW500">
        <v>1</v>
      </c>
      <c r="BX500">
        <v>1</v>
      </c>
      <c r="BY500" t="s">
        <v>3</v>
      </c>
      <c r="BZ500">
        <v>0</v>
      </c>
      <c r="CA500">
        <v>0</v>
      </c>
      <c r="CE500">
        <v>0</v>
      </c>
      <c r="CF500">
        <v>0</v>
      </c>
      <c r="CG500">
        <v>0</v>
      </c>
      <c r="CM500">
        <v>0</v>
      </c>
      <c r="CN500" t="s">
        <v>3</v>
      </c>
      <c r="CO500">
        <v>0</v>
      </c>
      <c r="CP500">
        <f t="shared" si="446"/>
        <v>102670.32</v>
      </c>
      <c r="CQ500">
        <f t="shared" si="447"/>
        <v>0</v>
      </c>
      <c r="CR500">
        <f>(((((ET500*48))*BB500-((EU500*48))*BS500)+AE500*BS500)*AV500)</f>
        <v>732</v>
      </c>
      <c r="CS500">
        <f t="shared" si="448"/>
        <v>397.44</v>
      </c>
      <c r="CT500">
        <f t="shared" si="449"/>
        <v>0</v>
      </c>
      <c r="CU500">
        <f t="shared" si="450"/>
        <v>0</v>
      </c>
      <c r="CV500">
        <f t="shared" si="451"/>
        <v>0</v>
      </c>
      <c r="CW500">
        <f t="shared" si="452"/>
        <v>0</v>
      </c>
      <c r="CX500">
        <f t="shared" si="452"/>
        <v>0</v>
      </c>
      <c r="CY500">
        <f t="shared" si="453"/>
        <v>0</v>
      </c>
      <c r="CZ500">
        <f t="shared" si="454"/>
        <v>0</v>
      </c>
      <c r="DC500" t="s">
        <v>3</v>
      </c>
      <c r="DD500" t="s">
        <v>363</v>
      </c>
      <c r="DE500" t="s">
        <v>363</v>
      </c>
      <c r="DF500" t="s">
        <v>363</v>
      </c>
      <c r="DG500" t="s">
        <v>363</v>
      </c>
      <c r="DH500" t="s">
        <v>3</v>
      </c>
      <c r="DI500" t="s">
        <v>363</v>
      </c>
      <c r="DJ500" t="s">
        <v>363</v>
      </c>
      <c r="DK500" t="s">
        <v>3</v>
      </c>
      <c r="DL500" t="s">
        <v>363</v>
      </c>
      <c r="DM500" t="s">
        <v>363</v>
      </c>
      <c r="DN500">
        <v>0</v>
      </c>
      <c r="DO500">
        <v>0</v>
      </c>
      <c r="DP500">
        <v>1</v>
      </c>
      <c r="DQ500">
        <v>1</v>
      </c>
      <c r="DU500">
        <v>1007</v>
      </c>
      <c r="DV500" t="s">
        <v>28</v>
      </c>
      <c r="DW500" t="s">
        <v>28</v>
      </c>
      <c r="DX500">
        <v>1</v>
      </c>
      <c r="EE500">
        <v>52362080</v>
      </c>
      <c r="EF500">
        <v>1</v>
      </c>
      <c r="EG500" t="s">
        <v>22</v>
      </c>
      <c r="EH500">
        <v>0</v>
      </c>
      <c r="EI500" t="s">
        <v>3</v>
      </c>
      <c r="EJ500">
        <v>4</v>
      </c>
      <c r="EK500">
        <v>1</v>
      </c>
      <c r="EL500" t="s">
        <v>358</v>
      </c>
      <c r="EM500" t="s">
        <v>24</v>
      </c>
      <c r="EO500" t="s">
        <v>3</v>
      </c>
      <c r="EQ500">
        <v>1179648</v>
      </c>
      <c r="ER500">
        <v>15.25</v>
      </c>
      <c r="ES500">
        <v>0</v>
      </c>
      <c r="ET500">
        <v>15.25</v>
      </c>
      <c r="EU500">
        <v>8.2799999999999994</v>
      </c>
      <c r="EV500">
        <v>0</v>
      </c>
      <c r="EW500">
        <v>0</v>
      </c>
      <c r="EX500">
        <v>0</v>
      </c>
      <c r="EY500">
        <v>0</v>
      </c>
      <c r="FQ500">
        <v>0</v>
      </c>
      <c r="FR500">
        <f t="shared" si="455"/>
        <v>0</v>
      </c>
      <c r="FS500">
        <v>0</v>
      </c>
      <c r="FX500">
        <v>0</v>
      </c>
      <c r="FY500">
        <v>0</v>
      </c>
      <c r="GA500" t="s">
        <v>3</v>
      </c>
      <c r="GD500">
        <v>1</v>
      </c>
      <c r="GF500">
        <v>-103757531</v>
      </c>
      <c r="GG500">
        <v>2</v>
      </c>
      <c r="GH500">
        <v>1</v>
      </c>
      <c r="GI500">
        <v>-2</v>
      </c>
      <c r="GJ500">
        <v>0</v>
      </c>
      <c r="GK500">
        <v>0</v>
      </c>
      <c r="GL500">
        <f t="shared" si="456"/>
        <v>0</v>
      </c>
      <c r="GM500">
        <f>ROUND(O500+X500+Y500,2)+GX500</f>
        <v>102670.32</v>
      </c>
      <c r="GN500">
        <f>IF(OR(BI500=0,BI500=1),ROUND(O500+X500+Y500,2),0)</f>
        <v>0</v>
      </c>
      <c r="GO500">
        <f>IF(BI500=2,ROUND(O500+X500+Y500,2),0)</f>
        <v>0</v>
      </c>
      <c r="GP500">
        <f>IF(BI500=4,ROUND(O500+X500+Y500,2)+GX500,0)</f>
        <v>102670.32</v>
      </c>
      <c r="GR500">
        <v>0</v>
      </c>
      <c r="GS500">
        <v>3</v>
      </c>
      <c r="GT500">
        <v>0</v>
      </c>
      <c r="GU500" t="s">
        <v>3</v>
      </c>
      <c r="GV500">
        <f t="shared" si="457"/>
        <v>0</v>
      </c>
      <c r="GW500">
        <v>1</v>
      </c>
      <c r="GX500">
        <f t="shared" si="458"/>
        <v>0</v>
      </c>
      <c r="HA500">
        <v>0</v>
      </c>
      <c r="HB500">
        <v>0</v>
      </c>
      <c r="HC500">
        <f t="shared" si="459"/>
        <v>0</v>
      </c>
      <c r="HE500" t="s">
        <v>3</v>
      </c>
      <c r="HF500" t="s">
        <v>3</v>
      </c>
      <c r="IK500">
        <v>0</v>
      </c>
    </row>
    <row r="501" spans="1:245" x14ac:dyDescent="0.2">
      <c r="A501">
        <v>17</v>
      </c>
      <c r="B501">
        <v>1</v>
      </c>
      <c r="C501">
        <f>ROW(SmtRes!A378)</f>
        <v>378</v>
      </c>
      <c r="D501">
        <f>ROW(EtalonRes!A359)</f>
        <v>359</v>
      </c>
      <c r="E501" t="s">
        <v>364</v>
      </c>
      <c r="F501" t="s">
        <v>365</v>
      </c>
      <c r="G501" t="s">
        <v>366</v>
      </c>
      <c r="H501" t="s">
        <v>101</v>
      </c>
      <c r="I501">
        <v>1.7709999999999999</v>
      </c>
      <c r="J501">
        <v>0</v>
      </c>
      <c r="O501">
        <f t="shared" si="433"/>
        <v>142.12</v>
      </c>
      <c r="P501">
        <f t="shared" si="434"/>
        <v>0</v>
      </c>
      <c r="Q501">
        <f t="shared" si="435"/>
        <v>142.12</v>
      </c>
      <c r="R501">
        <f t="shared" si="436"/>
        <v>45.76</v>
      </c>
      <c r="S501">
        <f t="shared" si="437"/>
        <v>0</v>
      </c>
      <c r="T501">
        <f t="shared" si="438"/>
        <v>0</v>
      </c>
      <c r="U501">
        <f t="shared" si="439"/>
        <v>0</v>
      </c>
      <c r="V501">
        <f t="shared" si="440"/>
        <v>0</v>
      </c>
      <c r="W501">
        <f t="shared" si="441"/>
        <v>0</v>
      </c>
      <c r="X501">
        <f t="shared" si="442"/>
        <v>0</v>
      </c>
      <c r="Y501">
        <f t="shared" si="442"/>
        <v>0</v>
      </c>
      <c r="AA501">
        <v>52430918</v>
      </c>
      <c r="AB501">
        <f t="shared" si="443"/>
        <v>80.25</v>
      </c>
      <c r="AC501">
        <f>ROUND((ES501),6)</f>
        <v>0</v>
      </c>
      <c r="AD501">
        <f>ROUND((((ET501)-(EU501))+AE501),6)</f>
        <v>80.25</v>
      </c>
      <c r="AE501">
        <f>ROUND((EU501),6)</f>
        <v>25.84</v>
      </c>
      <c r="AF501">
        <f>ROUND((EV501),6)</f>
        <v>0</v>
      </c>
      <c r="AG501">
        <f t="shared" si="444"/>
        <v>0</v>
      </c>
      <c r="AH501">
        <f>(EW501)</f>
        <v>0</v>
      </c>
      <c r="AI501">
        <f>(EX501)</f>
        <v>0</v>
      </c>
      <c r="AJ501">
        <f t="shared" si="445"/>
        <v>0</v>
      </c>
      <c r="AK501">
        <v>80.25</v>
      </c>
      <c r="AL501">
        <v>0</v>
      </c>
      <c r="AM501">
        <v>80.25</v>
      </c>
      <c r="AN501">
        <v>25.84</v>
      </c>
      <c r="AO501">
        <v>0</v>
      </c>
      <c r="AP501">
        <v>0</v>
      </c>
      <c r="AQ501">
        <v>0</v>
      </c>
      <c r="AR501">
        <v>0</v>
      </c>
      <c r="AS501">
        <v>0</v>
      </c>
      <c r="AT501">
        <v>70</v>
      </c>
      <c r="AU501">
        <v>10</v>
      </c>
      <c r="AV501">
        <v>1</v>
      </c>
      <c r="AW501">
        <v>1</v>
      </c>
      <c r="AZ501">
        <v>1</v>
      </c>
      <c r="BA501">
        <v>1</v>
      </c>
      <c r="BB501">
        <v>1</v>
      </c>
      <c r="BC501">
        <v>1</v>
      </c>
      <c r="BD501" t="s">
        <v>3</v>
      </c>
      <c r="BE501" t="s">
        <v>3</v>
      </c>
      <c r="BF501" t="s">
        <v>3</v>
      </c>
      <c r="BG501" t="s">
        <v>3</v>
      </c>
      <c r="BH501">
        <v>0</v>
      </c>
      <c r="BI501">
        <v>4</v>
      </c>
      <c r="BJ501" t="s">
        <v>367</v>
      </c>
      <c r="BM501">
        <v>0</v>
      </c>
      <c r="BN501">
        <v>0</v>
      </c>
      <c r="BO501" t="s">
        <v>3</v>
      </c>
      <c r="BP501">
        <v>0</v>
      </c>
      <c r="BQ501">
        <v>1</v>
      </c>
      <c r="BR501">
        <v>0</v>
      </c>
      <c r="BS501">
        <v>1</v>
      </c>
      <c r="BT501">
        <v>1</v>
      </c>
      <c r="BU501">
        <v>1</v>
      </c>
      <c r="BV501">
        <v>1</v>
      </c>
      <c r="BW501">
        <v>1</v>
      </c>
      <c r="BX501">
        <v>1</v>
      </c>
      <c r="BY501" t="s">
        <v>3</v>
      </c>
      <c r="BZ501">
        <v>70</v>
      </c>
      <c r="CA501">
        <v>10</v>
      </c>
      <c r="CE501">
        <v>0</v>
      </c>
      <c r="CF501">
        <v>0</v>
      </c>
      <c r="CG501">
        <v>0</v>
      </c>
      <c r="CM501">
        <v>0</v>
      </c>
      <c r="CN501" t="s">
        <v>3</v>
      </c>
      <c r="CO501">
        <v>0</v>
      </c>
      <c r="CP501">
        <f t="shared" si="446"/>
        <v>142.12</v>
      </c>
      <c r="CQ501">
        <f t="shared" si="447"/>
        <v>0</v>
      </c>
      <c r="CR501">
        <f>((((ET501)*BB501-(EU501)*BS501)+AE501*BS501)*AV501)</f>
        <v>80.25</v>
      </c>
      <c r="CS501">
        <f t="shared" si="448"/>
        <v>25.84</v>
      </c>
      <c r="CT501">
        <f t="shared" si="449"/>
        <v>0</v>
      </c>
      <c r="CU501">
        <f t="shared" si="450"/>
        <v>0</v>
      </c>
      <c r="CV501">
        <f t="shared" si="451"/>
        <v>0</v>
      </c>
      <c r="CW501">
        <f t="shared" si="452"/>
        <v>0</v>
      </c>
      <c r="CX501">
        <f t="shared" si="452"/>
        <v>0</v>
      </c>
      <c r="CY501">
        <f t="shared" si="453"/>
        <v>0</v>
      </c>
      <c r="CZ501">
        <f t="shared" si="454"/>
        <v>0</v>
      </c>
      <c r="DC501" t="s">
        <v>3</v>
      </c>
      <c r="DD501" t="s">
        <v>3</v>
      </c>
      <c r="DE501" t="s">
        <v>3</v>
      </c>
      <c r="DF501" t="s">
        <v>3</v>
      </c>
      <c r="DG501" t="s">
        <v>3</v>
      </c>
      <c r="DH501" t="s">
        <v>3</v>
      </c>
      <c r="DI501" t="s">
        <v>3</v>
      </c>
      <c r="DJ501" t="s">
        <v>3</v>
      </c>
      <c r="DK501" t="s">
        <v>3</v>
      </c>
      <c r="DL501" t="s">
        <v>3</v>
      </c>
      <c r="DM501" t="s">
        <v>3</v>
      </c>
      <c r="DN501">
        <v>0</v>
      </c>
      <c r="DO501">
        <v>0</v>
      </c>
      <c r="DP501">
        <v>1</v>
      </c>
      <c r="DQ501">
        <v>1</v>
      </c>
      <c r="DU501">
        <v>1009</v>
      </c>
      <c r="DV501" t="s">
        <v>101</v>
      </c>
      <c r="DW501" t="s">
        <v>101</v>
      </c>
      <c r="DX501">
        <v>1000</v>
      </c>
      <c r="EE501">
        <v>52362078</v>
      </c>
      <c r="EF501">
        <v>1</v>
      </c>
      <c r="EG501" t="s">
        <v>22</v>
      </c>
      <c r="EH501">
        <v>0</v>
      </c>
      <c r="EI501" t="s">
        <v>3</v>
      </c>
      <c r="EJ501">
        <v>4</v>
      </c>
      <c r="EK501">
        <v>0</v>
      </c>
      <c r="EL501" t="s">
        <v>23</v>
      </c>
      <c r="EM501" t="s">
        <v>24</v>
      </c>
      <c r="EO501" t="s">
        <v>3</v>
      </c>
      <c r="EQ501">
        <v>1441792</v>
      </c>
      <c r="ER501">
        <v>80.25</v>
      </c>
      <c r="ES501">
        <v>0</v>
      </c>
      <c r="ET501">
        <v>80.25</v>
      </c>
      <c r="EU501">
        <v>25.84</v>
      </c>
      <c r="EV501">
        <v>0</v>
      </c>
      <c r="EW501">
        <v>0</v>
      </c>
      <c r="EX501">
        <v>0</v>
      </c>
      <c r="EY501">
        <v>0</v>
      </c>
      <c r="FQ501">
        <v>0</v>
      </c>
      <c r="FR501">
        <f t="shared" si="455"/>
        <v>0</v>
      </c>
      <c r="FS501">
        <v>0</v>
      </c>
      <c r="FX501">
        <v>70</v>
      </c>
      <c r="FY501">
        <v>10</v>
      </c>
      <c r="GA501" t="s">
        <v>3</v>
      </c>
      <c r="GD501">
        <v>0</v>
      </c>
      <c r="GF501">
        <v>-1509618952</v>
      </c>
      <c r="GG501">
        <v>2</v>
      </c>
      <c r="GH501">
        <v>1</v>
      </c>
      <c r="GI501">
        <v>-2</v>
      </c>
      <c r="GJ501">
        <v>0</v>
      </c>
      <c r="GK501">
        <f>ROUND(R501*(R12)/100,2)</f>
        <v>49.42</v>
      </c>
      <c r="GL501">
        <f t="shared" si="456"/>
        <v>0</v>
      </c>
      <c r="GM501">
        <f>ROUND(O501+X501+Y501+GK501,2)+GX501</f>
        <v>191.54</v>
      </c>
      <c r="GN501">
        <f>IF(OR(BI501=0,BI501=1),ROUND(O501+X501+Y501+GK501,2),0)</f>
        <v>0</v>
      </c>
      <c r="GO501">
        <f>IF(BI501=2,ROUND(O501+X501+Y501+GK501,2),0)</f>
        <v>0</v>
      </c>
      <c r="GP501">
        <f>IF(BI501=4,ROUND(O501+X501+Y501+GK501,2)+GX501,0)</f>
        <v>191.54</v>
      </c>
      <c r="GR501">
        <v>0</v>
      </c>
      <c r="GS501">
        <v>3</v>
      </c>
      <c r="GT501">
        <v>0</v>
      </c>
      <c r="GU501" t="s">
        <v>3</v>
      </c>
      <c r="GV501">
        <f t="shared" si="457"/>
        <v>0</v>
      </c>
      <c r="GW501">
        <v>1</v>
      </c>
      <c r="GX501">
        <f t="shared" si="458"/>
        <v>0</v>
      </c>
      <c r="HA501">
        <v>0</v>
      </c>
      <c r="HB501">
        <v>0</v>
      </c>
      <c r="HC501">
        <f t="shared" si="459"/>
        <v>0</v>
      </c>
      <c r="HE501" t="s">
        <v>3</v>
      </c>
      <c r="HF501" t="s">
        <v>3</v>
      </c>
      <c r="IK501">
        <v>0</v>
      </c>
    </row>
    <row r="502" spans="1:245" x14ac:dyDescent="0.2">
      <c r="A502">
        <v>17</v>
      </c>
      <c r="B502">
        <v>1</v>
      </c>
      <c r="C502">
        <f>ROW(SmtRes!A380)</f>
        <v>380</v>
      </c>
      <c r="D502">
        <f>ROW(EtalonRes!A361)</f>
        <v>361</v>
      </c>
      <c r="E502" t="s">
        <v>368</v>
      </c>
      <c r="F502" t="s">
        <v>369</v>
      </c>
      <c r="G502" t="s">
        <v>370</v>
      </c>
      <c r="H502" t="s">
        <v>101</v>
      </c>
      <c r="I502">
        <v>1.7709999999999999</v>
      </c>
      <c r="J502">
        <v>0</v>
      </c>
      <c r="O502">
        <f t="shared" si="433"/>
        <v>102.42</v>
      </c>
      <c r="P502">
        <f t="shared" si="434"/>
        <v>0</v>
      </c>
      <c r="Q502">
        <f t="shared" si="435"/>
        <v>102.42</v>
      </c>
      <c r="R502">
        <f t="shared" si="436"/>
        <v>55.68</v>
      </c>
      <c r="S502">
        <f t="shared" si="437"/>
        <v>0</v>
      </c>
      <c r="T502">
        <f t="shared" si="438"/>
        <v>0</v>
      </c>
      <c r="U502">
        <f t="shared" si="439"/>
        <v>0</v>
      </c>
      <c r="V502">
        <f t="shared" si="440"/>
        <v>0</v>
      </c>
      <c r="W502">
        <f t="shared" si="441"/>
        <v>0</v>
      </c>
      <c r="X502">
        <f t="shared" si="442"/>
        <v>0</v>
      </c>
      <c r="Y502">
        <f t="shared" si="442"/>
        <v>0</v>
      </c>
      <c r="AA502">
        <v>52430918</v>
      </c>
      <c r="AB502">
        <f t="shared" si="443"/>
        <v>57.83</v>
      </c>
      <c r="AC502">
        <f>ROUND((ES502),6)</f>
        <v>0</v>
      </c>
      <c r="AD502">
        <f>ROUND((((ET502)-(EU502))+AE502),6)</f>
        <v>57.83</v>
      </c>
      <c r="AE502">
        <f>ROUND((EU502),6)</f>
        <v>31.44</v>
      </c>
      <c r="AF502">
        <f>ROUND((EV502),6)</f>
        <v>0</v>
      </c>
      <c r="AG502">
        <f t="shared" si="444"/>
        <v>0</v>
      </c>
      <c r="AH502">
        <f>(EW502)</f>
        <v>0</v>
      </c>
      <c r="AI502">
        <f>(EX502)</f>
        <v>0</v>
      </c>
      <c r="AJ502">
        <f t="shared" si="445"/>
        <v>0</v>
      </c>
      <c r="AK502">
        <v>57.83</v>
      </c>
      <c r="AL502">
        <v>0</v>
      </c>
      <c r="AM502">
        <v>57.83</v>
      </c>
      <c r="AN502">
        <v>31.44</v>
      </c>
      <c r="AO502">
        <v>0</v>
      </c>
      <c r="AP502">
        <v>0</v>
      </c>
      <c r="AQ502">
        <v>0</v>
      </c>
      <c r="AR502">
        <v>0</v>
      </c>
      <c r="AS502">
        <v>0</v>
      </c>
      <c r="AT502">
        <v>0</v>
      </c>
      <c r="AU502">
        <v>0</v>
      </c>
      <c r="AV502">
        <v>1</v>
      </c>
      <c r="AW502">
        <v>1</v>
      </c>
      <c r="AZ502">
        <v>1</v>
      </c>
      <c r="BA502">
        <v>1</v>
      </c>
      <c r="BB502">
        <v>1</v>
      </c>
      <c r="BC502">
        <v>1</v>
      </c>
      <c r="BD502" t="s">
        <v>3</v>
      </c>
      <c r="BE502" t="s">
        <v>3</v>
      </c>
      <c r="BF502" t="s">
        <v>3</v>
      </c>
      <c r="BG502" t="s">
        <v>3</v>
      </c>
      <c r="BH502">
        <v>0</v>
      </c>
      <c r="BI502">
        <v>4</v>
      </c>
      <c r="BJ502" t="s">
        <v>371</v>
      </c>
      <c r="BM502">
        <v>1</v>
      </c>
      <c r="BN502">
        <v>0</v>
      </c>
      <c r="BO502" t="s">
        <v>3</v>
      </c>
      <c r="BP502">
        <v>0</v>
      </c>
      <c r="BQ502">
        <v>1</v>
      </c>
      <c r="BR502">
        <v>0</v>
      </c>
      <c r="BS502">
        <v>1</v>
      </c>
      <c r="BT502">
        <v>1</v>
      </c>
      <c r="BU502">
        <v>1</v>
      </c>
      <c r="BV502">
        <v>1</v>
      </c>
      <c r="BW502">
        <v>1</v>
      </c>
      <c r="BX502">
        <v>1</v>
      </c>
      <c r="BY502" t="s">
        <v>3</v>
      </c>
      <c r="BZ502">
        <v>0</v>
      </c>
      <c r="CA502">
        <v>0</v>
      </c>
      <c r="CE502">
        <v>0</v>
      </c>
      <c r="CF502">
        <v>0</v>
      </c>
      <c r="CG502">
        <v>0</v>
      </c>
      <c r="CM502">
        <v>0</v>
      </c>
      <c r="CN502" t="s">
        <v>3</v>
      </c>
      <c r="CO502">
        <v>0</v>
      </c>
      <c r="CP502">
        <f t="shared" si="446"/>
        <v>102.42</v>
      </c>
      <c r="CQ502">
        <f t="shared" si="447"/>
        <v>0</v>
      </c>
      <c r="CR502">
        <f>((((ET502)*BB502-(EU502)*BS502)+AE502*BS502)*AV502)</f>
        <v>57.83</v>
      </c>
      <c r="CS502">
        <f t="shared" si="448"/>
        <v>31.44</v>
      </c>
      <c r="CT502">
        <f t="shared" si="449"/>
        <v>0</v>
      </c>
      <c r="CU502">
        <f t="shared" si="450"/>
        <v>0</v>
      </c>
      <c r="CV502">
        <f t="shared" si="451"/>
        <v>0</v>
      </c>
      <c r="CW502">
        <f t="shared" si="452"/>
        <v>0</v>
      </c>
      <c r="CX502">
        <f t="shared" si="452"/>
        <v>0</v>
      </c>
      <c r="CY502">
        <f t="shared" si="453"/>
        <v>0</v>
      </c>
      <c r="CZ502">
        <f t="shared" si="454"/>
        <v>0</v>
      </c>
      <c r="DC502" t="s">
        <v>3</v>
      </c>
      <c r="DD502" t="s">
        <v>3</v>
      </c>
      <c r="DE502" t="s">
        <v>3</v>
      </c>
      <c r="DF502" t="s">
        <v>3</v>
      </c>
      <c r="DG502" t="s">
        <v>3</v>
      </c>
      <c r="DH502" t="s">
        <v>3</v>
      </c>
      <c r="DI502" t="s">
        <v>3</v>
      </c>
      <c r="DJ502" t="s">
        <v>3</v>
      </c>
      <c r="DK502" t="s">
        <v>3</v>
      </c>
      <c r="DL502" t="s">
        <v>3</v>
      </c>
      <c r="DM502" t="s">
        <v>3</v>
      </c>
      <c r="DN502">
        <v>0</v>
      </c>
      <c r="DO502">
        <v>0</v>
      </c>
      <c r="DP502">
        <v>1</v>
      </c>
      <c r="DQ502">
        <v>1</v>
      </c>
      <c r="DU502">
        <v>1009</v>
      </c>
      <c r="DV502" t="s">
        <v>101</v>
      </c>
      <c r="DW502" t="s">
        <v>101</v>
      </c>
      <c r="DX502">
        <v>1000</v>
      </c>
      <c r="EE502">
        <v>52362080</v>
      </c>
      <c r="EF502">
        <v>1</v>
      </c>
      <c r="EG502" t="s">
        <v>22</v>
      </c>
      <c r="EH502">
        <v>0</v>
      </c>
      <c r="EI502" t="s">
        <v>3</v>
      </c>
      <c r="EJ502">
        <v>4</v>
      </c>
      <c r="EK502">
        <v>1</v>
      </c>
      <c r="EL502" t="s">
        <v>358</v>
      </c>
      <c r="EM502" t="s">
        <v>24</v>
      </c>
      <c r="EO502" t="s">
        <v>3</v>
      </c>
      <c r="EQ502">
        <v>1441792</v>
      </c>
      <c r="ER502">
        <v>57.83</v>
      </c>
      <c r="ES502">
        <v>0</v>
      </c>
      <c r="ET502">
        <v>57.83</v>
      </c>
      <c r="EU502">
        <v>31.44</v>
      </c>
      <c r="EV502">
        <v>0</v>
      </c>
      <c r="EW502">
        <v>0</v>
      </c>
      <c r="EX502">
        <v>0</v>
      </c>
      <c r="EY502">
        <v>0</v>
      </c>
      <c r="FQ502">
        <v>0</v>
      </c>
      <c r="FR502">
        <f t="shared" si="455"/>
        <v>0</v>
      </c>
      <c r="FS502">
        <v>0</v>
      </c>
      <c r="FX502">
        <v>0</v>
      </c>
      <c r="FY502">
        <v>0</v>
      </c>
      <c r="GA502" t="s">
        <v>3</v>
      </c>
      <c r="GD502">
        <v>1</v>
      </c>
      <c r="GF502">
        <v>-1811976095</v>
      </c>
      <c r="GG502">
        <v>2</v>
      </c>
      <c r="GH502">
        <v>1</v>
      </c>
      <c r="GI502">
        <v>-2</v>
      </c>
      <c r="GJ502">
        <v>0</v>
      </c>
      <c r="GK502">
        <v>0</v>
      </c>
      <c r="GL502">
        <f t="shared" si="456"/>
        <v>0</v>
      </c>
      <c r="GM502">
        <f>ROUND(O502+X502+Y502,2)+GX502</f>
        <v>102.42</v>
      </c>
      <c r="GN502">
        <f>IF(OR(BI502=0,BI502=1),ROUND(O502+X502+Y502,2),0)</f>
        <v>0</v>
      </c>
      <c r="GO502">
        <f>IF(BI502=2,ROUND(O502+X502+Y502,2),0)</f>
        <v>0</v>
      </c>
      <c r="GP502">
        <f>IF(BI502=4,ROUND(O502+X502+Y502,2)+GX502,0)</f>
        <v>102.42</v>
      </c>
      <c r="GR502">
        <v>0</v>
      </c>
      <c r="GS502">
        <v>3</v>
      </c>
      <c r="GT502">
        <v>0</v>
      </c>
      <c r="GU502" t="s">
        <v>3</v>
      </c>
      <c r="GV502">
        <f t="shared" si="457"/>
        <v>0</v>
      </c>
      <c r="GW502">
        <v>1</v>
      </c>
      <c r="GX502">
        <f t="shared" si="458"/>
        <v>0</v>
      </c>
      <c r="HA502">
        <v>0</v>
      </c>
      <c r="HB502">
        <v>0</v>
      </c>
      <c r="HC502">
        <f t="shared" si="459"/>
        <v>0</v>
      </c>
      <c r="HE502" t="s">
        <v>3</v>
      </c>
      <c r="HF502" t="s">
        <v>3</v>
      </c>
      <c r="IK502">
        <v>0</v>
      </c>
    </row>
    <row r="503" spans="1:245" x14ac:dyDescent="0.2">
      <c r="A503">
        <v>17</v>
      </c>
      <c r="B503">
        <v>1</v>
      </c>
      <c r="C503">
        <f>ROW(SmtRes!A382)</f>
        <v>382</v>
      </c>
      <c r="D503">
        <f>ROW(EtalonRes!A363)</f>
        <v>363</v>
      </c>
      <c r="E503" t="s">
        <v>372</v>
      </c>
      <c r="F503" t="s">
        <v>373</v>
      </c>
      <c r="G503" t="s">
        <v>374</v>
      </c>
      <c r="H503" t="s">
        <v>101</v>
      </c>
      <c r="I503">
        <v>1.7709999999999999</v>
      </c>
      <c r="J503">
        <v>0</v>
      </c>
      <c r="O503">
        <f t="shared" si="433"/>
        <v>2328.37</v>
      </c>
      <c r="P503">
        <f t="shared" si="434"/>
        <v>0</v>
      </c>
      <c r="Q503">
        <f t="shared" si="435"/>
        <v>2328.37</v>
      </c>
      <c r="R503">
        <f t="shared" si="436"/>
        <v>1265.77</v>
      </c>
      <c r="S503">
        <f t="shared" si="437"/>
        <v>0</v>
      </c>
      <c r="T503">
        <f t="shared" si="438"/>
        <v>0</v>
      </c>
      <c r="U503">
        <f t="shared" si="439"/>
        <v>0</v>
      </c>
      <c r="V503">
        <f t="shared" si="440"/>
        <v>0</v>
      </c>
      <c r="W503">
        <f t="shared" si="441"/>
        <v>0</v>
      </c>
      <c r="X503">
        <f t="shared" si="442"/>
        <v>0</v>
      </c>
      <c r="Y503">
        <f t="shared" si="442"/>
        <v>0</v>
      </c>
      <c r="AA503">
        <v>52430918</v>
      </c>
      <c r="AB503">
        <f t="shared" si="443"/>
        <v>1314.72</v>
      </c>
      <c r="AC503">
        <f>ROUND(((ES503*48)),6)</f>
        <v>0</v>
      </c>
      <c r="AD503">
        <f>ROUND(((((ET503*48))-((EU503*48)))+AE503),6)</f>
        <v>1314.72</v>
      </c>
      <c r="AE503">
        <f>ROUND(((EU503*48)),6)</f>
        <v>714.72</v>
      </c>
      <c r="AF503">
        <f>ROUND(((EV503*48)),6)</f>
        <v>0</v>
      </c>
      <c r="AG503">
        <f t="shared" si="444"/>
        <v>0</v>
      </c>
      <c r="AH503">
        <f>((EW503*48))</f>
        <v>0</v>
      </c>
      <c r="AI503">
        <f>((EX503*48))</f>
        <v>0</v>
      </c>
      <c r="AJ503">
        <f t="shared" si="445"/>
        <v>0</v>
      </c>
      <c r="AK503">
        <v>27.39</v>
      </c>
      <c r="AL503">
        <v>0</v>
      </c>
      <c r="AM503">
        <v>27.39</v>
      </c>
      <c r="AN503">
        <v>14.89</v>
      </c>
      <c r="AO503">
        <v>0</v>
      </c>
      <c r="AP503">
        <v>0</v>
      </c>
      <c r="AQ503">
        <v>0</v>
      </c>
      <c r="AR503">
        <v>0</v>
      </c>
      <c r="AS503">
        <v>0</v>
      </c>
      <c r="AT503">
        <v>0</v>
      </c>
      <c r="AU503">
        <v>0</v>
      </c>
      <c r="AV503">
        <v>1</v>
      </c>
      <c r="AW503">
        <v>1</v>
      </c>
      <c r="AZ503">
        <v>1</v>
      </c>
      <c r="BA503">
        <v>1</v>
      </c>
      <c r="BB503">
        <v>1</v>
      </c>
      <c r="BC503">
        <v>1</v>
      </c>
      <c r="BD503" t="s">
        <v>3</v>
      </c>
      <c r="BE503" t="s">
        <v>3</v>
      </c>
      <c r="BF503" t="s">
        <v>3</v>
      </c>
      <c r="BG503" t="s">
        <v>3</v>
      </c>
      <c r="BH503">
        <v>0</v>
      </c>
      <c r="BI503">
        <v>4</v>
      </c>
      <c r="BJ503" t="s">
        <v>375</v>
      </c>
      <c r="BM503">
        <v>1</v>
      </c>
      <c r="BN503">
        <v>0</v>
      </c>
      <c r="BO503" t="s">
        <v>3</v>
      </c>
      <c r="BP503">
        <v>0</v>
      </c>
      <c r="BQ503">
        <v>1</v>
      </c>
      <c r="BR503">
        <v>0</v>
      </c>
      <c r="BS503">
        <v>1</v>
      </c>
      <c r="BT503">
        <v>1</v>
      </c>
      <c r="BU503">
        <v>1</v>
      </c>
      <c r="BV503">
        <v>1</v>
      </c>
      <c r="BW503">
        <v>1</v>
      </c>
      <c r="BX503">
        <v>1</v>
      </c>
      <c r="BY503" t="s">
        <v>3</v>
      </c>
      <c r="BZ503">
        <v>0</v>
      </c>
      <c r="CA503">
        <v>0</v>
      </c>
      <c r="CE503">
        <v>0</v>
      </c>
      <c r="CF503">
        <v>0</v>
      </c>
      <c r="CG503">
        <v>0</v>
      </c>
      <c r="CM503">
        <v>0</v>
      </c>
      <c r="CN503" t="s">
        <v>3</v>
      </c>
      <c r="CO503">
        <v>0</v>
      </c>
      <c r="CP503">
        <f t="shared" si="446"/>
        <v>2328.37</v>
      </c>
      <c r="CQ503">
        <f t="shared" si="447"/>
        <v>0</v>
      </c>
      <c r="CR503">
        <f>(((((ET503*48))*BB503-((EU503*48))*BS503)+AE503*BS503)*AV503)</f>
        <v>1314.72</v>
      </c>
      <c r="CS503">
        <f t="shared" si="448"/>
        <v>714.72</v>
      </c>
      <c r="CT503">
        <f t="shared" si="449"/>
        <v>0</v>
      </c>
      <c r="CU503">
        <f t="shared" si="450"/>
        <v>0</v>
      </c>
      <c r="CV503">
        <f t="shared" si="451"/>
        <v>0</v>
      </c>
      <c r="CW503">
        <f t="shared" si="452"/>
        <v>0</v>
      </c>
      <c r="CX503">
        <f t="shared" si="452"/>
        <v>0</v>
      </c>
      <c r="CY503">
        <f t="shared" si="453"/>
        <v>0</v>
      </c>
      <c r="CZ503">
        <f t="shared" si="454"/>
        <v>0</v>
      </c>
      <c r="DC503" t="s">
        <v>3</v>
      </c>
      <c r="DD503" t="s">
        <v>363</v>
      </c>
      <c r="DE503" t="s">
        <v>363</v>
      </c>
      <c r="DF503" t="s">
        <v>363</v>
      </c>
      <c r="DG503" t="s">
        <v>363</v>
      </c>
      <c r="DH503" t="s">
        <v>3</v>
      </c>
      <c r="DI503" t="s">
        <v>363</v>
      </c>
      <c r="DJ503" t="s">
        <v>363</v>
      </c>
      <c r="DK503" t="s">
        <v>3</v>
      </c>
      <c r="DL503" t="s">
        <v>363</v>
      </c>
      <c r="DM503" t="s">
        <v>363</v>
      </c>
      <c r="DN503">
        <v>0</v>
      </c>
      <c r="DO503">
        <v>0</v>
      </c>
      <c r="DP503">
        <v>1</v>
      </c>
      <c r="DQ503">
        <v>1</v>
      </c>
      <c r="DU503">
        <v>1009</v>
      </c>
      <c r="DV503" t="s">
        <v>101</v>
      </c>
      <c r="DW503" t="s">
        <v>101</v>
      </c>
      <c r="DX503">
        <v>1000</v>
      </c>
      <c r="EE503">
        <v>52362080</v>
      </c>
      <c r="EF503">
        <v>1</v>
      </c>
      <c r="EG503" t="s">
        <v>22</v>
      </c>
      <c r="EH503">
        <v>0</v>
      </c>
      <c r="EI503" t="s">
        <v>3</v>
      </c>
      <c r="EJ503">
        <v>4</v>
      </c>
      <c r="EK503">
        <v>1</v>
      </c>
      <c r="EL503" t="s">
        <v>358</v>
      </c>
      <c r="EM503" t="s">
        <v>24</v>
      </c>
      <c r="EO503" t="s">
        <v>3</v>
      </c>
      <c r="EQ503">
        <v>1441792</v>
      </c>
      <c r="ER503">
        <v>27.39</v>
      </c>
      <c r="ES503">
        <v>0</v>
      </c>
      <c r="ET503">
        <v>27.39</v>
      </c>
      <c r="EU503">
        <v>14.89</v>
      </c>
      <c r="EV503">
        <v>0</v>
      </c>
      <c r="EW503">
        <v>0</v>
      </c>
      <c r="EX503">
        <v>0</v>
      </c>
      <c r="EY503">
        <v>0</v>
      </c>
      <c r="FQ503">
        <v>0</v>
      </c>
      <c r="FR503">
        <f t="shared" si="455"/>
        <v>0</v>
      </c>
      <c r="FS503">
        <v>0</v>
      </c>
      <c r="FX503">
        <v>0</v>
      </c>
      <c r="FY503">
        <v>0</v>
      </c>
      <c r="GA503" t="s">
        <v>3</v>
      </c>
      <c r="GD503">
        <v>1</v>
      </c>
      <c r="GF503">
        <v>1607926496</v>
      </c>
      <c r="GG503">
        <v>2</v>
      </c>
      <c r="GH503">
        <v>1</v>
      </c>
      <c r="GI503">
        <v>-2</v>
      </c>
      <c r="GJ503">
        <v>0</v>
      </c>
      <c r="GK503">
        <v>0</v>
      </c>
      <c r="GL503">
        <f t="shared" si="456"/>
        <v>0</v>
      </c>
      <c r="GM503">
        <f>ROUND(O503+X503+Y503,2)+GX503</f>
        <v>2328.37</v>
      </c>
      <c r="GN503">
        <f>IF(OR(BI503=0,BI503=1),ROUND(O503+X503+Y503,2),0)</f>
        <v>0</v>
      </c>
      <c r="GO503">
        <f>IF(BI503=2,ROUND(O503+X503+Y503,2),0)</f>
        <v>0</v>
      </c>
      <c r="GP503">
        <f>IF(BI503=4,ROUND(O503+X503+Y503,2)+GX503,0)</f>
        <v>2328.37</v>
      </c>
      <c r="GR503">
        <v>0</v>
      </c>
      <c r="GS503">
        <v>3</v>
      </c>
      <c r="GT503">
        <v>0</v>
      </c>
      <c r="GU503" t="s">
        <v>3</v>
      </c>
      <c r="GV503">
        <f t="shared" si="457"/>
        <v>0</v>
      </c>
      <c r="GW503">
        <v>1</v>
      </c>
      <c r="GX503">
        <f t="shared" si="458"/>
        <v>0</v>
      </c>
      <c r="HA503">
        <v>0</v>
      </c>
      <c r="HB503">
        <v>0</v>
      </c>
      <c r="HC503">
        <f t="shared" si="459"/>
        <v>0</v>
      </c>
      <c r="HE503" t="s">
        <v>3</v>
      </c>
      <c r="HF503" t="s">
        <v>3</v>
      </c>
      <c r="IK503">
        <v>0</v>
      </c>
    </row>
    <row r="505" spans="1:245" x14ac:dyDescent="0.2">
      <c r="A505" s="2">
        <v>51</v>
      </c>
      <c r="B505" s="2">
        <f>B494</f>
        <v>1</v>
      </c>
      <c r="C505" s="2">
        <f>A494</f>
        <v>5</v>
      </c>
      <c r="D505" s="2">
        <f>ROW(A494)</f>
        <v>494</v>
      </c>
      <c r="E505" s="2"/>
      <c r="F505" s="2" t="str">
        <f>IF(F494&lt;&gt;"",F494,"")</f>
        <v>Новый подраздел</v>
      </c>
      <c r="G505" s="2" t="str">
        <f>IF(G494&lt;&gt;"",G494,"")</f>
        <v>Мусор</v>
      </c>
      <c r="H505" s="2">
        <v>0</v>
      </c>
      <c r="I505" s="2"/>
      <c r="J505" s="2"/>
      <c r="K505" s="2"/>
      <c r="L505" s="2"/>
      <c r="M505" s="2"/>
      <c r="N505" s="2"/>
      <c r="O505" s="2">
        <f t="shared" ref="O505:T505" si="460">ROUND(AB505,2)</f>
        <v>131303.10999999999</v>
      </c>
      <c r="P505" s="2">
        <f t="shared" si="460"/>
        <v>0</v>
      </c>
      <c r="Q505" s="2">
        <f t="shared" si="460"/>
        <v>129057.55</v>
      </c>
      <c r="R505" s="2">
        <f t="shared" si="460"/>
        <v>67146.62</v>
      </c>
      <c r="S505" s="2">
        <f t="shared" si="460"/>
        <v>2245.56</v>
      </c>
      <c r="T505" s="2">
        <f t="shared" si="460"/>
        <v>0</v>
      </c>
      <c r="U505" s="2">
        <f>AH505</f>
        <v>9.1168999999999993</v>
      </c>
      <c r="V505" s="2">
        <f>AI505</f>
        <v>0</v>
      </c>
      <c r="W505" s="2">
        <f>ROUND(AJ505,2)</f>
        <v>0</v>
      </c>
      <c r="X505" s="2">
        <f>ROUND(AK505,2)</f>
        <v>1571.89</v>
      </c>
      <c r="Y505" s="2">
        <f>ROUND(AL505,2)</f>
        <v>224.56</v>
      </c>
      <c r="Z505" s="2"/>
      <c r="AA505" s="2"/>
      <c r="AB505" s="2">
        <f>ROUND(SUMIF(AA498:AA503,"=52430918",O498:O503),2)</f>
        <v>131303.10999999999</v>
      </c>
      <c r="AC505" s="2">
        <f>ROUND(SUMIF(AA498:AA503,"=52430918",P498:P503),2)</f>
        <v>0</v>
      </c>
      <c r="AD505" s="2">
        <f>ROUND(SUMIF(AA498:AA503,"=52430918",Q498:Q503),2)</f>
        <v>129057.55</v>
      </c>
      <c r="AE505" s="2">
        <f>ROUND(SUMIF(AA498:AA503,"=52430918",R498:R503),2)</f>
        <v>67146.62</v>
      </c>
      <c r="AF505" s="2">
        <f>ROUND(SUMIF(AA498:AA503,"=52430918",S498:S503),2)</f>
        <v>2245.56</v>
      </c>
      <c r="AG505" s="2">
        <f>ROUND(SUMIF(AA498:AA503,"=52430918",T498:T503),2)</f>
        <v>0</v>
      </c>
      <c r="AH505" s="2">
        <f>SUMIF(AA498:AA503,"=52430918",U498:U503)</f>
        <v>9.1168999999999993</v>
      </c>
      <c r="AI505" s="2">
        <f>SUMIF(AA498:AA503,"=52430918",V498:V503)</f>
        <v>0</v>
      </c>
      <c r="AJ505" s="2">
        <f>ROUND(SUMIF(AA498:AA503,"=52430918",W498:W503),2)</f>
        <v>0</v>
      </c>
      <c r="AK505" s="2">
        <f>ROUND(SUMIF(AA498:AA503,"=52430918",X498:X503),2)</f>
        <v>1571.89</v>
      </c>
      <c r="AL505" s="2">
        <f>ROUND(SUMIF(AA498:AA503,"=52430918",Y498:Y503),2)</f>
        <v>224.56</v>
      </c>
      <c r="AM505" s="2"/>
      <c r="AN505" s="2"/>
      <c r="AO505" s="2">
        <f t="shared" ref="AO505:BD505" si="461">ROUND(BX505,2)</f>
        <v>0</v>
      </c>
      <c r="AP505" s="2">
        <f t="shared" si="461"/>
        <v>0</v>
      </c>
      <c r="AQ505" s="2">
        <f t="shared" si="461"/>
        <v>0</v>
      </c>
      <c r="AR505" s="2">
        <f t="shared" si="461"/>
        <v>140099.22</v>
      </c>
      <c r="AS505" s="2">
        <f t="shared" si="461"/>
        <v>0</v>
      </c>
      <c r="AT505" s="2">
        <f t="shared" si="461"/>
        <v>0</v>
      </c>
      <c r="AU505" s="2">
        <f t="shared" si="461"/>
        <v>140099.22</v>
      </c>
      <c r="AV505" s="2">
        <f t="shared" si="461"/>
        <v>0</v>
      </c>
      <c r="AW505" s="2">
        <f t="shared" si="461"/>
        <v>0</v>
      </c>
      <c r="AX505" s="2">
        <f t="shared" si="461"/>
        <v>0</v>
      </c>
      <c r="AY505" s="2">
        <f t="shared" si="461"/>
        <v>0</v>
      </c>
      <c r="AZ505" s="2">
        <f t="shared" si="461"/>
        <v>0</v>
      </c>
      <c r="BA505" s="2">
        <f t="shared" si="461"/>
        <v>0</v>
      </c>
      <c r="BB505" s="2">
        <f t="shared" si="461"/>
        <v>0</v>
      </c>
      <c r="BC505" s="2">
        <f t="shared" si="461"/>
        <v>0</v>
      </c>
      <c r="BD505" s="2">
        <f t="shared" si="461"/>
        <v>0</v>
      </c>
      <c r="BE505" s="2"/>
      <c r="BF505" s="2"/>
      <c r="BG505" s="2"/>
      <c r="BH505" s="2"/>
      <c r="BI505" s="2"/>
      <c r="BJ505" s="2"/>
      <c r="BK505" s="2"/>
      <c r="BL505" s="2"/>
      <c r="BM505" s="2"/>
      <c r="BN505" s="2"/>
      <c r="BO505" s="2"/>
      <c r="BP505" s="2"/>
      <c r="BQ505" s="2"/>
      <c r="BR505" s="2"/>
      <c r="BS505" s="2"/>
      <c r="BT505" s="2"/>
      <c r="BU505" s="2"/>
      <c r="BV505" s="2"/>
      <c r="BW505" s="2"/>
      <c r="BX505" s="2">
        <f>ROUND(SUMIF(AA498:AA503,"=52430918",FQ498:FQ503),2)</f>
        <v>0</v>
      </c>
      <c r="BY505" s="2">
        <f>ROUND(SUMIF(AA498:AA503,"=52430918",FR498:FR503),2)</f>
        <v>0</v>
      </c>
      <c r="BZ505" s="2">
        <f>ROUND(SUMIF(AA498:AA503,"=52430918",GL498:GL503),2)</f>
        <v>0</v>
      </c>
      <c r="CA505" s="2">
        <f>ROUND(SUMIF(AA498:AA503,"=52430918",GM498:GM503),2)</f>
        <v>140099.22</v>
      </c>
      <c r="CB505" s="2">
        <f>ROUND(SUMIF(AA498:AA503,"=52430918",GN498:GN503),2)</f>
        <v>0</v>
      </c>
      <c r="CC505" s="2">
        <f>ROUND(SUMIF(AA498:AA503,"=52430918",GO498:GO503),2)</f>
        <v>0</v>
      </c>
      <c r="CD505" s="2">
        <f>ROUND(SUMIF(AA498:AA503,"=52430918",GP498:GP503),2)</f>
        <v>140099.22</v>
      </c>
      <c r="CE505" s="2">
        <f>AC505-BX505</f>
        <v>0</v>
      </c>
      <c r="CF505" s="2">
        <f>AC505-BY505</f>
        <v>0</v>
      </c>
      <c r="CG505" s="2">
        <f>BX505-BZ505</f>
        <v>0</v>
      </c>
      <c r="CH505" s="2">
        <f>AC505-BX505-BY505+BZ505</f>
        <v>0</v>
      </c>
      <c r="CI505" s="2">
        <f>BY505-BZ505</f>
        <v>0</v>
      </c>
      <c r="CJ505" s="2">
        <f>ROUND(SUMIF(AA498:AA503,"=52430918",GX498:GX503),2)</f>
        <v>0</v>
      </c>
      <c r="CK505" s="2">
        <f>ROUND(SUMIF(AA498:AA503,"=52430918",GY498:GY503),2)</f>
        <v>0</v>
      </c>
      <c r="CL505" s="2">
        <f>ROUND(SUMIF(AA498:AA503,"=52430918",GZ498:GZ503),2)</f>
        <v>0</v>
      </c>
      <c r="CM505" s="2">
        <f>ROUND(SUMIF(AA498:AA503,"=52430918",HD498:HD503),2)</f>
        <v>0</v>
      </c>
      <c r="CN505" s="2"/>
      <c r="CO505" s="2"/>
      <c r="CP505" s="2"/>
      <c r="CQ505" s="2"/>
      <c r="CR505" s="2"/>
      <c r="CS505" s="2"/>
      <c r="CT505" s="2"/>
      <c r="CU505" s="2"/>
      <c r="CV505" s="2"/>
      <c r="CW505" s="2"/>
      <c r="CX505" s="2"/>
      <c r="CY505" s="2"/>
      <c r="CZ505" s="2"/>
      <c r="DA505" s="2"/>
      <c r="DB505" s="2"/>
      <c r="DC505" s="2"/>
      <c r="DD505" s="2"/>
      <c r="DE505" s="2"/>
      <c r="DF505" s="2"/>
      <c r="DG505" s="3"/>
      <c r="DH505" s="3"/>
      <c r="DI505" s="3"/>
      <c r="DJ505" s="3"/>
      <c r="DK505" s="3"/>
      <c r="DL505" s="3"/>
      <c r="DM505" s="3"/>
      <c r="DN505" s="3"/>
      <c r="DO505" s="3"/>
      <c r="DP505" s="3"/>
      <c r="DQ505" s="3"/>
      <c r="DR505" s="3"/>
      <c r="DS505" s="3"/>
      <c r="DT505" s="3"/>
      <c r="DU505" s="3"/>
      <c r="DV505" s="3"/>
      <c r="DW505" s="3"/>
      <c r="DX505" s="3"/>
      <c r="DY505" s="3"/>
      <c r="DZ505" s="3"/>
      <c r="EA505" s="3"/>
      <c r="EB505" s="3"/>
      <c r="EC505" s="3"/>
      <c r="ED505" s="3"/>
      <c r="EE505" s="3"/>
      <c r="EF505" s="3"/>
      <c r="EG505" s="3"/>
      <c r="EH505" s="3"/>
      <c r="EI505" s="3"/>
      <c r="EJ505" s="3"/>
      <c r="EK505" s="3"/>
      <c r="EL505" s="3"/>
      <c r="EM505" s="3"/>
      <c r="EN505" s="3"/>
      <c r="EO505" s="3"/>
      <c r="EP505" s="3"/>
      <c r="EQ505" s="3"/>
      <c r="ER505" s="3"/>
      <c r="ES505" s="3"/>
      <c r="ET505" s="3"/>
      <c r="EU505" s="3"/>
      <c r="EV505" s="3"/>
      <c r="EW505" s="3"/>
      <c r="EX505" s="3"/>
      <c r="EY505" s="3"/>
      <c r="EZ505" s="3"/>
      <c r="FA505" s="3"/>
      <c r="FB505" s="3"/>
      <c r="FC505" s="3"/>
      <c r="FD505" s="3"/>
      <c r="FE505" s="3"/>
      <c r="FF505" s="3"/>
      <c r="FG505" s="3"/>
      <c r="FH505" s="3"/>
      <c r="FI505" s="3"/>
      <c r="FJ505" s="3"/>
      <c r="FK505" s="3"/>
      <c r="FL505" s="3"/>
      <c r="FM505" s="3"/>
      <c r="FN505" s="3"/>
      <c r="FO505" s="3"/>
      <c r="FP505" s="3"/>
      <c r="FQ505" s="3"/>
      <c r="FR505" s="3"/>
      <c r="FS505" s="3"/>
      <c r="FT505" s="3"/>
      <c r="FU505" s="3"/>
      <c r="FV505" s="3"/>
      <c r="FW505" s="3"/>
      <c r="FX505" s="3"/>
      <c r="FY505" s="3"/>
      <c r="FZ505" s="3"/>
      <c r="GA505" s="3"/>
      <c r="GB505" s="3"/>
      <c r="GC505" s="3"/>
      <c r="GD505" s="3"/>
      <c r="GE505" s="3"/>
      <c r="GF505" s="3"/>
      <c r="GG505" s="3"/>
      <c r="GH505" s="3"/>
      <c r="GI505" s="3"/>
      <c r="GJ505" s="3"/>
      <c r="GK505" s="3"/>
      <c r="GL505" s="3"/>
      <c r="GM505" s="3"/>
      <c r="GN505" s="3"/>
      <c r="GO505" s="3"/>
      <c r="GP505" s="3"/>
      <c r="GQ505" s="3"/>
      <c r="GR505" s="3"/>
      <c r="GS505" s="3"/>
      <c r="GT505" s="3"/>
      <c r="GU505" s="3"/>
      <c r="GV505" s="3"/>
      <c r="GW505" s="3"/>
      <c r="GX505" s="3">
        <v>0</v>
      </c>
    </row>
    <row r="507" spans="1:245" x14ac:dyDescent="0.2">
      <c r="A507" s="4">
        <v>50</v>
      </c>
      <c r="B507" s="4">
        <v>0</v>
      </c>
      <c r="C507" s="4">
        <v>0</v>
      </c>
      <c r="D507" s="4">
        <v>1</v>
      </c>
      <c r="E507" s="4">
        <v>201</v>
      </c>
      <c r="F507" s="4">
        <f>ROUND(Source!O505,O507)</f>
        <v>131303.10999999999</v>
      </c>
      <c r="G507" s="4" t="s">
        <v>118</v>
      </c>
      <c r="H507" s="4" t="s">
        <v>119</v>
      </c>
      <c r="I507" s="4"/>
      <c r="J507" s="4"/>
      <c r="K507" s="4">
        <v>201</v>
      </c>
      <c r="L507" s="4">
        <v>1</v>
      </c>
      <c r="M507" s="4">
        <v>3</v>
      </c>
      <c r="N507" s="4" t="s">
        <v>3</v>
      </c>
      <c r="O507" s="4">
        <v>2</v>
      </c>
      <c r="P507" s="4"/>
      <c r="Q507" s="4"/>
      <c r="R507" s="4"/>
      <c r="S507" s="4"/>
      <c r="T507" s="4"/>
      <c r="U507" s="4"/>
      <c r="V507" s="4"/>
      <c r="W507" s="4"/>
    </row>
    <row r="508" spans="1:245" x14ac:dyDescent="0.2">
      <c r="A508" s="4">
        <v>50</v>
      </c>
      <c r="B508" s="4">
        <v>0</v>
      </c>
      <c r="C508" s="4">
        <v>0</v>
      </c>
      <c r="D508" s="4">
        <v>1</v>
      </c>
      <c r="E508" s="4">
        <v>202</v>
      </c>
      <c r="F508" s="4">
        <f>ROUND(Source!P505,O508)</f>
        <v>0</v>
      </c>
      <c r="G508" s="4" t="s">
        <v>120</v>
      </c>
      <c r="H508" s="4" t="s">
        <v>121</v>
      </c>
      <c r="I508" s="4"/>
      <c r="J508" s="4"/>
      <c r="K508" s="4">
        <v>202</v>
      </c>
      <c r="L508" s="4">
        <v>2</v>
      </c>
      <c r="M508" s="4">
        <v>3</v>
      </c>
      <c r="N508" s="4" t="s">
        <v>3</v>
      </c>
      <c r="O508" s="4">
        <v>2</v>
      </c>
      <c r="P508" s="4"/>
      <c r="Q508" s="4"/>
      <c r="R508" s="4"/>
      <c r="S508" s="4"/>
      <c r="T508" s="4"/>
      <c r="U508" s="4"/>
      <c r="V508" s="4"/>
      <c r="W508" s="4"/>
    </row>
    <row r="509" spans="1:245" x14ac:dyDescent="0.2">
      <c r="A509" s="4">
        <v>50</v>
      </c>
      <c r="B509" s="4">
        <v>0</v>
      </c>
      <c r="C509" s="4">
        <v>0</v>
      </c>
      <c r="D509" s="4">
        <v>1</v>
      </c>
      <c r="E509" s="4">
        <v>222</v>
      </c>
      <c r="F509" s="4">
        <f>ROUND(Source!AO505,O509)</f>
        <v>0</v>
      </c>
      <c r="G509" s="4" t="s">
        <v>122</v>
      </c>
      <c r="H509" s="4" t="s">
        <v>123</v>
      </c>
      <c r="I509" s="4"/>
      <c r="J509" s="4"/>
      <c r="K509" s="4">
        <v>222</v>
      </c>
      <c r="L509" s="4">
        <v>3</v>
      </c>
      <c r="M509" s="4">
        <v>3</v>
      </c>
      <c r="N509" s="4" t="s">
        <v>3</v>
      </c>
      <c r="O509" s="4">
        <v>2</v>
      </c>
      <c r="P509" s="4"/>
      <c r="Q509" s="4"/>
      <c r="R509" s="4"/>
      <c r="S509" s="4"/>
      <c r="T509" s="4"/>
      <c r="U509" s="4"/>
      <c r="V509" s="4"/>
      <c r="W509" s="4"/>
    </row>
    <row r="510" spans="1:245" x14ac:dyDescent="0.2">
      <c r="A510" s="4">
        <v>50</v>
      </c>
      <c r="B510" s="4">
        <v>0</v>
      </c>
      <c r="C510" s="4">
        <v>0</v>
      </c>
      <c r="D510" s="4">
        <v>1</v>
      </c>
      <c r="E510" s="4">
        <v>225</v>
      </c>
      <c r="F510" s="4">
        <f>ROUND(Source!AV505,O510)</f>
        <v>0</v>
      </c>
      <c r="G510" s="4" t="s">
        <v>124</v>
      </c>
      <c r="H510" s="4" t="s">
        <v>125</v>
      </c>
      <c r="I510" s="4"/>
      <c r="J510" s="4"/>
      <c r="K510" s="4">
        <v>225</v>
      </c>
      <c r="L510" s="4">
        <v>4</v>
      </c>
      <c r="M510" s="4">
        <v>3</v>
      </c>
      <c r="N510" s="4" t="s">
        <v>3</v>
      </c>
      <c r="O510" s="4">
        <v>2</v>
      </c>
      <c r="P510" s="4"/>
      <c r="Q510" s="4"/>
      <c r="R510" s="4"/>
      <c r="S510" s="4"/>
      <c r="T510" s="4"/>
      <c r="U510" s="4"/>
      <c r="V510" s="4"/>
      <c r="W510" s="4"/>
    </row>
    <row r="511" spans="1:245" x14ac:dyDescent="0.2">
      <c r="A511" s="4">
        <v>50</v>
      </c>
      <c r="B511" s="4">
        <v>0</v>
      </c>
      <c r="C511" s="4">
        <v>0</v>
      </c>
      <c r="D511" s="4">
        <v>1</v>
      </c>
      <c r="E511" s="4">
        <v>226</v>
      </c>
      <c r="F511" s="4">
        <f>ROUND(Source!AW505,O511)</f>
        <v>0</v>
      </c>
      <c r="G511" s="4" t="s">
        <v>126</v>
      </c>
      <c r="H511" s="4" t="s">
        <v>127</v>
      </c>
      <c r="I511" s="4"/>
      <c r="J511" s="4"/>
      <c r="K511" s="4">
        <v>226</v>
      </c>
      <c r="L511" s="4">
        <v>5</v>
      </c>
      <c r="M511" s="4">
        <v>3</v>
      </c>
      <c r="N511" s="4" t="s">
        <v>3</v>
      </c>
      <c r="O511" s="4">
        <v>2</v>
      </c>
      <c r="P511" s="4"/>
      <c r="Q511" s="4"/>
      <c r="R511" s="4"/>
      <c r="S511" s="4"/>
      <c r="T511" s="4"/>
      <c r="U511" s="4"/>
      <c r="V511" s="4"/>
      <c r="W511" s="4"/>
    </row>
    <row r="512" spans="1:245" x14ac:dyDescent="0.2">
      <c r="A512" s="4">
        <v>50</v>
      </c>
      <c r="B512" s="4">
        <v>0</v>
      </c>
      <c r="C512" s="4">
        <v>0</v>
      </c>
      <c r="D512" s="4">
        <v>1</v>
      </c>
      <c r="E512" s="4">
        <v>227</v>
      </c>
      <c r="F512" s="4">
        <f>ROUND(Source!AX505,O512)</f>
        <v>0</v>
      </c>
      <c r="G512" s="4" t="s">
        <v>128</v>
      </c>
      <c r="H512" s="4" t="s">
        <v>129</v>
      </c>
      <c r="I512" s="4"/>
      <c r="J512" s="4"/>
      <c r="K512" s="4">
        <v>227</v>
      </c>
      <c r="L512" s="4">
        <v>6</v>
      </c>
      <c r="M512" s="4">
        <v>3</v>
      </c>
      <c r="N512" s="4" t="s">
        <v>3</v>
      </c>
      <c r="O512" s="4">
        <v>2</v>
      </c>
      <c r="P512" s="4"/>
      <c r="Q512" s="4"/>
      <c r="R512" s="4"/>
      <c r="S512" s="4"/>
      <c r="T512" s="4"/>
      <c r="U512" s="4"/>
      <c r="V512" s="4"/>
      <c r="W512" s="4"/>
    </row>
    <row r="513" spans="1:23" x14ac:dyDescent="0.2">
      <c r="A513" s="4">
        <v>50</v>
      </c>
      <c r="B513" s="4">
        <v>0</v>
      </c>
      <c r="C513" s="4">
        <v>0</v>
      </c>
      <c r="D513" s="4">
        <v>1</v>
      </c>
      <c r="E513" s="4">
        <v>228</v>
      </c>
      <c r="F513" s="4">
        <f>ROUND(Source!AY505,O513)</f>
        <v>0</v>
      </c>
      <c r="G513" s="4" t="s">
        <v>130</v>
      </c>
      <c r="H513" s="4" t="s">
        <v>131</v>
      </c>
      <c r="I513" s="4"/>
      <c r="J513" s="4"/>
      <c r="K513" s="4">
        <v>228</v>
      </c>
      <c r="L513" s="4">
        <v>7</v>
      </c>
      <c r="M513" s="4">
        <v>3</v>
      </c>
      <c r="N513" s="4" t="s">
        <v>3</v>
      </c>
      <c r="O513" s="4">
        <v>2</v>
      </c>
      <c r="P513" s="4"/>
      <c r="Q513" s="4"/>
      <c r="R513" s="4"/>
      <c r="S513" s="4"/>
      <c r="T513" s="4"/>
      <c r="U513" s="4"/>
      <c r="V513" s="4"/>
      <c r="W513" s="4"/>
    </row>
    <row r="514" spans="1:23" x14ac:dyDescent="0.2">
      <c r="A514" s="4">
        <v>50</v>
      </c>
      <c r="B514" s="4">
        <v>0</v>
      </c>
      <c r="C514" s="4">
        <v>0</v>
      </c>
      <c r="D514" s="4">
        <v>1</v>
      </c>
      <c r="E514" s="4">
        <v>216</v>
      </c>
      <c r="F514" s="4">
        <f>ROUND(Source!AP505,O514)</f>
        <v>0</v>
      </c>
      <c r="G514" s="4" t="s">
        <v>132</v>
      </c>
      <c r="H514" s="4" t="s">
        <v>133</v>
      </c>
      <c r="I514" s="4"/>
      <c r="J514" s="4"/>
      <c r="K514" s="4">
        <v>216</v>
      </c>
      <c r="L514" s="4">
        <v>8</v>
      </c>
      <c r="M514" s="4">
        <v>3</v>
      </c>
      <c r="N514" s="4" t="s">
        <v>3</v>
      </c>
      <c r="O514" s="4">
        <v>2</v>
      </c>
      <c r="P514" s="4"/>
      <c r="Q514" s="4"/>
      <c r="R514" s="4"/>
      <c r="S514" s="4"/>
      <c r="T514" s="4"/>
      <c r="U514" s="4"/>
      <c r="V514" s="4"/>
      <c r="W514" s="4"/>
    </row>
    <row r="515" spans="1:23" x14ac:dyDescent="0.2">
      <c r="A515" s="4">
        <v>50</v>
      </c>
      <c r="B515" s="4">
        <v>0</v>
      </c>
      <c r="C515" s="4">
        <v>0</v>
      </c>
      <c r="D515" s="4">
        <v>1</v>
      </c>
      <c r="E515" s="4">
        <v>223</v>
      </c>
      <c r="F515" s="4">
        <f>ROUND(Source!AQ505,O515)</f>
        <v>0</v>
      </c>
      <c r="G515" s="4" t="s">
        <v>134</v>
      </c>
      <c r="H515" s="4" t="s">
        <v>135</v>
      </c>
      <c r="I515" s="4"/>
      <c r="J515" s="4"/>
      <c r="K515" s="4">
        <v>223</v>
      </c>
      <c r="L515" s="4">
        <v>9</v>
      </c>
      <c r="M515" s="4">
        <v>3</v>
      </c>
      <c r="N515" s="4" t="s">
        <v>3</v>
      </c>
      <c r="O515" s="4">
        <v>2</v>
      </c>
      <c r="P515" s="4"/>
      <c r="Q515" s="4"/>
      <c r="R515" s="4"/>
      <c r="S515" s="4"/>
      <c r="T515" s="4"/>
      <c r="U515" s="4"/>
      <c r="V515" s="4"/>
      <c r="W515" s="4"/>
    </row>
    <row r="516" spans="1:23" x14ac:dyDescent="0.2">
      <c r="A516" s="4">
        <v>50</v>
      </c>
      <c r="B516" s="4">
        <v>0</v>
      </c>
      <c r="C516" s="4">
        <v>0</v>
      </c>
      <c r="D516" s="4">
        <v>1</v>
      </c>
      <c r="E516" s="4">
        <v>229</v>
      </c>
      <c r="F516" s="4">
        <f>ROUND(Source!AZ505,O516)</f>
        <v>0</v>
      </c>
      <c r="G516" s="4" t="s">
        <v>136</v>
      </c>
      <c r="H516" s="4" t="s">
        <v>137</v>
      </c>
      <c r="I516" s="4"/>
      <c r="J516" s="4"/>
      <c r="K516" s="4">
        <v>229</v>
      </c>
      <c r="L516" s="4">
        <v>10</v>
      </c>
      <c r="M516" s="4">
        <v>3</v>
      </c>
      <c r="N516" s="4" t="s">
        <v>3</v>
      </c>
      <c r="O516" s="4">
        <v>2</v>
      </c>
      <c r="P516" s="4"/>
      <c r="Q516" s="4"/>
      <c r="R516" s="4"/>
      <c r="S516" s="4"/>
      <c r="T516" s="4"/>
      <c r="U516" s="4"/>
      <c r="V516" s="4"/>
      <c r="W516" s="4"/>
    </row>
    <row r="517" spans="1:23" x14ac:dyDescent="0.2">
      <c r="A517" s="4">
        <v>50</v>
      </c>
      <c r="B517" s="4">
        <v>0</v>
      </c>
      <c r="C517" s="4">
        <v>0</v>
      </c>
      <c r="D517" s="4">
        <v>1</v>
      </c>
      <c r="E517" s="4">
        <v>203</v>
      </c>
      <c r="F517" s="4">
        <f>ROUND(Source!Q505,O517)</f>
        <v>129057.55</v>
      </c>
      <c r="G517" s="4" t="s">
        <v>138</v>
      </c>
      <c r="H517" s="4" t="s">
        <v>139</v>
      </c>
      <c r="I517" s="4"/>
      <c r="J517" s="4"/>
      <c r="K517" s="4">
        <v>203</v>
      </c>
      <c r="L517" s="4">
        <v>11</v>
      </c>
      <c r="M517" s="4">
        <v>3</v>
      </c>
      <c r="N517" s="4" t="s">
        <v>3</v>
      </c>
      <c r="O517" s="4">
        <v>2</v>
      </c>
      <c r="P517" s="4"/>
      <c r="Q517" s="4"/>
      <c r="R517" s="4"/>
      <c r="S517" s="4"/>
      <c r="T517" s="4"/>
      <c r="U517" s="4"/>
      <c r="V517" s="4"/>
      <c r="W517" s="4"/>
    </row>
    <row r="518" spans="1:23" x14ac:dyDescent="0.2">
      <c r="A518" s="4">
        <v>50</v>
      </c>
      <c r="B518" s="4">
        <v>0</v>
      </c>
      <c r="C518" s="4">
        <v>0</v>
      </c>
      <c r="D518" s="4">
        <v>1</v>
      </c>
      <c r="E518" s="4">
        <v>231</v>
      </c>
      <c r="F518" s="4">
        <f>ROUND(Source!BB505,O518)</f>
        <v>0</v>
      </c>
      <c r="G518" s="4" t="s">
        <v>140</v>
      </c>
      <c r="H518" s="4" t="s">
        <v>141</v>
      </c>
      <c r="I518" s="4"/>
      <c r="J518" s="4"/>
      <c r="K518" s="4">
        <v>231</v>
      </c>
      <c r="L518" s="4">
        <v>12</v>
      </c>
      <c r="M518" s="4">
        <v>3</v>
      </c>
      <c r="N518" s="4" t="s">
        <v>3</v>
      </c>
      <c r="O518" s="4">
        <v>2</v>
      </c>
      <c r="P518" s="4"/>
      <c r="Q518" s="4"/>
      <c r="R518" s="4"/>
      <c r="S518" s="4"/>
      <c r="T518" s="4"/>
      <c r="U518" s="4"/>
      <c r="V518" s="4"/>
      <c r="W518" s="4"/>
    </row>
    <row r="519" spans="1:23" x14ac:dyDescent="0.2">
      <c r="A519" s="4">
        <v>50</v>
      </c>
      <c r="B519" s="4">
        <v>0</v>
      </c>
      <c r="C519" s="4">
        <v>0</v>
      </c>
      <c r="D519" s="4">
        <v>1</v>
      </c>
      <c r="E519" s="4">
        <v>204</v>
      </c>
      <c r="F519" s="4">
        <f>ROUND(Source!R505,O519)</f>
        <v>67146.62</v>
      </c>
      <c r="G519" s="4" t="s">
        <v>142</v>
      </c>
      <c r="H519" s="4" t="s">
        <v>143</v>
      </c>
      <c r="I519" s="4"/>
      <c r="J519" s="4"/>
      <c r="K519" s="4">
        <v>204</v>
      </c>
      <c r="L519" s="4">
        <v>13</v>
      </c>
      <c r="M519" s="4">
        <v>3</v>
      </c>
      <c r="N519" s="4" t="s">
        <v>3</v>
      </c>
      <c r="O519" s="4">
        <v>2</v>
      </c>
      <c r="P519" s="4"/>
      <c r="Q519" s="4"/>
      <c r="R519" s="4"/>
      <c r="S519" s="4"/>
      <c r="T519" s="4"/>
      <c r="U519" s="4"/>
      <c r="V519" s="4"/>
      <c r="W519" s="4"/>
    </row>
    <row r="520" spans="1:23" x14ac:dyDescent="0.2">
      <c r="A520" s="4">
        <v>50</v>
      </c>
      <c r="B520" s="4">
        <v>0</v>
      </c>
      <c r="C520" s="4">
        <v>0</v>
      </c>
      <c r="D520" s="4">
        <v>1</v>
      </c>
      <c r="E520" s="4">
        <v>205</v>
      </c>
      <c r="F520" s="4">
        <f>ROUND(Source!S505,O520)</f>
        <v>2245.56</v>
      </c>
      <c r="G520" s="4" t="s">
        <v>144</v>
      </c>
      <c r="H520" s="4" t="s">
        <v>145</v>
      </c>
      <c r="I520" s="4"/>
      <c r="J520" s="4"/>
      <c r="K520" s="4">
        <v>205</v>
      </c>
      <c r="L520" s="4">
        <v>14</v>
      </c>
      <c r="M520" s="4">
        <v>3</v>
      </c>
      <c r="N520" s="4" t="s">
        <v>3</v>
      </c>
      <c r="O520" s="4">
        <v>2</v>
      </c>
      <c r="P520" s="4"/>
      <c r="Q520" s="4"/>
      <c r="R520" s="4"/>
      <c r="S520" s="4"/>
      <c r="T520" s="4"/>
      <c r="U520" s="4"/>
      <c r="V520" s="4"/>
      <c r="W520" s="4"/>
    </row>
    <row r="521" spans="1:23" x14ac:dyDescent="0.2">
      <c r="A521" s="4">
        <v>50</v>
      </c>
      <c r="B521" s="4">
        <v>0</v>
      </c>
      <c r="C521" s="4">
        <v>0</v>
      </c>
      <c r="D521" s="4">
        <v>1</v>
      </c>
      <c r="E521" s="4">
        <v>232</v>
      </c>
      <c r="F521" s="4">
        <f>ROUND(Source!BC505,O521)</f>
        <v>0</v>
      </c>
      <c r="G521" s="4" t="s">
        <v>146</v>
      </c>
      <c r="H521" s="4" t="s">
        <v>147</v>
      </c>
      <c r="I521" s="4"/>
      <c r="J521" s="4"/>
      <c r="K521" s="4">
        <v>232</v>
      </c>
      <c r="L521" s="4">
        <v>15</v>
      </c>
      <c r="M521" s="4">
        <v>3</v>
      </c>
      <c r="N521" s="4" t="s">
        <v>3</v>
      </c>
      <c r="O521" s="4">
        <v>2</v>
      </c>
      <c r="P521" s="4"/>
      <c r="Q521" s="4"/>
      <c r="R521" s="4"/>
      <c r="S521" s="4"/>
      <c r="T521" s="4"/>
      <c r="U521" s="4"/>
      <c r="V521" s="4"/>
      <c r="W521" s="4"/>
    </row>
    <row r="522" spans="1:23" x14ac:dyDescent="0.2">
      <c r="A522" s="4">
        <v>50</v>
      </c>
      <c r="B522" s="4">
        <v>0</v>
      </c>
      <c r="C522" s="4">
        <v>0</v>
      </c>
      <c r="D522" s="4">
        <v>1</v>
      </c>
      <c r="E522" s="4">
        <v>214</v>
      </c>
      <c r="F522" s="4">
        <f>ROUND(Source!AS505,O522)</f>
        <v>0</v>
      </c>
      <c r="G522" s="4" t="s">
        <v>148</v>
      </c>
      <c r="H522" s="4" t="s">
        <v>149</v>
      </c>
      <c r="I522" s="4"/>
      <c r="J522" s="4"/>
      <c r="K522" s="4">
        <v>214</v>
      </c>
      <c r="L522" s="4">
        <v>16</v>
      </c>
      <c r="M522" s="4">
        <v>3</v>
      </c>
      <c r="N522" s="4" t="s">
        <v>3</v>
      </c>
      <c r="O522" s="4">
        <v>2</v>
      </c>
      <c r="P522" s="4"/>
      <c r="Q522" s="4"/>
      <c r="R522" s="4"/>
      <c r="S522" s="4"/>
      <c r="T522" s="4"/>
      <c r="U522" s="4"/>
      <c r="V522" s="4"/>
      <c r="W522" s="4"/>
    </row>
    <row r="523" spans="1:23" x14ac:dyDescent="0.2">
      <c r="A523" s="4">
        <v>50</v>
      </c>
      <c r="B523" s="4">
        <v>0</v>
      </c>
      <c r="C523" s="4">
        <v>0</v>
      </c>
      <c r="D523" s="4">
        <v>1</v>
      </c>
      <c r="E523" s="4">
        <v>215</v>
      </c>
      <c r="F523" s="4">
        <f>ROUND(Source!AT505,O523)</f>
        <v>0</v>
      </c>
      <c r="G523" s="4" t="s">
        <v>150</v>
      </c>
      <c r="H523" s="4" t="s">
        <v>151</v>
      </c>
      <c r="I523" s="4"/>
      <c r="J523" s="4"/>
      <c r="K523" s="4">
        <v>215</v>
      </c>
      <c r="L523" s="4">
        <v>17</v>
      </c>
      <c r="M523" s="4">
        <v>3</v>
      </c>
      <c r="N523" s="4" t="s">
        <v>3</v>
      </c>
      <c r="O523" s="4">
        <v>2</v>
      </c>
      <c r="P523" s="4"/>
      <c r="Q523" s="4"/>
      <c r="R523" s="4"/>
      <c r="S523" s="4"/>
      <c r="T523" s="4"/>
      <c r="U523" s="4"/>
      <c r="V523" s="4"/>
      <c r="W523" s="4"/>
    </row>
    <row r="524" spans="1:23" x14ac:dyDescent="0.2">
      <c r="A524" s="4">
        <v>50</v>
      </c>
      <c r="B524" s="4">
        <v>0</v>
      </c>
      <c r="C524" s="4">
        <v>0</v>
      </c>
      <c r="D524" s="4">
        <v>1</v>
      </c>
      <c r="E524" s="4">
        <v>217</v>
      </c>
      <c r="F524" s="4">
        <f>ROUND(Source!AU505,O524)</f>
        <v>140099.22</v>
      </c>
      <c r="G524" s="4" t="s">
        <v>152</v>
      </c>
      <c r="H524" s="4" t="s">
        <v>153</v>
      </c>
      <c r="I524" s="4"/>
      <c r="J524" s="4"/>
      <c r="K524" s="4">
        <v>217</v>
      </c>
      <c r="L524" s="4">
        <v>18</v>
      </c>
      <c r="M524" s="4">
        <v>3</v>
      </c>
      <c r="N524" s="4" t="s">
        <v>3</v>
      </c>
      <c r="O524" s="4">
        <v>2</v>
      </c>
      <c r="P524" s="4"/>
      <c r="Q524" s="4"/>
      <c r="R524" s="4"/>
      <c r="S524" s="4"/>
      <c r="T524" s="4"/>
      <c r="U524" s="4"/>
      <c r="V524" s="4"/>
      <c r="W524" s="4"/>
    </row>
    <row r="525" spans="1:23" x14ac:dyDescent="0.2">
      <c r="A525" s="4">
        <v>50</v>
      </c>
      <c r="B525" s="4">
        <v>0</v>
      </c>
      <c r="C525" s="4">
        <v>0</v>
      </c>
      <c r="D525" s="4">
        <v>1</v>
      </c>
      <c r="E525" s="4">
        <v>230</v>
      </c>
      <c r="F525" s="4">
        <f>ROUND(Source!BA505,O525)</f>
        <v>0</v>
      </c>
      <c r="G525" s="4" t="s">
        <v>154</v>
      </c>
      <c r="H525" s="4" t="s">
        <v>155</v>
      </c>
      <c r="I525" s="4"/>
      <c r="J525" s="4"/>
      <c r="K525" s="4">
        <v>230</v>
      </c>
      <c r="L525" s="4">
        <v>19</v>
      </c>
      <c r="M525" s="4">
        <v>3</v>
      </c>
      <c r="N525" s="4" t="s">
        <v>3</v>
      </c>
      <c r="O525" s="4">
        <v>2</v>
      </c>
      <c r="P525" s="4"/>
      <c r="Q525" s="4"/>
      <c r="R525" s="4"/>
      <c r="S525" s="4"/>
      <c r="T525" s="4"/>
      <c r="U525" s="4"/>
      <c r="V525" s="4"/>
      <c r="W525" s="4"/>
    </row>
    <row r="526" spans="1:23" x14ac:dyDescent="0.2">
      <c r="A526" s="4">
        <v>50</v>
      </c>
      <c r="B526" s="4">
        <v>0</v>
      </c>
      <c r="C526" s="4">
        <v>0</v>
      </c>
      <c r="D526" s="4">
        <v>1</v>
      </c>
      <c r="E526" s="4">
        <v>206</v>
      </c>
      <c r="F526" s="4">
        <f>ROUND(Source!T505,O526)</f>
        <v>0</v>
      </c>
      <c r="G526" s="4" t="s">
        <v>156</v>
      </c>
      <c r="H526" s="4" t="s">
        <v>157</v>
      </c>
      <c r="I526" s="4"/>
      <c r="J526" s="4"/>
      <c r="K526" s="4">
        <v>206</v>
      </c>
      <c r="L526" s="4">
        <v>20</v>
      </c>
      <c r="M526" s="4">
        <v>3</v>
      </c>
      <c r="N526" s="4" t="s">
        <v>3</v>
      </c>
      <c r="O526" s="4">
        <v>2</v>
      </c>
      <c r="P526" s="4"/>
      <c r="Q526" s="4"/>
      <c r="R526" s="4"/>
      <c r="S526" s="4"/>
      <c r="T526" s="4"/>
      <c r="U526" s="4"/>
      <c r="V526" s="4"/>
      <c r="W526" s="4"/>
    </row>
    <row r="527" spans="1:23" x14ac:dyDescent="0.2">
      <c r="A527" s="4">
        <v>50</v>
      </c>
      <c r="B527" s="4">
        <v>0</v>
      </c>
      <c r="C527" s="4">
        <v>0</v>
      </c>
      <c r="D527" s="4">
        <v>1</v>
      </c>
      <c r="E527" s="4">
        <v>207</v>
      </c>
      <c r="F527" s="4">
        <f>Source!U505</f>
        <v>9.1168999999999993</v>
      </c>
      <c r="G527" s="4" t="s">
        <v>158</v>
      </c>
      <c r="H527" s="4" t="s">
        <v>159</v>
      </c>
      <c r="I527" s="4"/>
      <c r="J527" s="4"/>
      <c r="K527" s="4">
        <v>207</v>
      </c>
      <c r="L527" s="4">
        <v>21</v>
      </c>
      <c r="M527" s="4">
        <v>3</v>
      </c>
      <c r="N527" s="4" t="s">
        <v>3</v>
      </c>
      <c r="O527" s="4">
        <v>-1</v>
      </c>
      <c r="P527" s="4"/>
      <c r="Q527" s="4"/>
      <c r="R527" s="4"/>
      <c r="S527" s="4"/>
      <c r="T527" s="4"/>
      <c r="U527" s="4"/>
      <c r="V527" s="4"/>
      <c r="W527" s="4"/>
    </row>
    <row r="528" spans="1:23" x14ac:dyDescent="0.2">
      <c r="A528" s="4">
        <v>50</v>
      </c>
      <c r="B528" s="4">
        <v>0</v>
      </c>
      <c r="C528" s="4">
        <v>0</v>
      </c>
      <c r="D528" s="4">
        <v>1</v>
      </c>
      <c r="E528" s="4">
        <v>208</v>
      </c>
      <c r="F528" s="4">
        <f>Source!V505</f>
        <v>0</v>
      </c>
      <c r="G528" s="4" t="s">
        <v>160</v>
      </c>
      <c r="H528" s="4" t="s">
        <v>161</v>
      </c>
      <c r="I528" s="4"/>
      <c r="J528" s="4"/>
      <c r="K528" s="4">
        <v>208</v>
      </c>
      <c r="L528" s="4">
        <v>22</v>
      </c>
      <c r="M528" s="4">
        <v>3</v>
      </c>
      <c r="N528" s="4" t="s">
        <v>3</v>
      </c>
      <c r="O528" s="4">
        <v>-1</v>
      </c>
      <c r="P528" s="4"/>
      <c r="Q528" s="4"/>
      <c r="R528" s="4"/>
      <c r="S528" s="4"/>
      <c r="T528" s="4"/>
      <c r="U528" s="4"/>
      <c r="V528" s="4"/>
      <c r="W528" s="4"/>
    </row>
    <row r="529" spans="1:206" x14ac:dyDescent="0.2">
      <c r="A529" s="4">
        <v>50</v>
      </c>
      <c r="B529" s="4">
        <v>0</v>
      </c>
      <c r="C529" s="4">
        <v>0</v>
      </c>
      <c r="D529" s="4">
        <v>1</v>
      </c>
      <c r="E529" s="4">
        <v>209</v>
      </c>
      <c r="F529" s="4">
        <f>ROUND(Source!W505,O529)</f>
        <v>0</v>
      </c>
      <c r="G529" s="4" t="s">
        <v>162</v>
      </c>
      <c r="H529" s="4" t="s">
        <v>163</v>
      </c>
      <c r="I529" s="4"/>
      <c r="J529" s="4"/>
      <c r="K529" s="4">
        <v>209</v>
      </c>
      <c r="L529" s="4">
        <v>23</v>
      </c>
      <c r="M529" s="4">
        <v>3</v>
      </c>
      <c r="N529" s="4" t="s">
        <v>3</v>
      </c>
      <c r="O529" s="4">
        <v>2</v>
      </c>
      <c r="P529" s="4"/>
      <c r="Q529" s="4"/>
      <c r="R529" s="4"/>
      <c r="S529" s="4"/>
      <c r="T529" s="4"/>
      <c r="U529" s="4"/>
      <c r="V529" s="4"/>
      <c r="W529" s="4"/>
    </row>
    <row r="530" spans="1:206" x14ac:dyDescent="0.2">
      <c r="A530" s="4">
        <v>50</v>
      </c>
      <c r="B530" s="4">
        <v>0</v>
      </c>
      <c r="C530" s="4">
        <v>0</v>
      </c>
      <c r="D530" s="4">
        <v>1</v>
      </c>
      <c r="E530" s="4">
        <v>233</v>
      </c>
      <c r="F530" s="4">
        <f>ROUND(Source!BD505,O530)</f>
        <v>0</v>
      </c>
      <c r="G530" s="4" t="s">
        <v>164</v>
      </c>
      <c r="H530" s="4" t="s">
        <v>165</v>
      </c>
      <c r="I530" s="4"/>
      <c r="J530" s="4"/>
      <c r="K530" s="4">
        <v>233</v>
      </c>
      <c r="L530" s="4">
        <v>24</v>
      </c>
      <c r="M530" s="4">
        <v>3</v>
      </c>
      <c r="N530" s="4" t="s">
        <v>3</v>
      </c>
      <c r="O530" s="4">
        <v>2</v>
      </c>
      <c r="P530" s="4"/>
      <c r="Q530" s="4"/>
      <c r="R530" s="4"/>
      <c r="S530" s="4"/>
      <c r="T530" s="4"/>
      <c r="U530" s="4"/>
      <c r="V530" s="4"/>
      <c r="W530" s="4"/>
    </row>
    <row r="531" spans="1:206" x14ac:dyDescent="0.2">
      <c r="A531" s="4">
        <v>50</v>
      </c>
      <c r="B531" s="4">
        <v>0</v>
      </c>
      <c r="C531" s="4">
        <v>0</v>
      </c>
      <c r="D531" s="4">
        <v>1</v>
      </c>
      <c r="E531" s="4">
        <v>210</v>
      </c>
      <c r="F531" s="4">
        <f>ROUND(Source!X505,O531)</f>
        <v>1571.89</v>
      </c>
      <c r="G531" s="4" t="s">
        <v>166</v>
      </c>
      <c r="H531" s="4" t="s">
        <v>167</v>
      </c>
      <c r="I531" s="4"/>
      <c r="J531" s="4"/>
      <c r="K531" s="4">
        <v>210</v>
      </c>
      <c r="L531" s="4">
        <v>25</v>
      </c>
      <c r="M531" s="4">
        <v>3</v>
      </c>
      <c r="N531" s="4" t="s">
        <v>3</v>
      </c>
      <c r="O531" s="4">
        <v>2</v>
      </c>
      <c r="P531" s="4"/>
      <c r="Q531" s="4"/>
      <c r="R531" s="4"/>
      <c r="S531" s="4"/>
      <c r="T531" s="4"/>
      <c r="U531" s="4"/>
      <c r="V531" s="4"/>
      <c r="W531" s="4"/>
    </row>
    <row r="532" spans="1:206" x14ac:dyDescent="0.2">
      <c r="A532" s="4">
        <v>50</v>
      </c>
      <c r="B532" s="4">
        <v>0</v>
      </c>
      <c r="C532" s="4">
        <v>0</v>
      </c>
      <c r="D532" s="4">
        <v>1</v>
      </c>
      <c r="E532" s="4">
        <v>211</v>
      </c>
      <c r="F532" s="4">
        <f>ROUND(Source!Y505,O532)</f>
        <v>224.56</v>
      </c>
      <c r="G532" s="4" t="s">
        <v>168</v>
      </c>
      <c r="H532" s="4" t="s">
        <v>169</v>
      </c>
      <c r="I532" s="4"/>
      <c r="J532" s="4"/>
      <c r="K532" s="4">
        <v>211</v>
      </c>
      <c r="L532" s="4">
        <v>26</v>
      </c>
      <c r="M532" s="4">
        <v>3</v>
      </c>
      <c r="N532" s="4" t="s">
        <v>3</v>
      </c>
      <c r="O532" s="4">
        <v>2</v>
      </c>
      <c r="P532" s="4"/>
      <c r="Q532" s="4"/>
      <c r="R532" s="4"/>
      <c r="S532" s="4"/>
      <c r="T532" s="4"/>
      <c r="U532" s="4"/>
      <c r="V532" s="4"/>
      <c r="W532" s="4"/>
    </row>
    <row r="533" spans="1:206" x14ac:dyDescent="0.2">
      <c r="A533" s="4">
        <v>50</v>
      </c>
      <c r="B533" s="4">
        <v>0</v>
      </c>
      <c r="C533" s="4">
        <v>0</v>
      </c>
      <c r="D533" s="4">
        <v>1</v>
      </c>
      <c r="E533" s="4">
        <v>224</v>
      </c>
      <c r="F533" s="4">
        <f>ROUND(Source!AR505,O533)</f>
        <v>140099.22</v>
      </c>
      <c r="G533" s="4" t="s">
        <v>170</v>
      </c>
      <c r="H533" s="4" t="s">
        <v>171</v>
      </c>
      <c r="I533" s="4"/>
      <c r="J533" s="4"/>
      <c r="K533" s="4">
        <v>224</v>
      </c>
      <c r="L533" s="4">
        <v>27</v>
      </c>
      <c r="M533" s="4">
        <v>3</v>
      </c>
      <c r="N533" s="4" t="s">
        <v>3</v>
      </c>
      <c r="O533" s="4">
        <v>2</v>
      </c>
      <c r="P533" s="4"/>
      <c r="Q533" s="4"/>
      <c r="R533" s="4"/>
      <c r="S533" s="4"/>
      <c r="T533" s="4"/>
      <c r="U533" s="4"/>
      <c r="V533" s="4"/>
      <c r="W533" s="4"/>
    </row>
    <row r="535" spans="1:206" x14ac:dyDescent="0.2">
      <c r="A535" s="2">
        <v>51</v>
      </c>
      <c r="B535" s="2">
        <f>B24</f>
        <v>1</v>
      </c>
      <c r="C535" s="2">
        <f>A24</f>
        <v>4</v>
      </c>
      <c r="D535" s="2">
        <f>ROW(A24)</f>
        <v>24</v>
      </c>
      <c r="E535" s="2"/>
      <c r="F535" s="2" t="str">
        <f>IF(F24&lt;&gt;"",F24,"")</f>
        <v>Новый раздел</v>
      </c>
      <c r="G535" s="2" t="str">
        <f>IF(G24&lt;&gt;"",G24,"")</f>
        <v>Детский сад ул. Чоботовская д 7</v>
      </c>
      <c r="H535" s="2">
        <v>0</v>
      </c>
      <c r="I535" s="2"/>
      <c r="J535" s="2"/>
      <c r="K535" s="2"/>
      <c r="L535" s="2"/>
      <c r="M535" s="2"/>
      <c r="N535" s="2"/>
      <c r="O535" s="2">
        <f t="shared" ref="O535:T535" si="462">ROUND(O56+O117+O173+O229+O289+O327+O373+O418+O464+O505+AB535,2)</f>
        <v>2487923.0099999998</v>
      </c>
      <c r="P535" s="2">
        <f t="shared" si="462"/>
        <v>2049809.3</v>
      </c>
      <c r="Q535" s="2">
        <f t="shared" si="462"/>
        <v>197380.22</v>
      </c>
      <c r="R535" s="2">
        <f t="shared" si="462"/>
        <v>103360.22</v>
      </c>
      <c r="S535" s="2">
        <f t="shared" si="462"/>
        <v>240733.49</v>
      </c>
      <c r="T535" s="2">
        <f t="shared" si="462"/>
        <v>0</v>
      </c>
      <c r="U535" s="2">
        <f>U56+U117+U173+U229+U289+U327+U373+U418+U464+U505+AH535</f>
        <v>1105.6031759999998</v>
      </c>
      <c r="V535" s="2">
        <f>V56+V117+V173+V229+V289+V327+V373+V418+V464+V505+AI535</f>
        <v>0</v>
      </c>
      <c r="W535" s="2">
        <f>ROUND(W56+W117+W173+W229+W289+W327+W373+W418+W464+W505+AJ535,2)</f>
        <v>0</v>
      </c>
      <c r="X535" s="2">
        <f>ROUND(X56+X117+X173+X229+X289+X327+X373+X418+X464+X505+AK535,2)</f>
        <v>168513.47</v>
      </c>
      <c r="Y535" s="2">
        <f>ROUND(Y56+Y117+Y173+Y229+Y289+Y327+Y373+Y418+Y464+Y505+AL535,2)</f>
        <v>24073.38</v>
      </c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>
        <f t="shared" ref="AO535:BD535" si="463">ROUND(AO56+AO117+AO173+AO229+AO289+AO327+AO373+AO418+AO464+AO505+BX535,2)</f>
        <v>0</v>
      </c>
      <c r="AP535" s="2">
        <f t="shared" si="463"/>
        <v>0</v>
      </c>
      <c r="AQ535" s="2">
        <f t="shared" si="463"/>
        <v>0</v>
      </c>
      <c r="AR535" s="2">
        <f t="shared" si="463"/>
        <v>2726620.19</v>
      </c>
      <c r="AS535" s="2">
        <f t="shared" si="463"/>
        <v>0</v>
      </c>
      <c r="AT535" s="2">
        <f t="shared" si="463"/>
        <v>0</v>
      </c>
      <c r="AU535" s="2">
        <f t="shared" si="463"/>
        <v>2726620.19</v>
      </c>
      <c r="AV535" s="2">
        <f t="shared" si="463"/>
        <v>2049809.3</v>
      </c>
      <c r="AW535" s="2">
        <f t="shared" si="463"/>
        <v>2049809.3</v>
      </c>
      <c r="AX535" s="2">
        <f t="shared" si="463"/>
        <v>0</v>
      </c>
      <c r="AY535" s="2">
        <f t="shared" si="463"/>
        <v>2049809.3</v>
      </c>
      <c r="AZ535" s="2">
        <f t="shared" si="463"/>
        <v>0</v>
      </c>
      <c r="BA535" s="2">
        <f t="shared" si="463"/>
        <v>0</v>
      </c>
      <c r="BB535" s="2">
        <f t="shared" si="463"/>
        <v>0</v>
      </c>
      <c r="BC535" s="2">
        <f t="shared" si="463"/>
        <v>0</v>
      </c>
      <c r="BD535" s="2">
        <f t="shared" si="463"/>
        <v>0</v>
      </c>
      <c r="BE535" s="2"/>
      <c r="BF535" s="2"/>
      <c r="BG535" s="2"/>
      <c r="BH535" s="2"/>
      <c r="BI535" s="2"/>
      <c r="BJ535" s="2"/>
      <c r="BK535" s="2"/>
      <c r="BL535" s="2"/>
      <c r="BM535" s="2"/>
      <c r="BN535" s="2"/>
      <c r="BO535" s="2"/>
      <c r="BP535" s="2"/>
      <c r="BQ535" s="2"/>
      <c r="BR535" s="2"/>
      <c r="BS535" s="2"/>
      <c r="BT535" s="2"/>
      <c r="BU535" s="2"/>
      <c r="BV535" s="2"/>
      <c r="BW535" s="2"/>
      <c r="BX535" s="2"/>
      <c r="BY535" s="2"/>
      <c r="BZ535" s="2"/>
      <c r="CA535" s="2"/>
      <c r="CB535" s="2"/>
      <c r="CC535" s="2"/>
      <c r="CD535" s="2"/>
      <c r="CE535" s="2"/>
      <c r="CF535" s="2"/>
      <c r="CG535" s="2"/>
      <c r="CH535" s="2"/>
      <c r="CI535" s="2"/>
      <c r="CJ535" s="2"/>
      <c r="CK535" s="2"/>
      <c r="CL535" s="2"/>
      <c r="CM535" s="2"/>
      <c r="CN535" s="2"/>
      <c r="CO535" s="2"/>
      <c r="CP535" s="2"/>
      <c r="CQ535" s="2"/>
      <c r="CR535" s="2"/>
      <c r="CS535" s="2"/>
      <c r="CT535" s="2"/>
      <c r="CU535" s="2"/>
      <c r="CV535" s="2"/>
      <c r="CW535" s="2"/>
      <c r="CX535" s="2"/>
      <c r="CY535" s="2"/>
      <c r="CZ535" s="2"/>
      <c r="DA535" s="2"/>
      <c r="DB535" s="2"/>
      <c r="DC535" s="2"/>
      <c r="DD535" s="2"/>
      <c r="DE535" s="2"/>
      <c r="DF535" s="2"/>
      <c r="DG535" s="3"/>
      <c r="DH535" s="3"/>
      <c r="DI535" s="3"/>
      <c r="DJ535" s="3"/>
      <c r="DK535" s="3"/>
      <c r="DL535" s="3"/>
      <c r="DM535" s="3"/>
      <c r="DN535" s="3"/>
      <c r="DO535" s="3"/>
      <c r="DP535" s="3"/>
      <c r="DQ535" s="3"/>
      <c r="DR535" s="3"/>
      <c r="DS535" s="3"/>
      <c r="DT535" s="3"/>
      <c r="DU535" s="3"/>
      <c r="DV535" s="3"/>
      <c r="DW535" s="3"/>
      <c r="DX535" s="3"/>
      <c r="DY535" s="3"/>
      <c r="DZ535" s="3"/>
      <c r="EA535" s="3"/>
      <c r="EB535" s="3"/>
      <c r="EC535" s="3"/>
      <c r="ED535" s="3"/>
      <c r="EE535" s="3"/>
      <c r="EF535" s="3"/>
      <c r="EG535" s="3"/>
      <c r="EH535" s="3"/>
      <c r="EI535" s="3"/>
      <c r="EJ535" s="3"/>
      <c r="EK535" s="3"/>
      <c r="EL535" s="3"/>
      <c r="EM535" s="3"/>
      <c r="EN535" s="3"/>
      <c r="EO535" s="3"/>
      <c r="EP535" s="3"/>
      <c r="EQ535" s="3"/>
      <c r="ER535" s="3"/>
      <c r="ES535" s="3"/>
      <c r="ET535" s="3"/>
      <c r="EU535" s="3"/>
      <c r="EV535" s="3"/>
      <c r="EW535" s="3"/>
      <c r="EX535" s="3"/>
      <c r="EY535" s="3"/>
      <c r="EZ535" s="3"/>
      <c r="FA535" s="3"/>
      <c r="FB535" s="3"/>
      <c r="FC535" s="3"/>
      <c r="FD535" s="3"/>
      <c r="FE535" s="3"/>
      <c r="FF535" s="3"/>
      <c r="FG535" s="3"/>
      <c r="FH535" s="3"/>
      <c r="FI535" s="3"/>
      <c r="FJ535" s="3"/>
      <c r="FK535" s="3"/>
      <c r="FL535" s="3"/>
      <c r="FM535" s="3"/>
      <c r="FN535" s="3"/>
      <c r="FO535" s="3"/>
      <c r="FP535" s="3"/>
      <c r="FQ535" s="3"/>
      <c r="FR535" s="3"/>
      <c r="FS535" s="3"/>
      <c r="FT535" s="3"/>
      <c r="FU535" s="3"/>
      <c r="FV535" s="3"/>
      <c r="FW535" s="3"/>
      <c r="FX535" s="3"/>
      <c r="FY535" s="3"/>
      <c r="FZ535" s="3"/>
      <c r="GA535" s="3"/>
      <c r="GB535" s="3"/>
      <c r="GC535" s="3"/>
      <c r="GD535" s="3"/>
      <c r="GE535" s="3"/>
      <c r="GF535" s="3"/>
      <c r="GG535" s="3"/>
      <c r="GH535" s="3"/>
      <c r="GI535" s="3"/>
      <c r="GJ535" s="3"/>
      <c r="GK535" s="3"/>
      <c r="GL535" s="3"/>
      <c r="GM535" s="3"/>
      <c r="GN535" s="3"/>
      <c r="GO535" s="3"/>
      <c r="GP535" s="3"/>
      <c r="GQ535" s="3"/>
      <c r="GR535" s="3"/>
      <c r="GS535" s="3"/>
      <c r="GT535" s="3"/>
      <c r="GU535" s="3"/>
      <c r="GV535" s="3"/>
      <c r="GW535" s="3"/>
      <c r="GX535" s="3">
        <v>0</v>
      </c>
    </row>
    <row r="537" spans="1:206" x14ac:dyDescent="0.2">
      <c r="A537" s="4">
        <v>50</v>
      </c>
      <c r="B537" s="4">
        <v>0</v>
      </c>
      <c r="C537" s="4">
        <v>0</v>
      </c>
      <c r="D537" s="4">
        <v>1</v>
      </c>
      <c r="E537" s="4">
        <v>201</v>
      </c>
      <c r="F537" s="4">
        <f>ROUND(Source!O535,O537)</f>
        <v>2487923.0099999998</v>
      </c>
      <c r="G537" s="4" t="s">
        <v>118</v>
      </c>
      <c r="H537" s="4" t="s">
        <v>119</v>
      </c>
      <c r="I537" s="4"/>
      <c r="J537" s="4"/>
      <c r="K537" s="4">
        <v>201</v>
      </c>
      <c r="L537" s="4">
        <v>1</v>
      </c>
      <c r="M537" s="4">
        <v>3</v>
      </c>
      <c r="N537" s="4" t="s">
        <v>3</v>
      </c>
      <c r="O537" s="4">
        <v>2</v>
      </c>
      <c r="P537" s="4"/>
      <c r="Q537" s="4"/>
      <c r="R537" s="4"/>
      <c r="S537" s="4"/>
      <c r="T537" s="4"/>
      <c r="U537" s="4"/>
      <c r="V537" s="4"/>
      <c r="W537" s="4"/>
    </row>
    <row r="538" spans="1:206" x14ac:dyDescent="0.2">
      <c r="A538" s="4">
        <v>50</v>
      </c>
      <c r="B538" s="4">
        <v>0</v>
      </c>
      <c r="C538" s="4">
        <v>0</v>
      </c>
      <c r="D538" s="4">
        <v>1</v>
      </c>
      <c r="E538" s="4">
        <v>202</v>
      </c>
      <c r="F538" s="4">
        <f>ROUND(Source!P535,O538)</f>
        <v>2049809.3</v>
      </c>
      <c r="G538" s="4" t="s">
        <v>120</v>
      </c>
      <c r="H538" s="4" t="s">
        <v>121</v>
      </c>
      <c r="I538" s="4"/>
      <c r="J538" s="4"/>
      <c r="K538" s="4">
        <v>202</v>
      </c>
      <c r="L538" s="4">
        <v>2</v>
      </c>
      <c r="M538" s="4">
        <v>3</v>
      </c>
      <c r="N538" s="4" t="s">
        <v>3</v>
      </c>
      <c r="O538" s="4">
        <v>2</v>
      </c>
      <c r="P538" s="4"/>
      <c r="Q538" s="4"/>
      <c r="R538" s="4"/>
      <c r="S538" s="4"/>
      <c r="T538" s="4"/>
      <c r="U538" s="4"/>
      <c r="V538" s="4"/>
      <c r="W538" s="4"/>
    </row>
    <row r="539" spans="1:206" x14ac:dyDescent="0.2">
      <c r="A539" s="4">
        <v>50</v>
      </c>
      <c r="B539" s="4">
        <v>0</v>
      </c>
      <c r="C539" s="4">
        <v>0</v>
      </c>
      <c r="D539" s="4">
        <v>1</v>
      </c>
      <c r="E539" s="4">
        <v>222</v>
      </c>
      <c r="F539" s="4">
        <f>ROUND(Source!AO535,O539)</f>
        <v>0</v>
      </c>
      <c r="G539" s="4" t="s">
        <v>122</v>
      </c>
      <c r="H539" s="4" t="s">
        <v>123</v>
      </c>
      <c r="I539" s="4"/>
      <c r="J539" s="4"/>
      <c r="K539" s="4">
        <v>222</v>
      </c>
      <c r="L539" s="4">
        <v>3</v>
      </c>
      <c r="M539" s="4">
        <v>3</v>
      </c>
      <c r="N539" s="4" t="s">
        <v>3</v>
      </c>
      <c r="O539" s="4">
        <v>2</v>
      </c>
      <c r="P539" s="4"/>
      <c r="Q539" s="4"/>
      <c r="R539" s="4"/>
      <c r="S539" s="4"/>
      <c r="T539" s="4"/>
      <c r="U539" s="4"/>
      <c r="V539" s="4"/>
      <c r="W539" s="4"/>
    </row>
    <row r="540" spans="1:206" x14ac:dyDescent="0.2">
      <c r="A540" s="4">
        <v>50</v>
      </c>
      <c r="B540" s="4">
        <v>0</v>
      </c>
      <c r="C540" s="4">
        <v>0</v>
      </c>
      <c r="D540" s="4">
        <v>1</v>
      </c>
      <c r="E540" s="4">
        <v>225</v>
      </c>
      <c r="F540" s="4">
        <f>ROUND(Source!AV535,O540)</f>
        <v>2049809.3</v>
      </c>
      <c r="G540" s="4" t="s">
        <v>124</v>
      </c>
      <c r="H540" s="4" t="s">
        <v>125</v>
      </c>
      <c r="I540" s="4"/>
      <c r="J540" s="4"/>
      <c r="K540" s="4">
        <v>225</v>
      </c>
      <c r="L540" s="4">
        <v>4</v>
      </c>
      <c r="M540" s="4">
        <v>3</v>
      </c>
      <c r="N540" s="4" t="s">
        <v>3</v>
      </c>
      <c r="O540" s="4">
        <v>2</v>
      </c>
      <c r="P540" s="4"/>
      <c r="Q540" s="4"/>
      <c r="R540" s="4"/>
      <c r="S540" s="4"/>
      <c r="T540" s="4"/>
      <c r="U540" s="4"/>
      <c r="V540" s="4"/>
      <c r="W540" s="4"/>
    </row>
    <row r="541" spans="1:206" x14ac:dyDescent="0.2">
      <c r="A541" s="4">
        <v>50</v>
      </c>
      <c r="B541" s="4">
        <v>0</v>
      </c>
      <c r="C541" s="4">
        <v>0</v>
      </c>
      <c r="D541" s="4">
        <v>1</v>
      </c>
      <c r="E541" s="4">
        <v>226</v>
      </c>
      <c r="F541" s="4">
        <f>ROUND(Source!AW535,O541)</f>
        <v>2049809.3</v>
      </c>
      <c r="G541" s="4" t="s">
        <v>126</v>
      </c>
      <c r="H541" s="4" t="s">
        <v>127</v>
      </c>
      <c r="I541" s="4"/>
      <c r="J541" s="4"/>
      <c r="K541" s="4">
        <v>226</v>
      </c>
      <c r="L541" s="4">
        <v>5</v>
      </c>
      <c r="M541" s="4">
        <v>3</v>
      </c>
      <c r="N541" s="4" t="s">
        <v>3</v>
      </c>
      <c r="O541" s="4">
        <v>2</v>
      </c>
      <c r="P541" s="4"/>
      <c r="Q541" s="4"/>
      <c r="R541" s="4"/>
      <c r="S541" s="4"/>
      <c r="T541" s="4"/>
      <c r="U541" s="4"/>
      <c r="V541" s="4"/>
      <c r="W541" s="4"/>
    </row>
    <row r="542" spans="1:206" x14ac:dyDescent="0.2">
      <c r="A542" s="4">
        <v>50</v>
      </c>
      <c r="B542" s="4">
        <v>0</v>
      </c>
      <c r="C542" s="4">
        <v>0</v>
      </c>
      <c r="D542" s="4">
        <v>1</v>
      </c>
      <c r="E542" s="4">
        <v>227</v>
      </c>
      <c r="F542" s="4">
        <f>ROUND(Source!AX535,O542)</f>
        <v>0</v>
      </c>
      <c r="G542" s="4" t="s">
        <v>128</v>
      </c>
      <c r="H542" s="4" t="s">
        <v>129</v>
      </c>
      <c r="I542" s="4"/>
      <c r="J542" s="4"/>
      <c r="K542" s="4">
        <v>227</v>
      </c>
      <c r="L542" s="4">
        <v>6</v>
      </c>
      <c r="M542" s="4">
        <v>3</v>
      </c>
      <c r="N542" s="4" t="s">
        <v>3</v>
      </c>
      <c r="O542" s="4">
        <v>2</v>
      </c>
      <c r="P542" s="4"/>
      <c r="Q542" s="4"/>
      <c r="R542" s="4"/>
      <c r="S542" s="4"/>
      <c r="T542" s="4"/>
      <c r="U542" s="4"/>
      <c r="V542" s="4"/>
      <c r="W542" s="4"/>
    </row>
    <row r="543" spans="1:206" x14ac:dyDescent="0.2">
      <c r="A543" s="4">
        <v>50</v>
      </c>
      <c r="B543" s="4">
        <v>0</v>
      </c>
      <c r="C543" s="4">
        <v>0</v>
      </c>
      <c r="D543" s="4">
        <v>1</v>
      </c>
      <c r="E543" s="4">
        <v>228</v>
      </c>
      <c r="F543" s="4">
        <f>ROUND(Source!AY535,O543)</f>
        <v>2049809.3</v>
      </c>
      <c r="G543" s="4" t="s">
        <v>130</v>
      </c>
      <c r="H543" s="4" t="s">
        <v>131</v>
      </c>
      <c r="I543" s="4"/>
      <c r="J543" s="4"/>
      <c r="K543" s="4">
        <v>228</v>
      </c>
      <c r="L543" s="4">
        <v>7</v>
      </c>
      <c r="M543" s="4">
        <v>3</v>
      </c>
      <c r="N543" s="4" t="s">
        <v>3</v>
      </c>
      <c r="O543" s="4">
        <v>2</v>
      </c>
      <c r="P543" s="4"/>
      <c r="Q543" s="4"/>
      <c r="R543" s="4"/>
      <c r="S543" s="4"/>
      <c r="T543" s="4"/>
      <c r="U543" s="4"/>
      <c r="V543" s="4"/>
      <c r="W543" s="4"/>
    </row>
    <row r="544" spans="1:206" x14ac:dyDescent="0.2">
      <c r="A544" s="4">
        <v>50</v>
      </c>
      <c r="B544" s="4">
        <v>0</v>
      </c>
      <c r="C544" s="4">
        <v>0</v>
      </c>
      <c r="D544" s="4">
        <v>1</v>
      </c>
      <c r="E544" s="4">
        <v>216</v>
      </c>
      <c r="F544" s="4">
        <f>ROUND(Source!AP535,O544)</f>
        <v>0</v>
      </c>
      <c r="G544" s="4" t="s">
        <v>132</v>
      </c>
      <c r="H544" s="4" t="s">
        <v>133</v>
      </c>
      <c r="I544" s="4"/>
      <c r="J544" s="4"/>
      <c r="K544" s="4">
        <v>216</v>
      </c>
      <c r="L544" s="4">
        <v>8</v>
      </c>
      <c r="M544" s="4">
        <v>3</v>
      </c>
      <c r="N544" s="4" t="s">
        <v>3</v>
      </c>
      <c r="O544" s="4">
        <v>2</v>
      </c>
      <c r="P544" s="4"/>
      <c r="Q544" s="4"/>
      <c r="R544" s="4"/>
      <c r="S544" s="4"/>
      <c r="T544" s="4"/>
      <c r="U544" s="4"/>
      <c r="V544" s="4"/>
      <c r="W544" s="4"/>
    </row>
    <row r="545" spans="1:23" x14ac:dyDescent="0.2">
      <c r="A545" s="4">
        <v>50</v>
      </c>
      <c r="B545" s="4">
        <v>0</v>
      </c>
      <c r="C545" s="4">
        <v>0</v>
      </c>
      <c r="D545" s="4">
        <v>1</v>
      </c>
      <c r="E545" s="4">
        <v>223</v>
      </c>
      <c r="F545" s="4">
        <f>ROUND(Source!AQ535,O545)</f>
        <v>0</v>
      </c>
      <c r="G545" s="4" t="s">
        <v>134</v>
      </c>
      <c r="H545" s="4" t="s">
        <v>135</v>
      </c>
      <c r="I545" s="4"/>
      <c r="J545" s="4"/>
      <c r="K545" s="4">
        <v>223</v>
      </c>
      <c r="L545" s="4">
        <v>9</v>
      </c>
      <c r="M545" s="4">
        <v>3</v>
      </c>
      <c r="N545" s="4" t="s">
        <v>3</v>
      </c>
      <c r="O545" s="4">
        <v>2</v>
      </c>
      <c r="P545" s="4"/>
      <c r="Q545" s="4"/>
      <c r="R545" s="4"/>
      <c r="S545" s="4"/>
      <c r="T545" s="4"/>
      <c r="U545" s="4"/>
      <c r="V545" s="4"/>
      <c r="W545" s="4"/>
    </row>
    <row r="546" spans="1:23" x14ac:dyDescent="0.2">
      <c r="A546" s="4">
        <v>50</v>
      </c>
      <c r="B546" s="4">
        <v>0</v>
      </c>
      <c r="C546" s="4">
        <v>0</v>
      </c>
      <c r="D546" s="4">
        <v>1</v>
      </c>
      <c r="E546" s="4">
        <v>229</v>
      </c>
      <c r="F546" s="4">
        <f>ROUND(Source!AZ535,O546)</f>
        <v>0</v>
      </c>
      <c r="G546" s="4" t="s">
        <v>136</v>
      </c>
      <c r="H546" s="4" t="s">
        <v>137</v>
      </c>
      <c r="I546" s="4"/>
      <c r="J546" s="4"/>
      <c r="K546" s="4">
        <v>229</v>
      </c>
      <c r="L546" s="4">
        <v>10</v>
      </c>
      <c r="M546" s="4">
        <v>3</v>
      </c>
      <c r="N546" s="4" t="s">
        <v>3</v>
      </c>
      <c r="O546" s="4">
        <v>2</v>
      </c>
      <c r="P546" s="4"/>
      <c r="Q546" s="4"/>
      <c r="R546" s="4"/>
      <c r="S546" s="4"/>
      <c r="T546" s="4"/>
      <c r="U546" s="4"/>
      <c r="V546" s="4"/>
      <c r="W546" s="4"/>
    </row>
    <row r="547" spans="1:23" x14ac:dyDescent="0.2">
      <c r="A547" s="4">
        <v>50</v>
      </c>
      <c r="B547" s="4">
        <v>0</v>
      </c>
      <c r="C547" s="4">
        <v>0</v>
      </c>
      <c r="D547" s="4">
        <v>1</v>
      </c>
      <c r="E547" s="4">
        <v>203</v>
      </c>
      <c r="F547" s="4">
        <f>ROUND(Source!Q535,O547)</f>
        <v>197380.22</v>
      </c>
      <c r="G547" s="4" t="s">
        <v>138</v>
      </c>
      <c r="H547" s="4" t="s">
        <v>139</v>
      </c>
      <c r="I547" s="4"/>
      <c r="J547" s="4"/>
      <c r="K547" s="4">
        <v>203</v>
      </c>
      <c r="L547" s="4">
        <v>11</v>
      </c>
      <c r="M547" s="4">
        <v>3</v>
      </c>
      <c r="N547" s="4" t="s">
        <v>3</v>
      </c>
      <c r="O547" s="4">
        <v>2</v>
      </c>
      <c r="P547" s="4"/>
      <c r="Q547" s="4"/>
      <c r="R547" s="4"/>
      <c r="S547" s="4"/>
      <c r="T547" s="4"/>
      <c r="U547" s="4"/>
      <c r="V547" s="4"/>
      <c r="W547" s="4"/>
    </row>
    <row r="548" spans="1:23" x14ac:dyDescent="0.2">
      <c r="A548" s="4">
        <v>50</v>
      </c>
      <c r="B548" s="4">
        <v>0</v>
      </c>
      <c r="C548" s="4">
        <v>0</v>
      </c>
      <c r="D548" s="4">
        <v>1</v>
      </c>
      <c r="E548" s="4">
        <v>231</v>
      </c>
      <c r="F548" s="4">
        <f>ROUND(Source!BB535,O548)</f>
        <v>0</v>
      </c>
      <c r="G548" s="4" t="s">
        <v>140</v>
      </c>
      <c r="H548" s="4" t="s">
        <v>141</v>
      </c>
      <c r="I548" s="4"/>
      <c r="J548" s="4"/>
      <c r="K548" s="4">
        <v>231</v>
      </c>
      <c r="L548" s="4">
        <v>12</v>
      </c>
      <c r="M548" s="4">
        <v>3</v>
      </c>
      <c r="N548" s="4" t="s">
        <v>3</v>
      </c>
      <c r="O548" s="4">
        <v>2</v>
      </c>
      <c r="P548" s="4"/>
      <c r="Q548" s="4"/>
      <c r="R548" s="4"/>
      <c r="S548" s="4"/>
      <c r="T548" s="4"/>
      <c r="U548" s="4"/>
      <c r="V548" s="4"/>
      <c r="W548" s="4"/>
    </row>
    <row r="549" spans="1:23" x14ac:dyDescent="0.2">
      <c r="A549" s="4">
        <v>50</v>
      </c>
      <c r="B549" s="4">
        <v>0</v>
      </c>
      <c r="C549" s="4">
        <v>0</v>
      </c>
      <c r="D549" s="4">
        <v>1</v>
      </c>
      <c r="E549" s="4">
        <v>204</v>
      </c>
      <c r="F549" s="4">
        <f>ROUND(Source!R535,O549)</f>
        <v>103360.22</v>
      </c>
      <c r="G549" s="4" t="s">
        <v>142</v>
      </c>
      <c r="H549" s="4" t="s">
        <v>143</v>
      </c>
      <c r="I549" s="4"/>
      <c r="J549" s="4"/>
      <c r="K549" s="4">
        <v>204</v>
      </c>
      <c r="L549" s="4">
        <v>13</v>
      </c>
      <c r="M549" s="4">
        <v>3</v>
      </c>
      <c r="N549" s="4" t="s">
        <v>3</v>
      </c>
      <c r="O549" s="4">
        <v>2</v>
      </c>
      <c r="P549" s="4"/>
      <c r="Q549" s="4"/>
      <c r="R549" s="4"/>
      <c r="S549" s="4"/>
      <c r="T549" s="4"/>
      <c r="U549" s="4"/>
      <c r="V549" s="4"/>
      <c r="W549" s="4"/>
    </row>
    <row r="550" spans="1:23" x14ac:dyDescent="0.2">
      <c r="A550" s="4">
        <v>50</v>
      </c>
      <c r="B550" s="4">
        <v>0</v>
      </c>
      <c r="C550" s="4">
        <v>0</v>
      </c>
      <c r="D550" s="4">
        <v>1</v>
      </c>
      <c r="E550" s="4">
        <v>205</v>
      </c>
      <c r="F550" s="4">
        <f>ROUND(Source!S535,O550)</f>
        <v>240733.49</v>
      </c>
      <c r="G550" s="4" t="s">
        <v>144</v>
      </c>
      <c r="H550" s="4" t="s">
        <v>145</v>
      </c>
      <c r="I550" s="4"/>
      <c r="J550" s="4"/>
      <c r="K550" s="4">
        <v>205</v>
      </c>
      <c r="L550" s="4">
        <v>14</v>
      </c>
      <c r="M550" s="4">
        <v>3</v>
      </c>
      <c r="N550" s="4" t="s">
        <v>3</v>
      </c>
      <c r="O550" s="4">
        <v>2</v>
      </c>
      <c r="P550" s="4"/>
      <c r="Q550" s="4"/>
      <c r="R550" s="4"/>
      <c r="S550" s="4"/>
      <c r="T550" s="4"/>
      <c r="U550" s="4"/>
      <c r="V550" s="4"/>
      <c r="W550" s="4"/>
    </row>
    <row r="551" spans="1:23" x14ac:dyDescent="0.2">
      <c r="A551" s="4">
        <v>50</v>
      </c>
      <c r="B551" s="4">
        <v>0</v>
      </c>
      <c r="C551" s="4">
        <v>0</v>
      </c>
      <c r="D551" s="4">
        <v>1</v>
      </c>
      <c r="E551" s="4">
        <v>232</v>
      </c>
      <c r="F551" s="4">
        <f>ROUND(Source!BC535,O551)</f>
        <v>0</v>
      </c>
      <c r="G551" s="4" t="s">
        <v>146</v>
      </c>
      <c r="H551" s="4" t="s">
        <v>147</v>
      </c>
      <c r="I551" s="4"/>
      <c r="J551" s="4"/>
      <c r="K551" s="4">
        <v>232</v>
      </c>
      <c r="L551" s="4">
        <v>15</v>
      </c>
      <c r="M551" s="4">
        <v>3</v>
      </c>
      <c r="N551" s="4" t="s">
        <v>3</v>
      </c>
      <c r="O551" s="4">
        <v>2</v>
      </c>
      <c r="P551" s="4"/>
      <c r="Q551" s="4"/>
      <c r="R551" s="4"/>
      <c r="S551" s="4"/>
      <c r="T551" s="4"/>
      <c r="U551" s="4"/>
      <c r="V551" s="4"/>
      <c r="W551" s="4"/>
    </row>
    <row r="552" spans="1:23" x14ac:dyDescent="0.2">
      <c r="A552" s="4">
        <v>50</v>
      </c>
      <c r="B552" s="4">
        <v>0</v>
      </c>
      <c r="C552" s="4">
        <v>0</v>
      </c>
      <c r="D552" s="4">
        <v>1</v>
      </c>
      <c r="E552" s="4">
        <v>214</v>
      </c>
      <c r="F552" s="4">
        <f>ROUND(Source!AS535,O552)</f>
        <v>0</v>
      </c>
      <c r="G552" s="4" t="s">
        <v>148</v>
      </c>
      <c r="H552" s="4" t="s">
        <v>149</v>
      </c>
      <c r="I552" s="4"/>
      <c r="J552" s="4"/>
      <c r="K552" s="4">
        <v>214</v>
      </c>
      <c r="L552" s="4">
        <v>16</v>
      </c>
      <c r="M552" s="4">
        <v>3</v>
      </c>
      <c r="N552" s="4" t="s">
        <v>3</v>
      </c>
      <c r="O552" s="4">
        <v>2</v>
      </c>
      <c r="P552" s="4"/>
      <c r="Q552" s="4"/>
      <c r="R552" s="4"/>
      <c r="S552" s="4"/>
      <c r="T552" s="4"/>
      <c r="U552" s="4"/>
      <c r="V552" s="4"/>
      <c r="W552" s="4"/>
    </row>
    <row r="553" spans="1:23" x14ac:dyDescent="0.2">
      <c r="A553" s="4">
        <v>50</v>
      </c>
      <c r="B553" s="4">
        <v>0</v>
      </c>
      <c r="C553" s="4">
        <v>0</v>
      </c>
      <c r="D553" s="4">
        <v>1</v>
      </c>
      <c r="E553" s="4">
        <v>215</v>
      </c>
      <c r="F553" s="4">
        <f>ROUND(Source!AT535,O553)</f>
        <v>0</v>
      </c>
      <c r="G553" s="4" t="s">
        <v>150</v>
      </c>
      <c r="H553" s="4" t="s">
        <v>151</v>
      </c>
      <c r="I553" s="4"/>
      <c r="J553" s="4"/>
      <c r="K553" s="4">
        <v>215</v>
      </c>
      <c r="L553" s="4">
        <v>17</v>
      </c>
      <c r="M553" s="4">
        <v>3</v>
      </c>
      <c r="N553" s="4" t="s">
        <v>3</v>
      </c>
      <c r="O553" s="4">
        <v>2</v>
      </c>
      <c r="P553" s="4"/>
      <c r="Q553" s="4"/>
      <c r="R553" s="4"/>
      <c r="S553" s="4"/>
      <c r="T553" s="4"/>
      <c r="U553" s="4"/>
      <c r="V553" s="4"/>
      <c r="W553" s="4"/>
    </row>
    <row r="554" spans="1:23" x14ac:dyDescent="0.2">
      <c r="A554" s="4">
        <v>50</v>
      </c>
      <c r="B554" s="4">
        <v>0</v>
      </c>
      <c r="C554" s="4">
        <v>0</v>
      </c>
      <c r="D554" s="4">
        <v>1</v>
      </c>
      <c r="E554" s="4">
        <v>217</v>
      </c>
      <c r="F554" s="4">
        <f>ROUND(Source!AU535,O554)</f>
        <v>2726620.19</v>
      </c>
      <c r="G554" s="4" t="s">
        <v>152</v>
      </c>
      <c r="H554" s="4" t="s">
        <v>153</v>
      </c>
      <c r="I554" s="4"/>
      <c r="J554" s="4"/>
      <c r="K554" s="4">
        <v>217</v>
      </c>
      <c r="L554" s="4">
        <v>18</v>
      </c>
      <c r="M554" s="4">
        <v>3</v>
      </c>
      <c r="N554" s="4" t="s">
        <v>3</v>
      </c>
      <c r="O554" s="4">
        <v>2</v>
      </c>
      <c r="P554" s="4"/>
      <c r="Q554" s="4"/>
      <c r="R554" s="4"/>
      <c r="S554" s="4"/>
      <c r="T554" s="4"/>
      <c r="U554" s="4"/>
      <c r="V554" s="4"/>
      <c r="W554" s="4"/>
    </row>
    <row r="555" spans="1:23" x14ac:dyDescent="0.2">
      <c r="A555" s="4">
        <v>50</v>
      </c>
      <c r="B555" s="4">
        <v>0</v>
      </c>
      <c r="C555" s="4">
        <v>0</v>
      </c>
      <c r="D555" s="4">
        <v>1</v>
      </c>
      <c r="E555" s="4">
        <v>230</v>
      </c>
      <c r="F555" s="4">
        <f>ROUND(Source!BA535,O555)</f>
        <v>0</v>
      </c>
      <c r="G555" s="4" t="s">
        <v>154</v>
      </c>
      <c r="H555" s="4" t="s">
        <v>155</v>
      </c>
      <c r="I555" s="4"/>
      <c r="J555" s="4"/>
      <c r="K555" s="4">
        <v>230</v>
      </c>
      <c r="L555" s="4">
        <v>19</v>
      </c>
      <c r="M555" s="4">
        <v>3</v>
      </c>
      <c r="N555" s="4" t="s">
        <v>3</v>
      </c>
      <c r="O555" s="4">
        <v>2</v>
      </c>
      <c r="P555" s="4"/>
      <c r="Q555" s="4"/>
      <c r="R555" s="4"/>
      <c r="S555" s="4"/>
      <c r="T555" s="4"/>
      <c r="U555" s="4"/>
      <c r="V555" s="4"/>
      <c r="W555" s="4"/>
    </row>
    <row r="556" spans="1:23" x14ac:dyDescent="0.2">
      <c r="A556" s="4">
        <v>50</v>
      </c>
      <c r="B556" s="4">
        <v>0</v>
      </c>
      <c r="C556" s="4">
        <v>0</v>
      </c>
      <c r="D556" s="4">
        <v>1</v>
      </c>
      <c r="E556" s="4">
        <v>206</v>
      </c>
      <c r="F556" s="4">
        <f>ROUND(Source!T535,O556)</f>
        <v>0</v>
      </c>
      <c r="G556" s="4" t="s">
        <v>156</v>
      </c>
      <c r="H556" s="4" t="s">
        <v>157</v>
      </c>
      <c r="I556" s="4"/>
      <c r="J556" s="4"/>
      <c r="K556" s="4">
        <v>206</v>
      </c>
      <c r="L556" s="4">
        <v>20</v>
      </c>
      <c r="M556" s="4">
        <v>3</v>
      </c>
      <c r="N556" s="4" t="s">
        <v>3</v>
      </c>
      <c r="O556" s="4">
        <v>2</v>
      </c>
      <c r="P556" s="4"/>
      <c r="Q556" s="4"/>
      <c r="R556" s="4"/>
      <c r="S556" s="4"/>
      <c r="T556" s="4"/>
      <c r="U556" s="4"/>
      <c r="V556" s="4"/>
      <c r="W556" s="4"/>
    </row>
    <row r="557" spans="1:23" x14ac:dyDescent="0.2">
      <c r="A557" s="4">
        <v>50</v>
      </c>
      <c r="B557" s="4">
        <v>0</v>
      </c>
      <c r="C557" s="4">
        <v>0</v>
      </c>
      <c r="D557" s="4">
        <v>1</v>
      </c>
      <c r="E557" s="4">
        <v>207</v>
      </c>
      <c r="F557" s="4">
        <f>Source!U535</f>
        <v>1105.6031759999998</v>
      </c>
      <c r="G557" s="4" t="s">
        <v>158</v>
      </c>
      <c r="H557" s="4" t="s">
        <v>159</v>
      </c>
      <c r="I557" s="4"/>
      <c r="J557" s="4"/>
      <c r="K557" s="4">
        <v>207</v>
      </c>
      <c r="L557" s="4">
        <v>21</v>
      </c>
      <c r="M557" s="4">
        <v>3</v>
      </c>
      <c r="N557" s="4" t="s">
        <v>3</v>
      </c>
      <c r="O557" s="4">
        <v>-1</v>
      </c>
      <c r="P557" s="4"/>
      <c r="Q557" s="4"/>
      <c r="R557" s="4"/>
      <c r="S557" s="4"/>
      <c r="T557" s="4"/>
      <c r="U557" s="4"/>
      <c r="V557" s="4"/>
      <c r="W557" s="4"/>
    </row>
    <row r="558" spans="1:23" x14ac:dyDescent="0.2">
      <c r="A558" s="4">
        <v>50</v>
      </c>
      <c r="B558" s="4">
        <v>0</v>
      </c>
      <c r="C558" s="4">
        <v>0</v>
      </c>
      <c r="D558" s="4">
        <v>1</v>
      </c>
      <c r="E558" s="4">
        <v>208</v>
      </c>
      <c r="F558" s="4">
        <f>Source!V535</f>
        <v>0</v>
      </c>
      <c r="G558" s="4" t="s">
        <v>160</v>
      </c>
      <c r="H558" s="4" t="s">
        <v>161</v>
      </c>
      <c r="I558" s="4"/>
      <c r="J558" s="4"/>
      <c r="K558" s="4">
        <v>208</v>
      </c>
      <c r="L558" s="4">
        <v>22</v>
      </c>
      <c r="M558" s="4">
        <v>3</v>
      </c>
      <c r="N558" s="4" t="s">
        <v>3</v>
      </c>
      <c r="O558" s="4">
        <v>-1</v>
      </c>
      <c r="P558" s="4"/>
      <c r="Q558" s="4"/>
      <c r="R558" s="4"/>
      <c r="S558" s="4"/>
      <c r="T558" s="4"/>
      <c r="U558" s="4"/>
      <c r="V558" s="4"/>
      <c r="W558" s="4"/>
    </row>
    <row r="559" spans="1:23" x14ac:dyDescent="0.2">
      <c r="A559" s="4">
        <v>50</v>
      </c>
      <c r="B559" s="4">
        <v>0</v>
      </c>
      <c r="C559" s="4">
        <v>0</v>
      </c>
      <c r="D559" s="4">
        <v>1</v>
      </c>
      <c r="E559" s="4">
        <v>209</v>
      </c>
      <c r="F559" s="4">
        <f>ROUND(Source!W535,O559)</f>
        <v>0</v>
      </c>
      <c r="G559" s="4" t="s">
        <v>162</v>
      </c>
      <c r="H559" s="4" t="s">
        <v>163</v>
      </c>
      <c r="I559" s="4"/>
      <c r="J559" s="4"/>
      <c r="K559" s="4">
        <v>209</v>
      </c>
      <c r="L559" s="4">
        <v>23</v>
      </c>
      <c r="M559" s="4">
        <v>3</v>
      </c>
      <c r="N559" s="4" t="s">
        <v>3</v>
      </c>
      <c r="O559" s="4">
        <v>2</v>
      </c>
      <c r="P559" s="4"/>
      <c r="Q559" s="4"/>
      <c r="R559" s="4"/>
      <c r="S559" s="4"/>
      <c r="T559" s="4"/>
      <c r="U559" s="4"/>
      <c r="V559" s="4"/>
      <c r="W559" s="4"/>
    </row>
    <row r="560" spans="1:23" x14ac:dyDescent="0.2">
      <c r="A560" s="4">
        <v>50</v>
      </c>
      <c r="B560" s="4">
        <v>0</v>
      </c>
      <c r="C560" s="4">
        <v>0</v>
      </c>
      <c r="D560" s="4">
        <v>1</v>
      </c>
      <c r="E560" s="4">
        <v>233</v>
      </c>
      <c r="F560" s="4">
        <f>ROUND(Source!BD535,O560)</f>
        <v>0</v>
      </c>
      <c r="G560" s="4" t="s">
        <v>164</v>
      </c>
      <c r="H560" s="4" t="s">
        <v>165</v>
      </c>
      <c r="I560" s="4"/>
      <c r="J560" s="4"/>
      <c r="K560" s="4">
        <v>233</v>
      </c>
      <c r="L560" s="4">
        <v>24</v>
      </c>
      <c r="M560" s="4">
        <v>3</v>
      </c>
      <c r="N560" s="4" t="s">
        <v>3</v>
      </c>
      <c r="O560" s="4">
        <v>2</v>
      </c>
      <c r="P560" s="4"/>
      <c r="Q560" s="4"/>
      <c r="R560" s="4"/>
      <c r="S560" s="4"/>
      <c r="T560" s="4"/>
      <c r="U560" s="4"/>
      <c r="V560" s="4"/>
      <c r="W560" s="4"/>
    </row>
    <row r="561" spans="1:206" x14ac:dyDescent="0.2">
      <c r="A561" s="4">
        <v>50</v>
      </c>
      <c r="B561" s="4">
        <v>0</v>
      </c>
      <c r="C561" s="4">
        <v>0</v>
      </c>
      <c r="D561" s="4">
        <v>1</v>
      </c>
      <c r="E561" s="4">
        <v>210</v>
      </c>
      <c r="F561" s="4">
        <f>ROUND(Source!X535,O561)</f>
        <v>168513.47</v>
      </c>
      <c r="G561" s="4" t="s">
        <v>166</v>
      </c>
      <c r="H561" s="4" t="s">
        <v>167</v>
      </c>
      <c r="I561" s="4"/>
      <c r="J561" s="4"/>
      <c r="K561" s="4">
        <v>210</v>
      </c>
      <c r="L561" s="4">
        <v>25</v>
      </c>
      <c r="M561" s="4">
        <v>3</v>
      </c>
      <c r="N561" s="4" t="s">
        <v>3</v>
      </c>
      <c r="O561" s="4">
        <v>2</v>
      </c>
      <c r="P561" s="4"/>
      <c r="Q561" s="4"/>
      <c r="R561" s="4"/>
      <c r="S561" s="4"/>
      <c r="T561" s="4"/>
      <c r="U561" s="4"/>
      <c r="V561" s="4"/>
      <c r="W561" s="4"/>
    </row>
    <row r="562" spans="1:206" x14ac:dyDescent="0.2">
      <c r="A562" s="4">
        <v>50</v>
      </c>
      <c r="B562" s="4">
        <v>0</v>
      </c>
      <c r="C562" s="4">
        <v>0</v>
      </c>
      <c r="D562" s="4">
        <v>1</v>
      </c>
      <c r="E562" s="4">
        <v>211</v>
      </c>
      <c r="F562" s="4">
        <f>ROUND(Source!Y535,O562)</f>
        <v>24073.38</v>
      </c>
      <c r="G562" s="4" t="s">
        <v>168</v>
      </c>
      <c r="H562" s="4" t="s">
        <v>169</v>
      </c>
      <c r="I562" s="4"/>
      <c r="J562" s="4"/>
      <c r="K562" s="4">
        <v>211</v>
      </c>
      <c r="L562" s="4">
        <v>26</v>
      </c>
      <c r="M562" s="4">
        <v>3</v>
      </c>
      <c r="N562" s="4" t="s">
        <v>3</v>
      </c>
      <c r="O562" s="4">
        <v>2</v>
      </c>
      <c r="P562" s="4"/>
      <c r="Q562" s="4"/>
      <c r="R562" s="4"/>
      <c r="S562" s="4"/>
      <c r="T562" s="4"/>
      <c r="U562" s="4"/>
      <c r="V562" s="4"/>
      <c r="W562" s="4"/>
    </row>
    <row r="563" spans="1:206" x14ac:dyDescent="0.2">
      <c r="A563" s="4">
        <v>50</v>
      </c>
      <c r="B563" s="4">
        <v>0</v>
      </c>
      <c r="C563" s="4">
        <v>0</v>
      </c>
      <c r="D563" s="4">
        <v>1</v>
      </c>
      <c r="E563" s="4">
        <v>224</v>
      </c>
      <c r="F563" s="4">
        <f>ROUND(Source!AR535,O563)</f>
        <v>2726620.19</v>
      </c>
      <c r="G563" s="4" t="s">
        <v>170</v>
      </c>
      <c r="H563" s="4" t="s">
        <v>171</v>
      </c>
      <c r="I563" s="4"/>
      <c r="J563" s="4"/>
      <c r="K563" s="4">
        <v>224</v>
      </c>
      <c r="L563" s="4">
        <v>27</v>
      </c>
      <c r="M563" s="4">
        <v>3</v>
      </c>
      <c r="N563" s="4" t="s">
        <v>3</v>
      </c>
      <c r="O563" s="4">
        <v>2</v>
      </c>
      <c r="P563" s="4"/>
      <c r="Q563" s="4"/>
      <c r="R563" s="4"/>
      <c r="S563" s="4"/>
      <c r="T563" s="4"/>
      <c r="U563" s="4"/>
      <c r="V563" s="4"/>
      <c r="W563" s="4"/>
    </row>
    <row r="564" spans="1:206" x14ac:dyDescent="0.2">
      <c r="A564" s="4">
        <v>50</v>
      </c>
      <c r="B564" s="4">
        <v>1</v>
      </c>
      <c r="C564" s="4">
        <v>0</v>
      </c>
      <c r="D564" s="4">
        <v>2</v>
      </c>
      <c r="E564" s="4">
        <v>0</v>
      </c>
      <c r="F564" s="4">
        <f>ROUND(F563,O564)</f>
        <v>2726620.19</v>
      </c>
      <c r="G564" s="4" t="s">
        <v>172</v>
      </c>
      <c r="H564" s="4" t="s">
        <v>173</v>
      </c>
      <c r="I564" s="4"/>
      <c r="J564" s="4"/>
      <c r="K564" s="4">
        <v>212</v>
      </c>
      <c r="L564" s="4">
        <v>28</v>
      </c>
      <c r="M564" s="4">
        <v>0</v>
      </c>
      <c r="N564" s="4" t="s">
        <v>3</v>
      </c>
      <c r="O564" s="4">
        <v>2</v>
      </c>
      <c r="P564" s="4"/>
      <c r="Q564" s="4"/>
      <c r="R564" s="4"/>
      <c r="S564" s="4"/>
      <c r="T564" s="4"/>
      <c r="U564" s="4"/>
      <c r="V564" s="4"/>
      <c r="W564" s="4"/>
    </row>
    <row r="565" spans="1:206" x14ac:dyDescent="0.2">
      <c r="A565" s="4">
        <v>50</v>
      </c>
      <c r="B565" s="4">
        <v>1</v>
      </c>
      <c r="C565" s="4">
        <v>0</v>
      </c>
      <c r="D565" s="4">
        <v>2</v>
      </c>
      <c r="E565" s="4">
        <v>0</v>
      </c>
      <c r="F565" s="4">
        <f>ROUND(F564*0.2,O565)</f>
        <v>545324.04</v>
      </c>
      <c r="G565" s="4" t="s">
        <v>174</v>
      </c>
      <c r="H565" s="4" t="s">
        <v>175</v>
      </c>
      <c r="I565" s="4"/>
      <c r="J565" s="4"/>
      <c r="K565" s="4">
        <v>212</v>
      </c>
      <c r="L565" s="4">
        <v>29</v>
      </c>
      <c r="M565" s="4">
        <v>0</v>
      </c>
      <c r="N565" s="4" t="s">
        <v>3</v>
      </c>
      <c r="O565" s="4">
        <v>2</v>
      </c>
      <c r="P565" s="4"/>
      <c r="Q565" s="4"/>
      <c r="R565" s="4"/>
      <c r="S565" s="4"/>
      <c r="T565" s="4"/>
      <c r="U565" s="4"/>
      <c r="V565" s="4"/>
      <c r="W565" s="4"/>
    </row>
    <row r="566" spans="1:206" x14ac:dyDescent="0.2">
      <c r="A566" s="4">
        <v>50</v>
      </c>
      <c r="B566" s="4">
        <v>1</v>
      </c>
      <c r="C566" s="4">
        <v>0</v>
      </c>
      <c r="D566" s="4">
        <v>2</v>
      </c>
      <c r="E566" s="4">
        <v>213</v>
      </c>
      <c r="F566" s="4">
        <f>ROUND(F564+F565,O566)</f>
        <v>3271944.23</v>
      </c>
      <c r="G566" s="4" t="s">
        <v>176</v>
      </c>
      <c r="H566" s="4" t="s">
        <v>170</v>
      </c>
      <c r="I566" s="4"/>
      <c r="J566" s="4"/>
      <c r="K566" s="4">
        <v>212</v>
      </c>
      <c r="L566" s="4">
        <v>30</v>
      </c>
      <c r="M566" s="4">
        <v>0</v>
      </c>
      <c r="N566" s="4" t="s">
        <v>3</v>
      </c>
      <c r="O566" s="4">
        <v>2</v>
      </c>
      <c r="P566" s="4"/>
      <c r="Q566" s="4"/>
      <c r="R566" s="4"/>
      <c r="S566" s="4"/>
      <c r="T566" s="4"/>
      <c r="U566" s="4"/>
      <c r="V566" s="4"/>
      <c r="W566" s="4"/>
    </row>
    <row r="568" spans="1:206" x14ac:dyDescent="0.2">
      <c r="A568" s="2">
        <v>51</v>
      </c>
      <c r="B568" s="2">
        <f>B20</f>
        <v>1</v>
      </c>
      <c r="C568" s="2">
        <f>A20</f>
        <v>3</v>
      </c>
      <c r="D568" s="2">
        <f>ROW(A20)</f>
        <v>20</v>
      </c>
      <c r="E568" s="2"/>
      <c r="F568" s="2" t="str">
        <f>IF(F20&lt;&gt;"",F20,"")</f>
        <v>Новая локальная смета</v>
      </c>
      <c r="G568" s="2" t="str">
        <f>IF(G20&lt;&gt;"",G20,"")</f>
        <v>Новая локальная смета</v>
      </c>
      <c r="H568" s="2">
        <v>0</v>
      </c>
      <c r="I568" s="2"/>
      <c r="J568" s="2"/>
      <c r="K568" s="2"/>
      <c r="L568" s="2"/>
      <c r="M568" s="2"/>
      <c r="N568" s="2"/>
      <c r="O568" s="2">
        <f t="shared" ref="O568:T568" si="464">ROUND(O535+AB568,2)</f>
        <v>2487923.0099999998</v>
      </c>
      <c r="P568" s="2">
        <f t="shared" si="464"/>
        <v>2049809.3</v>
      </c>
      <c r="Q568" s="2">
        <f t="shared" si="464"/>
        <v>197380.22</v>
      </c>
      <c r="R568" s="2">
        <f t="shared" si="464"/>
        <v>103360.22</v>
      </c>
      <c r="S568" s="2">
        <f t="shared" si="464"/>
        <v>240733.49</v>
      </c>
      <c r="T568" s="2">
        <f t="shared" si="464"/>
        <v>0</v>
      </c>
      <c r="U568" s="2">
        <f>U535+AH568</f>
        <v>1105.6031759999998</v>
      </c>
      <c r="V568" s="2">
        <f>V535+AI568</f>
        <v>0</v>
      </c>
      <c r="W568" s="2">
        <f>ROUND(W535+AJ568,2)</f>
        <v>0</v>
      </c>
      <c r="X568" s="2">
        <f>ROUND(X535+AK568,2)</f>
        <v>168513.47</v>
      </c>
      <c r="Y568" s="2">
        <f>ROUND(Y535+AL568,2)</f>
        <v>24073.38</v>
      </c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>
        <f t="shared" ref="AO568:BD568" si="465">ROUND(AO535+BX568,2)</f>
        <v>0</v>
      </c>
      <c r="AP568" s="2">
        <f t="shared" si="465"/>
        <v>0</v>
      </c>
      <c r="AQ568" s="2">
        <f t="shared" si="465"/>
        <v>0</v>
      </c>
      <c r="AR568" s="2">
        <f t="shared" si="465"/>
        <v>2726620.19</v>
      </c>
      <c r="AS568" s="2">
        <f t="shared" si="465"/>
        <v>0</v>
      </c>
      <c r="AT568" s="2">
        <f t="shared" si="465"/>
        <v>0</v>
      </c>
      <c r="AU568" s="2">
        <f t="shared" si="465"/>
        <v>2726620.19</v>
      </c>
      <c r="AV568" s="2">
        <f t="shared" si="465"/>
        <v>2049809.3</v>
      </c>
      <c r="AW568" s="2">
        <f t="shared" si="465"/>
        <v>2049809.3</v>
      </c>
      <c r="AX568" s="2">
        <f t="shared" si="465"/>
        <v>0</v>
      </c>
      <c r="AY568" s="2">
        <f t="shared" si="465"/>
        <v>2049809.3</v>
      </c>
      <c r="AZ568" s="2">
        <f t="shared" si="465"/>
        <v>0</v>
      </c>
      <c r="BA568" s="2">
        <f t="shared" si="465"/>
        <v>0</v>
      </c>
      <c r="BB568" s="2">
        <f t="shared" si="465"/>
        <v>0</v>
      </c>
      <c r="BC568" s="2">
        <f t="shared" si="465"/>
        <v>0</v>
      </c>
      <c r="BD568" s="2">
        <f t="shared" si="465"/>
        <v>0</v>
      </c>
      <c r="BE568" s="2"/>
      <c r="BF568" s="2"/>
      <c r="BG568" s="2"/>
      <c r="BH568" s="2"/>
      <c r="BI568" s="2"/>
      <c r="BJ568" s="2"/>
      <c r="BK568" s="2"/>
      <c r="BL568" s="2"/>
      <c r="BM568" s="2"/>
      <c r="BN568" s="2"/>
      <c r="BO568" s="2"/>
      <c r="BP568" s="2"/>
      <c r="BQ568" s="2"/>
      <c r="BR568" s="2"/>
      <c r="BS568" s="2"/>
      <c r="BT568" s="2"/>
      <c r="BU568" s="2"/>
      <c r="BV568" s="2"/>
      <c r="BW568" s="2"/>
      <c r="BX568" s="2"/>
      <c r="BY568" s="2"/>
      <c r="BZ568" s="2"/>
      <c r="CA568" s="2"/>
      <c r="CB568" s="2"/>
      <c r="CC568" s="2"/>
      <c r="CD568" s="2"/>
      <c r="CE568" s="2"/>
      <c r="CF568" s="2"/>
      <c r="CG568" s="2"/>
      <c r="CH568" s="2"/>
      <c r="CI568" s="2"/>
      <c r="CJ568" s="2"/>
      <c r="CK568" s="2"/>
      <c r="CL568" s="2"/>
      <c r="CM568" s="2"/>
      <c r="CN568" s="2"/>
      <c r="CO568" s="2"/>
      <c r="CP568" s="2"/>
      <c r="CQ568" s="2"/>
      <c r="CR568" s="2"/>
      <c r="CS568" s="2"/>
      <c r="CT568" s="2"/>
      <c r="CU568" s="2"/>
      <c r="CV568" s="2"/>
      <c r="CW568" s="2"/>
      <c r="CX568" s="2"/>
      <c r="CY568" s="2"/>
      <c r="CZ568" s="2"/>
      <c r="DA568" s="2"/>
      <c r="DB568" s="2"/>
      <c r="DC568" s="2"/>
      <c r="DD568" s="2"/>
      <c r="DE568" s="2"/>
      <c r="DF568" s="2"/>
      <c r="DG568" s="3"/>
      <c r="DH568" s="3"/>
      <c r="DI568" s="3"/>
      <c r="DJ568" s="3"/>
      <c r="DK568" s="3"/>
      <c r="DL568" s="3"/>
      <c r="DM568" s="3"/>
      <c r="DN568" s="3"/>
      <c r="DO568" s="3"/>
      <c r="DP568" s="3"/>
      <c r="DQ568" s="3"/>
      <c r="DR568" s="3"/>
      <c r="DS568" s="3"/>
      <c r="DT568" s="3"/>
      <c r="DU568" s="3"/>
      <c r="DV568" s="3"/>
      <c r="DW568" s="3"/>
      <c r="DX568" s="3"/>
      <c r="DY568" s="3"/>
      <c r="DZ568" s="3"/>
      <c r="EA568" s="3"/>
      <c r="EB568" s="3"/>
      <c r="EC568" s="3"/>
      <c r="ED568" s="3"/>
      <c r="EE568" s="3"/>
      <c r="EF568" s="3"/>
      <c r="EG568" s="3"/>
      <c r="EH568" s="3"/>
      <c r="EI568" s="3"/>
      <c r="EJ568" s="3"/>
      <c r="EK568" s="3"/>
      <c r="EL568" s="3"/>
      <c r="EM568" s="3"/>
      <c r="EN568" s="3"/>
      <c r="EO568" s="3"/>
      <c r="EP568" s="3"/>
      <c r="EQ568" s="3"/>
      <c r="ER568" s="3"/>
      <c r="ES568" s="3"/>
      <c r="ET568" s="3"/>
      <c r="EU568" s="3"/>
      <c r="EV568" s="3"/>
      <c r="EW568" s="3"/>
      <c r="EX568" s="3"/>
      <c r="EY568" s="3"/>
      <c r="EZ568" s="3"/>
      <c r="FA568" s="3"/>
      <c r="FB568" s="3"/>
      <c r="FC568" s="3"/>
      <c r="FD568" s="3"/>
      <c r="FE568" s="3"/>
      <c r="FF568" s="3"/>
      <c r="FG568" s="3"/>
      <c r="FH568" s="3"/>
      <c r="FI568" s="3"/>
      <c r="FJ568" s="3"/>
      <c r="FK568" s="3"/>
      <c r="FL568" s="3"/>
      <c r="FM568" s="3"/>
      <c r="FN568" s="3"/>
      <c r="FO568" s="3"/>
      <c r="FP568" s="3"/>
      <c r="FQ568" s="3"/>
      <c r="FR568" s="3"/>
      <c r="FS568" s="3"/>
      <c r="FT568" s="3"/>
      <c r="FU568" s="3"/>
      <c r="FV568" s="3"/>
      <c r="FW568" s="3"/>
      <c r="FX568" s="3"/>
      <c r="FY568" s="3"/>
      <c r="FZ568" s="3"/>
      <c r="GA568" s="3"/>
      <c r="GB568" s="3"/>
      <c r="GC568" s="3"/>
      <c r="GD568" s="3"/>
      <c r="GE568" s="3"/>
      <c r="GF568" s="3"/>
      <c r="GG568" s="3"/>
      <c r="GH568" s="3"/>
      <c r="GI568" s="3"/>
      <c r="GJ568" s="3"/>
      <c r="GK568" s="3"/>
      <c r="GL568" s="3"/>
      <c r="GM568" s="3"/>
      <c r="GN568" s="3"/>
      <c r="GO568" s="3"/>
      <c r="GP568" s="3"/>
      <c r="GQ568" s="3"/>
      <c r="GR568" s="3"/>
      <c r="GS568" s="3"/>
      <c r="GT568" s="3"/>
      <c r="GU568" s="3"/>
      <c r="GV568" s="3"/>
      <c r="GW568" s="3"/>
      <c r="GX568" s="3">
        <v>0</v>
      </c>
    </row>
    <row r="570" spans="1:206" x14ac:dyDescent="0.2">
      <c r="A570" s="4">
        <v>50</v>
      </c>
      <c r="B570" s="4">
        <v>0</v>
      </c>
      <c r="C570" s="4">
        <v>0</v>
      </c>
      <c r="D570" s="4">
        <v>1</v>
      </c>
      <c r="E570" s="4">
        <v>201</v>
      </c>
      <c r="F570" s="4">
        <f>ROUND(Source!O568,O570)</f>
        <v>2487923.0099999998</v>
      </c>
      <c r="G570" s="4" t="s">
        <v>118</v>
      </c>
      <c r="H570" s="4" t="s">
        <v>119</v>
      </c>
      <c r="I570" s="4"/>
      <c r="J570" s="4"/>
      <c r="K570" s="4">
        <v>201</v>
      </c>
      <c r="L570" s="4">
        <v>1</v>
      </c>
      <c r="M570" s="4">
        <v>3</v>
      </c>
      <c r="N570" s="4" t="s">
        <v>3</v>
      </c>
      <c r="O570" s="4">
        <v>2</v>
      </c>
      <c r="P570" s="4"/>
      <c r="Q570" s="4"/>
      <c r="R570" s="4"/>
      <c r="S570" s="4"/>
      <c r="T570" s="4"/>
      <c r="U570" s="4"/>
      <c r="V570" s="4"/>
      <c r="W570" s="4"/>
    </row>
    <row r="571" spans="1:206" x14ac:dyDescent="0.2">
      <c r="A571" s="4">
        <v>50</v>
      </c>
      <c r="B571" s="4">
        <v>0</v>
      </c>
      <c r="C571" s="4">
        <v>0</v>
      </c>
      <c r="D571" s="4">
        <v>1</v>
      </c>
      <c r="E571" s="4">
        <v>202</v>
      </c>
      <c r="F571" s="4">
        <f>ROUND(Source!P568,O571)</f>
        <v>2049809.3</v>
      </c>
      <c r="G571" s="4" t="s">
        <v>120</v>
      </c>
      <c r="H571" s="4" t="s">
        <v>121</v>
      </c>
      <c r="I571" s="4"/>
      <c r="J571" s="4"/>
      <c r="K571" s="4">
        <v>202</v>
      </c>
      <c r="L571" s="4">
        <v>2</v>
      </c>
      <c r="M571" s="4">
        <v>3</v>
      </c>
      <c r="N571" s="4" t="s">
        <v>3</v>
      </c>
      <c r="O571" s="4">
        <v>2</v>
      </c>
      <c r="P571" s="4"/>
      <c r="Q571" s="4"/>
      <c r="R571" s="4"/>
      <c r="S571" s="4"/>
      <c r="T571" s="4"/>
      <c r="U571" s="4"/>
      <c r="V571" s="4"/>
      <c r="W571" s="4"/>
    </row>
    <row r="572" spans="1:206" x14ac:dyDescent="0.2">
      <c r="A572" s="4">
        <v>50</v>
      </c>
      <c r="B572" s="4">
        <v>0</v>
      </c>
      <c r="C572" s="4">
        <v>0</v>
      </c>
      <c r="D572" s="4">
        <v>1</v>
      </c>
      <c r="E572" s="4">
        <v>222</v>
      </c>
      <c r="F572" s="4">
        <f>ROUND(Source!AO568,O572)</f>
        <v>0</v>
      </c>
      <c r="G572" s="4" t="s">
        <v>122</v>
      </c>
      <c r="H572" s="4" t="s">
        <v>123</v>
      </c>
      <c r="I572" s="4"/>
      <c r="J572" s="4"/>
      <c r="K572" s="4">
        <v>222</v>
      </c>
      <c r="L572" s="4">
        <v>3</v>
      </c>
      <c r="M572" s="4">
        <v>3</v>
      </c>
      <c r="N572" s="4" t="s">
        <v>3</v>
      </c>
      <c r="O572" s="4">
        <v>2</v>
      </c>
      <c r="P572" s="4"/>
      <c r="Q572" s="4"/>
      <c r="R572" s="4"/>
      <c r="S572" s="4"/>
      <c r="T572" s="4"/>
      <c r="U572" s="4"/>
      <c r="V572" s="4"/>
      <c r="W572" s="4"/>
    </row>
    <row r="573" spans="1:206" x14ac:dyDescent="0.2">
      <c r="A573" s="4">
        <v>50</v>
      </c>
      <c r="B573" s="4">
        <v>0</v>
      </c>
      <c r="C573" s="4">
        <v>0</v>
      </c>
      <c r="D573" s="4">
        <v>1</v>
      </c>
      <c r="E573" s="4">
        <v>225</v>
      </c>
      <c r="F573" s="4">
        <f>ROUND(Source!AV568,O573)</f>
        <v>2049809.3</v>
      </c>
      <c r="G573" s="4" t="s">
        <v>124</v>
      </c>
      <c r="H573" s="4" t="s">
        <v>125</v>
      </c>
      <c r="I573" s="4"/>
      <c r="J573" s="4"/>
      <c r="K573" s="4">
        <v>225</v>
      </c>
      <c r="L573" s="4">
        <v>4</v>
      </c>
      <c r="M573" s="4">
        <v>3</v>
      </c>
      <c r="N573" s="4" t="s">
        <v>3</v>
      </c>
      <c r="O573" s="4">
        <v>2</v>
      </c>
      <c r="P573" s="4"/>
      <c r="Q573" s="4"/>
      <c r="R573" s="4"/>
      <c r="S573" s="4"/>
      <c r="T573" s="4"/>
      <c r="U573" s="4"/>
      <c r="V573" s="4"/>
      <c r="W573" s="4"/>
    </row>
    <row r="574" spans="1:206" x14ac:dyDescent="0.2">
      <c r="A574" s="4">
        <v>50</v>
      </c>
      <c r="B574" s="4">
        <v>0</v>
      </c>
      <c r="C574" s="4">
        <v>0</v>
      </c>
      <c r="D574" s="4">
        <v>1</v>
      </c>
      <c r="E574" s="4">
        <v>226</v>
      </c>
      <c r="F574" s="4">
        <f>ROUND(Source!AW568,O574)</f>
        <v>2049809.3</v>
      </c>
      <c r="G574" s="4" t="s">
        <v>126</v>
      </c>
      <c r="H574" s="4" t="s">
        <v>127</v>
      </c>
      <c r="I574" s="4"/>
      <c r="J574" s="4"/>
      <c r="K574" s="4">
        <v>226</v>
      </c>
      <c r="L574" s="4">
        <v>5</v>
      </c>
      <c r="M574" s="4">
        <v>3</v>
      </c>
      <c r="N574" s="4" t="s">
        <v>3</v>
      </c>
      <c r="O574" s="4">
        <v>2</v>
      </c>
      <c r="P574" s="4"/>
      <c r="Q574" s="4"/>
      <c r="R574" s="4"/>
      <c r="S574" s="4"/>
      <c r="T574" s="4"/>
      <c r="U574" s="4"/>
      <c r="V574" s="4"/>
      <c r="W574" s="4"/>
    </row>
    <row r="575" spans="1:206" x14ac:dyDescent="0.2">
      <c r="A575" s="4">
        <v>50</v>
      </c>
      <c r="B575" s="4">
        <v>0</v>
      </c>
      <c r="C575" s="4">
        <v>0</v>
      </c>
      <c r="D575" s="4">
        <v>1</v>
      </c>
      <c r="E575" s="4">
        <v>227</v>
      </c>
      <c r="F575" s="4">
        <f>ROUND(Source!AX568,O575)</f>
        <v>0</v>
      </c>
      <c r="G575" s="4" t="s">
        <v>128</v>
      </c>
      <c r="H575" s="4" t="s">
        <v>129</v>
      </c>
      <c r="I575" s="4"/>
      <c r="J575" s="4"/>
      <c r="K575" s="4">
        <v>227</v>
      </c>
      <c r="L575" s="4">
        <v>6</v>
      </c>
      <c r="M575" s="4">
        <v>3</v>
      </c>
      <c r="N575" s="4" t="s">
        <v>3</v>
      </c>
      <c r="O575" s="4">
        <v>2</v>
      </c>
      <c r="P575" s="4"/>
      <c r="Q575" s="4"/>
      <c r="R575" s="4"/>
      <c r="S575" s="4"/>
      <c r="T575" s="4"/>
      <c r="U575" s="4"/>
      <c r="V575" s="4"/>
      <c r="W575" s="4"/>
    </row>
    <row r="576" spans="1:206" x14ac:dyDescent="0.2">
      <c r="A576" s="4">
        <v>50</v>
      </c>
      <c r="B576" s="4">
        <v>0</v>
      </c>
      <c r="C576" s="4">
        <v>0</v>
      </c>
      <c r="D576" s="4">
        <v>1</v>
      </c>
      <c r="E576" s="4">
        <v>228</v>
      </c>
      <c r="F576" s="4">
        <f>ROUND(Source!AY568,O576)</f>
        <v>2049809.3</v>
      </c>
      <c r="G576" s="4" t="s">
        <v>130</v>
      </c>
      <c r="H576" s="4" t="s">
        <v>131</v>
      </c>
      <c r="I576" s="4"/>
      <c r="J576" s="4"/>
      <c r="K576" s="4">
        <v>228</v>
      </c>
      <c r="L576" s="4">
        <v>7</v>
      </c>
      <c r="M576" s="4">
        <v>3</v>
      </c>
      <c r="N576" s="4" t="s">
        <v>3</v>
      </c>
      <c r="O576" s="4">
        <v>2</v>
      </c>
      <c r="P576" s="4"/>
      <c r="Q576" s="4"/>
      <c r="R576" s="4"/>
      <c r="S576" s="4"/>
      <c r="T576" s="4"/>
      <c r="U576" s="4"/>
      <c r="V576" s="4"/>
      <c r="W576" s="4"/>
    </row>
    <row r="577" spans="1:23" x14ac:dyDescent="0.2">
      <c r="A577" s="4">
        <v>50</v>
      </c>
      <c r="B577" s="4">
        <v>0</v>
      </c>
      <c r="C577" s="4">
        <v>0</v>
      </c>
      <c r="D577" s="4">
        <v>1</v>
      </c>
      <c r="E577" s="4">
        <v>216</v>
      </c>
      <c r="F577" s="4">
        <f>ROUND(Source!AP568,O577)</f>
        <v>0</v>
      </c>
      <c r="G577" s="4" t="s">
        <v>132</v>
      </c>
      <c r="H577" s="4" t="s">
        <v>133</v>
      </c>
      <c r="I577" s="4"/>
      <c r="J577" s="4"/>
      <c r="K577" s="4">
        <v>216</v>
      </c>
      <c r="L577" s="4">
        <v>8</v>
      </c>
      <c r="M577" s="4">
        <v>3</v>
      </c>
      <c r="N577" s="4" t="s">
        <v>3</v>
      </c>
      <c r="O577" s="4">
        <v>2</v>
      </c>
      <c r="P577" s="4"/>
      <c r="Q577" s="4"/>
      <c r="R577" s="4"/>
      <c r="S577" s="4"/>
      <c r="T577" s="4"/>
      <c r="U577" s="4"/>
      <c r="V577" s="4"/>
      <c r="W577" s="4"/>
    </row>
    <row r="578" spans="1:23" x14ac:dyDescent="0.2">
      <c r="A578" s="4">
        <v>50</v>
      </c>
      <c r="B578" s="4">
        <v>0</v>
      </c>
      <c r="C578" s="4">
        <v>0</v>
      </c>
      <c r="D578" s="4">
        <v>1</v>
      </c>
      <c r="E578" s="4">
        <v>223</v>
      </c>
      <c r="F578" s="4">
        <f>ROUND(Source!AQ568,O578)</f>
        <v>0</v>
      </c>
      <c r="G578" s="4" t="s">
        <v>134</v>
      </c>
      <c r="H578" s="4" t="s">
        <v>135</v>
      </c>
      <c r="I578" s="4"/>
      <c r="J578" s="4"/>
      <c r="K578" s="4">
        <v>223</v>
      </c>
      <c r="L578" s="4">
        <v>9</v>
      </c>
      <c r="M578" s="4">
        <v>3</v>
      </c>
      <c r="N578" s="4" t="s">
        <v>3</v>
      </c>
      <c r="O578" s="4">
        <v>2</v>
      </c>
      <c r="P578" s="4"/>
      <c r="Q578" s="4"/>
      <c r="R578" s="4"/>
      <c r="S578" s="4"/>
      <c r="T578" s="4"/>
      <c r="U578" s="4"/>
      <c r="V578" s="4"/>
      <c r="W578" s="4"/>
    </row>
    <row r="579" spans="1:23" x14ac:dyDescent="0.2">
      <c r="A579" s="4">
        <v>50</v>
      </c>
      <c r="B579" s="4">
        <v>0</v>
      </c>
      <c r="C579" s="4">
        <v>0</v>
      </c>
      <c r="D579" s="4">
        <v>1</v>
      </c>
      <c r="E579" s="4">
        <v>229</v>
      </c>
      <c r="F579" s="4">
        <f>ROUND(Source!AZ568,O579)</f>
        <v>0</v>
      </c>
      <c r="G579" s="4" t="s">
        <v>136</v>
      </c>
      <c r="H579" s="4" t="s">
        <v>137</v>
      </c>
      <c r="I579" s="4"/>
      <c r="J579" s="4"/>
      <c r="K579" s="4">
        <v>229</v>
      </c>
      <c r="L579" s="4">
        <v>10</v>
      </c>
      <c r="M579" s="4">
        <v>3</v>
      </c>
      <c r="N579" s="4" t="s">
        <v>3</v>
      </c>
      <c r="O579" s="4">
        <v>2</v>
      </c>
      <c r="P579" s="4"/>
      <c r="Q579" s="4"/>
      <c r="R579" s="4"/>
      <c r="S579" s="4"/>
      <c r="T579" s="4"/>
      <c r="U579" s="4"/>
      <c r="V579" s="4"/>
      <c r="W579" s="4"/>
    </row>
    <row r="580" spans="1:23" x14ac:dyDescent="0.2">
      <c r="A580" s="4">
        <v>50</v>
      </c>
      <c r="B580" s="4">
        <v>0</v>
      </c>
      <c r="C580" s="4">
        <v>0</v>
      </c>
      <c r="D580" s="4">
        <v>1</v>
      </c>
      <c r="E580" s="4">
        <v>203</v>
      </c>
      <c r="F580" s="4">
        <f>ROUND(Source!Q568,O580)</f>
        <v>197380.22</v>
      </c>
      <c r="G580" s="4" t="s">
        <v>138</v>
      </c>
      <c r="H580" s="4" t="s">
        <v>139</v>
      </c>
      <c r="I580" s="4"/>
      <c r="J580" s="4"/>
      <c r="K580" s="4">
        <v>203</v>
      </c>
      <c r="L580" s="4">
        <v>11</v>
      </c>
      <c r="M580" s="4">
        <v>3</v>
      </c>
      <c r="N580" s="4" t="s">
        <v>3</v>
      </c>
      <c r="O580" s="4">
        <v>2</v>
      </c>
      <c r="P580" s="4"/>
      <c r="Q580" s="4"/>
      <c r="R580" s="4"/>
      <c r="S580" s="4"/>
      <c r="T580" s="4"/>
      <c r="U580" s="4"/>
      <c r="V580" s="4"/>
      <c r="W580" s="4"/>
    </row>
    <row r="581" spans="1:23" x14ac:dyDescent="0.2">
      <c r="A581" s="4">
        <v>50</v>
      </c>
      <c r="B581" s="4">
        <v>0</v>
      </c>
      <c r="C581" s="4">
        <v>0</v>
      </c>
      <c r="D581" s="4">
        <v>1</v>
      </c>
      <c r="E581" s="4">
        <v>231</v>
      </c>
      <c r="F581" s="4">
        <f>ROUND(Source!BB568,O581)</f>
        <v>0</v>
      </c>
      <c r="G581" s="4" t="s">
        <v>140</v>
      </c>
      <c r="H581" s="4" t="s">
        <v>141</v>
      </c>
      <c r="I581" s="4"/>
      <c r="J581" s="4"/>
      <c r="K581" s="4">
        <v>231</v>
      </c>
      <c r="L581" s="4">
        <v>12</v>
      </c>
      <c r="M581" s="4">
        <v>3</v>
      </c>
      <c r="N581" s="4" t="s">
        <v>3</v>
      </c>
      <c r="O581" s="4">
        <v>2</v>
      </c>
      <c r="P581" s="4"/>
      <c r="Q581" s="4"/>
      <c r="R581" s="4"/>
      <c r="S581" s="4"/>
      <c r="T581" s="4"/>
      <c r="U581" s="4"/>
      <c r="V581" s="4"/>
      <c r="W581" s="4"/>
    </row>
    <row r="582" spans="1:23" x14ac:dyDescent="0.2">
      <c r="A582" s="4">
        <v>50</v>
      </c>
      <c r="B582" s="4">
        <v>0</v>
      </c>
      <c r="C582" s="4">
        <v>0</v>
      </c>
      <c r="D582" s="4">
        <v>1</v>
      </c>
      <c r="E582" s="4">
        <v>204</v>
      </c>
      <c r="F582" s="4">
        <f>ROUND(Source!R568,O582)</f>
        <v>103360.22</v>
      </c>
      <c r="G582" s="4" t="s">
        <v>142</v>
      </c>
      <c r="H582" s="4" t="s">
        <v>143</v>
      </c>
      <c r="I582" s="4"/>
      <c r="J582" s="4"/>
      <c r="K582" s="4">
        <v>204</v>
      </c>
      <c r="L582" s="4">
        <v>13</v>
      </c>
      <c r="M582" s="4">
        <v>3</v>
      </c>
      <c r="N582" s="4" t="s">
        <v>3</v>
      </c>
      <c r="O582" s="4">
        <v>2</v>
      </c>
      <c r="P582" s="4"/>
      <c r="Q582" s="4"/>
      <c r="R582" s="4"/>
      <c r="S582" s="4"/>
      <c r="T582" s="4"/>
      <c r="U582" s="4"/>
      <c r="V582" s="4"/>
      <c r="W582" s="4"/>
    </row>
    <row r="583" spans="1:23" x14ac:dyDescent="0.2">
      <c r="A583" s="4">
        <v>50</v>
      </c>
      <c r="B583" s="4">
        <v>0</v>
      </c>
      <c r="C583" s="4">
        <v>0</v>
      </c>
      <c r="D583" s="4">
        <v>1</v>
      </c>
      <c r="E583" s="4">
        <v>205</v>
      </c>
      <c r="F583" s="4">
        <f>ROUND(Source!S568,O583)</f>
        <v>240733.49</v>
      </c>
      <c r="G583" s="4" t="s">
        <v>144</v>
      </c>
      <c r="H583" s="4" t="s">
        <v>145</v>
      </c>
      <c r="I583" s="4"/>
      <c r="J583" s="4"/>
      <c r="K583" s="4">
        <v>205</v>
      </c>
      <c r="L583" s="4">
        <v>14</v>
      </c>
      <c r="M583" s="4">
        <v>3</v>
      </c>
      <c r="N583" s="4" t="s">
        <v>3</v>
      </c>
      <c r="O583" s="4">
        <v>2</v>
      </c>
      <c r="P583" s="4"/>
      <c r="Q583" s="4"/>
      <c r="R583" s="4"/>
      <c r="S583" s="4"/>
      <c r="T583" s="4"/>
      <c r="U583" s="4"/>
      <c r="V583" s="4"/>
      <c r="W583" s="4"/>
    </row>
    <row r="584" spans="1:23" x14ac:dyDescent="0.2">
      <c r="A584" s="4">
        <v>50</v>
      </c>
      <c r="B584" s="4">
        <v>0</v>
      </c>
      <c r="C584" s="4">
        <v>0</v>
      </c>
      <c r="D584" s="4">
        <v>1</v>
      </c>
      <c r="E584" s="4">
        <v>232</v>
      </c>
      <c r="F584" s="4">
        <f>ROUND(Source!BC568,O584)</f>
        <v>0</v>
      </c>
      <c r="G584" s="4" t="s">
        <v>146</v>
      </c>
      <c r="H584" s="4" t="s">
        <v>147</v>
      </c>
      <c r="I584" s="4"/>
      <c r="J584" s="4"/>
      <c r="K584" s="4">
        <v>232</v>
      </c>
      <c r="L584" s="4">
        <v>15</v>
      </c>
      <c r="M584" s="4">
        <v>3</v>
      </c>
      <c r="N584" s="4" t="s">
        <v>3</v>
      </c>
      <c r="O584" s="4">
        <v>2</v>
      </c>
      <c r="P584" s="4"/>
      <c r="Q584" s="4"/>
      <c r="R584" s="4"/>
      <c r="S584" s="4"/>
      <c r="T584" s="4"/>
      <c r="U584" s="4"/>
      <c r="V584" s="4"/>
      <c r="W584" s="4"/>
    </row>
    <row r="585" spans="1:23" x14ac:dyDescent="0.2">
      <c r="A585" s="4">
        <v>50</v>
      </c>
      <c r="B585" s="4">
        <v>0</v>
      </c>
      <c r="C585" s="4">
        <v>0</v>
      </c>
      <c r="D585" s="4">
        <v>1</v>
      </c>
      <c r="E585" s="4">
        <v>214</v>
      </c>
      <c r="F585" s="4">
        <f>ROUND(Source!AS568,O585)</f>
        <v>0</v>
      </c>
      <c r="G585" s="4" t="s">
        <v>148</v>
      </c>
      <c r="H585" s="4" t="s">
        <v>149</v>
      </c>
      <c r="I585" s="4"/>
      <c r="J585" s="4"/>
      <c r="K585" s="4">
        <v>214</v>
      </c>
      <c r="L585" s="4">
        <v>16</v>
      </c>
      <c r="M585" s="4">
        <v>3</v>
      </c>
      <c r="N585" s="4" t="s">
        <v>3</v>
      </c>
      <c r="O585" s="4">
        <v>2</v>
      </c>
      <c r="P585" s="4"/>
      <c r="Q585" s="4"/>
      <c r="R585" s="4"/>
      <c r="S585" s="4"/>
      <c r="T585" s="4"/>
      <c r="U585" s="4"/>
      <c r="V585" s="4"/>
      <c r="W585" s="4"/>
    </row>
    <row r="586" spans="1:23" x14ac:dyDescent="0.2">
      <c r="A586" s="4">
        <v>50</v>
      </c>
      <c r="B586" s="4">
        <v>0</v>
      </c>
      <c r="C586" s="4">
        <v>0</v>
      </c>
      <c r="D586" s="4">
        <v>1</v>
      </c>
      <c r="E586" s="4">
        <v>215</v>
      </c>
      <c r="F586" s="4">
        <f>ROUND(Source!AT568,O586)</f>
        <v>0</v>
      </c>
      <c r="G586" s="4" t="s">
        <v>150</v>
      </c>
      <c r="H586" s="4" t="s">
        <v>151</v>
      </c>
      <c r="I586" s="4"/>
      <c r="J586" s="4"/>
      <c r="K586" s="4">
        <v>215</v>
      </c>
      <c r="L586" s="4">
        <v>17</v>
      </c>
      <c r="M586" s="4">
        <v>3</v>
      </c>
      <c r="N586" s="4" t="s">
        <v>3</v>
      </c>
      <c r="O586" s="4">
        <v>2</v>
      </c>
      <c r="P586" s="4"/>
      <c r="Q586" s="4"/>
      <c r="R586" s="4"/>
      <c r="S586" s="4"/>
      <c r="T586" s="4"/>
      <c r="U586" s="4"/>
      <c r="V586" s="4"/>
      <c r="W586" s="4"/>
    </row>
    <row r="587" spans="1:23" x14ac:dyDescent="0.2">
      <c r="A587" s="4">
        <v>50</v>
      </c>
      <c r="B587" s="4">
        <v>0</v>
      </c>
      <c r="C587" s="4">
        <v>0</v>
      </c>
      <c r="D587" s="4">
        <v>1</v>
      </c>
      <c r="E587" s="4">
        <v>217</v>
      </c>
      <c r="F587" s="4">
        <f>ROUND(Source!AU568,O587)</f>
        <v>2726620.19</v>
      </c>
      <c r="G587" s="4" t="s">
        <v>152</v>
      </c>
      <c r="H587" s="4" t="s">
        <v>153</v>
      </c>
      <c r="I587" s="4"/>
      <c r="J587" s="4"/>
      <c r="K587" s="4">
        <v>217</v>
      </c>
      <c r="L587" s="4">
        <v>18</v>
      </c>
      <c r="M587" s="4">
        <v>3</v>
      </c>
      <c r="N587" s="4" t="s">
        <v>3</v>
      </c>
      <c r="O587" s="4">
        <v>2</v>
      </c>
      <c r="P587" s="4"/>
      <c r="Q587" s="4"/>
      <c r="R587" s="4"/>
      <c r="S587" s="4"/>
      <c r="T587" s="4"/>
      <c r="U587" s="4"/>
      <c r="V587" s="4"/>
      <c r="W587" s="4"/>
    </row>
    <row r="588" spans="1:23" x14ac:dyDescent="0.2">
      <c r="A588" s="4">
        <v>50</v>
      </c>
      <c r="B588" s="4">
        <v>0</v>
      </c>
      <c r="C588" s="4">
        <v>0</v>
      </c>
      <c r="D588" s="4">
        <v>1</v>
      </c>
      <c r="E588" s="4">
        <v>230</v>
      </c>
      <c r="F588" s="4">
        <f>ROUND(Source!BA568,O588)</f>
        <v>0</v>
      </c>
      <c r="G588" s="4" t="s">
        <v>154</v>
      </c>
      <c r="H588" s="4" t="s">
        <v>155</v>
      </c>
      <c r="I588" s="4"/>
      <c r="J588" s="4"/>
      <c r="K588" s="4">
        <v>230</v>
      </c>
      <c r="L588" s="4">
        <v>19</v>
      </c>
      <c r="M588" s="4">
        <v>3</v>
      </c>
      <c r="N588" s="4" t="s">
        <v>3</v>
      </c>
      <c r="O588" s="4">
        <v>2</v>
      </c>
      <c r="P588" s="4"/>
      <c r="Q588" s="4"/>
      <c r="R588" s="4"/>
      <c r="S588" s="4"/>
      <c r="T588" s="4"/>
      <c r="U588" s="4"/>
      <c r="V588" s="4"/>
      <c r="W588" s="4"/>
    </row>
    <row r="589" spans="1:23" x14ac:dyDescent="0.2">
      <c r="A589" s="4">
        <v>50</v>
      </c>
      <c r="B589" s="4">
        <v>0</v>
      </c>
      <c r="C589" s="4">
        <v>0</v>
      </c>
      <c r="D589" s="4">
        <v>1</v>
      </c>
      <c r="E589" s="4">
        <v>206</v>
      </c>
      <c r="F589" s="4">
        <f>ROUND(Source!T568,O589)</f>
        <v>0</v>
      </c>
      <c r="G589" s="4" t="s">
        <v>156</v>
      </c>
      <c r="H589" s="4" t="s">
        <v>157</v>
      </c>
      <c r="I589" s="4"/>
      <c r="J589" s="4"/>
      <c r="K589" s="4">
        <v>206</v>
      </c>
      <c r="L589" s="4">
        <v>20</v>
      </c>
      <c r="M589" s="4">
        <v>3</v>
      </c>
      <c r="N589" s="4" t="s">
        <v>3</v>
      </c>
      <c r="O589" s="4">
        <v>2</v>
      </c>
      <c r="P589" s="4"/>
      <c r="Q589" s="4"/>
      <c r="R589" s="4"/>
      <c r="S589" s="4"/>
      <c r="T589" s="4"/>
      <c r="U589" s="4"/>
      <c r="V589" s="4"/>
      <c r="W589" s="4"/>
    </row>
    <row r="590" spans="1:23" x14ac:dyDescent="0.2">
      <c r="A590" s="4">
        <v>50</v>
      </c>
      <c r="B590" s="4">
        <v>0</v>
      </c>
      <c r="C590" s="4">
        <v>0</v>
      </c>
      <c r="D590" s="4">
        <v>1</v>
      </c>
      <c r="E590" s="4">
        <v>207</v>
      </c>
      <c r="F590" s="4">
        <f>Source!U568</f>
        <v>1105.6031759999998</v>
      </c>
      <c r="G590" s="4" t="s">
        <v>158</v>
      </c>
      <c r="H590" s="4" t="s">
        <v>159</v>
      </c>
      <c r="I590" s="4"/>
      <c r="J590" s="4"/>
      <c r="K590" s="4">
        <v>207</v>
      </c>
      <c r="L590" s="4">
        <v>21</v>
      </c>
      <c r="M590" s="4">
        <v>3</v>
      </c>
      <c r="N590" s="4" t="s">
        <v>3</v>
      </c>
      <c r="O590" s="4">
        <v>-1</v>
      </c>
      <c r="P590" s="4"/>
      <c r="Q590" s="4"/>
      <c r="R590" s="4"/>
      <c r="S590" s="4"/>
      <c r="T590" s="4"/>
      <c r="U590" s="4"/>
      <c r="V590" s="4"/>
      <c r="W590" s="4"/>
    </row>
    <row r="591" spans="1:23" x14ac:dyDescent="0.2">
      <c r="A591" s="4">
        <v>50</v>
      </c>
      <c r="B591" s="4">
        <v>0</v>
      </c>
      <c r="C591" s="4">
        <v>0</v>
      </c>
      <c r="D591" s="4">
        <v>1</v>
      </c>
      <c r="E591" s="4">
        <v>208</v>
      </c>
      <c r="F591" s="4">
        <f>Source!V568</f>
        <v>0</v>
      </c>
      <c r="G591" s="4" t="s">
        <v>160</v>
      </c>
      <c r="H591" s="4" t="s">
        <v>161</v>
      </c>
      <c r="I591" s="4"/>
      <c r="J591" s="4"/>
      <c r="K591" s="4">
        <v>208</v>
      </c>
      <c r="L591" s="4">
        <v>22</v>
      </c>
      <c r="M591" s="4">
        <v>3</v>
      </c>
      <c r="N591" s="4" t="s">
        <v>3</v>
      </c>
      <c r="O591" s="4">
        <v>-1</v>
      </c>
      <c r="P591" s="4"/>
      <c r="Q591" s="4"/>
      <c r="R591" s="4"/>
      <c r="S591" s="4"/>
      <c r="T591" s="4"/>
      <c r="U591" s="4"/>
      <c r="V591" s="4"/>
      <c r="W591" s="4"/>
    </row>
    <row r="592" spans="1:23" x14ac:dyDescent="0.2">
      <c r="A592" s="4">
        <v>50</v>
      </c>
      <c r="B592" s="4">
        <v>0</v>
      </c>
      <c r="C592" s="4">
        <v>0</v>
      </c>
      <c r="D592" s="4">
        <v>1</v>
      </c>
      <c r="E592" s="4">
        <v>209</v>
      </c>
      <c r="F592" s="4">
        <f>ROUND(Source!W568,O592)</f>
        <v>0</v>
      </c>
      <c r="G592" s="4" t="s">
        <v>162</v>
      </c>
      <c r="H592" s="4" t="s">
        <v>163</v>
      </c>
      <c r="I592" s="4"/>
      <c r="J592" s="4"/>
      <c r="K592" s="4">
        <v>209</v>
      </c>
      <c r="L592" s="4">
        <v>23</v>
      </c>
      <c r="M592" s="4">
        <v>3</v>
      </c>
      <c r="N592" s="4" t="s">
        <v>3</v>
      </c>
      <c r="O592" s="4">
        <v>2</v>
      </c>
      <c r="P592" s="4"/>
      <c r="Q592" s="4"/>
      <c r="R592" s="4"/>
      <c r="S592" s="4"/>
      <c r="T592" s="4"/>
      <c r="U592" s="4"/>
      <c r="V592" s="4"/>
      <c r="W592" s="4"/>
    </row>
    <row r="593" spans="1:206" x14ac:dyDescent="0.2">
      <c r="A593" s="4">
        <v>50</v>
      </c>
      <c r="B593" s="4">
        <v>0</v>
      </c>
      <c r="C593" s="4">
        <v>0</v>
      </c>
      <c r="D593" s="4">
        <v>1</v>
      </c>
      <c r="E593" s="4">
        <v>233</v>
      </c>
      <c r="F593" s="4">
        <f>ROUND(Source!BD568,O593)</f>
        <v>0</v>
      </c>
      <c r="G593" s="4" t="s">
        <v>164</v>
      </c>
      <c r="H593" s="4" t="s">
        <v>165</v>
      </c>
      <c r="I593" s="4"/>
      <c r="J593" s="4"/>
      <c r="K593" s="4">
        <v>233</v>
      </c>
      <c r="L593" s="4">
        <v>24</v>
      </c>
      <c r="M593" s="4">
        <v>3</v>
      </c>
      <c r="N593" s="4" t="s">
        <v>3</v>
      </c>
      <c r="O593" s="4">
        <v>2</v>
      </c>
      <c r="P593" s="4"/>
      <c r="Q593" s="4"/>
      <c r="R593" s="4"/>
      <c r="S593" s="4"/>
      <c r="T593" s="4"/>
      <c r="U593" s="4"/>
      <c r="V593" s="4"/>
      <c r="W593" s="4"/>
    </row>
    <row r="594" spans="1:206" x14ac:dyDescent="0.2">
      <c r="A594" s="4">
        <v>50</v>
      </c>
      <c r="B594" s="4">
        <v>0</v>
      </c>
      <c r="C594" s="4">
        <v>0</v>
      </c>
      <c r="D594" s="4">
        <v>1</v>
      </c>
      <c r="E594" s="4">
        <v>210</v>
      </c>
      <c r="F594" s="4">
        <f>ROUND(Source!X568,O594)</f>
        <v>168513.47</v>
      </c>
      <c r="G594" s="4" t="s">
        <v>166</v>
      </c>
      <c r="H594" s="4" t="s">
        <v>167</v>
      </c>
      <c r="I594" s="4"/>
      <c r="J594" s="4"/>
      <c r="K594" s="4">
        <v>210</v>
      </c>
      <c r="L594" s="4">
        <v>25</v>
      </c>
      <c r="M594" s="4">
        <v>3</v>
      </c>
      <c r="N594" s="4" t="s">
        <v>3</v>
      </c>
      <c r="O594" s="4">
        <v>2</v>
      </c>
      <c r="P594" s="4"/>
      <c r="Q594" s="4"/>
      <c r="R594" s="4"/>
      <c r="S594" s="4"/>
      <c r="T594" s="4"/>
      <c r="U594" s="4"/>
      <c r="V594" s="4"/>
      <c r="W594" s="4"/>
    </row>
    <row r="595" spans="1:206" x14ac:dyDescent="0.2">
      <c r="A595" s="4">
        <v>50</v>
      </c>
      <c r="B595" s="4">
        <v>0</v>
      </c>
      <c r="C595" s="4">
        <v>0</v>
      </c>
      <c r="D595" s="4">
        <v>1</v>
      </c>
      <c r="E595" s="4">
        <v>211</v>
      </c>
      <c r="F595" s="4">
        <f>ROUND(Source!Y568,O595)</f>
        <v>24073.38</v>
      </c>
      <c r="G595" s="4" t="s">
        <v>168</v>
      </c>
      <c r="H595" s="4" t="s">
        <v>169</v>
      </c>
      <c r="I595" s="4"/>
      <c r="J595" s="4"/>
      <c r="K595" s="4">
        <v>211</v>
      </c>
      <c r="L595" s="4">
        <v>26</v>
      </c>
      <c r="M595" s="4">
        <v>3</v>
      </c>
      <c r="N595" s="4" t="s">
        <v>3</v>
      </c>
      <c r="O595" s="4">
        <v>2</v>
      </c>
      <c r="P595" s="4"/>
      <c r="Q595" s="4"/>
      <c r="R595" s="4"/>
      <c r="S595" s="4"/>
      <c r="T595" s="4"/>
      <c r="U595" s="4"/>
      <c r="V595" s="4"/>
      <c r="W595" s="4"/>
    </row>
    <row r="596" spans="1:206" x14ac:dyDescent="0.2">
      <c r="A596" s="4">
        <v>50</v>
      </c>
      <c r="B596" s="4">
        <v>0</v>
      </c>
      <c r="C596" s="4">
        <v>0</v>
      </c>
      <c r="D596" s="4">
        <v>1</v>
      </c>
      <c r="E596" s="4">
        <v>224</v>
      </c>
      <c r="F596" s="4">
        <f>ROUND(Source!AR568,O596)</f>
        <v>2726620.19</v>
      </c>
      <c r="G596" s="4" t="s">
        <v>170</v>
      </c>
      <c r="H596" s="4" t="s">
        <v>171</v>
      </c>
      <c r="I596" s="4"/>
      <c r="J596" s="4"/>
      <c r="K596" s="4">
        <v>224</v>
      </c>
      <c r="L596" s="4">
        <v>27</v>
      </c>
      <c r="M596" s="4">
        <v>3</v>
      </c>
      <c r="N596" s="4" t="s">
        <v>3</v>
      </c>
      <c r="O596" s="4">
        <v>2</v>
      </c>
      <c r="P596" s="4"/>
      <c r="Q596" s="4"/>
      <c r="R596" s="4"/>
      <c r="S596" s="4"/>
      <c r="T596" s="4"/>
      <c r="U596" s="4"/>
      <c r="V596" s="4"/>
      <c r="W596" s="4"/>
    </row>
    <row r="597" spans="1:206" x14ac:dyDescent="0.2">
      <c r="A597" s="4">
        <v>50</v>
      </c>
      <c r="B597" s="4">
        <v>1</v>
      </c>
      <c r="C597" s="4">
        <v>0</v>
      </c>
      <c r="D597" s="4">
        <v>2</v>
      </c>
      <c r="E597" s="4">
        <v>0</v>
      </c>
      <c r="F597" s="4">
        <f>ROUND(F596,O597)</f>
        <v>2726620.19</v>
      </c>
      <c r="G597" s="4" t="s">
        <v>172</v>
      </c>
      <c r="H597" s="4" t="s">
        <v>173</v>
      </c>
      <c r="I597" s="4"/>
      <c r="J597" s="4"/>
      <c r="K597" s="4">
        <v>212</v>
      </c>
      <c r="L597" s="4">
        <v>28</v>
      </c>
      <c r="M597" s="4">
        <v>0</v>
      </c>
      <c r="N597" s="4" t="s">
        <v>3</v>
      </c>
      <c r="O597" s="4">
        <v>2</v>
      </c>
      <c r="P597" s="4"/>
      <c r="Q597" s="4"/>
      <c r="R597" s="4"/>
      <c r="S597" s="4"/>
      <c r="T597" s="4"/>
      <c r="U597" s="4"/>
      <c r="V597" s="4"/>
      <c r="W597" s="4"/>
    </row>
    <row r="598" spans="1:206" x14ac:dyDescent="0.2">
      <c r="A598" s="4">
        <v>50</v>
      </c>
      <c r="B598" s="4">
        <v>1</v>
      </c>
      <c r="C598" s="4">
        <v>0</v>
      </c>
      <c r="D598" s="4">
        <v>2</v>
      </c>
      <c r="E598" s="4">
        <v>0</v>
      </c>
      <c r="F598" s="4">
        <f>ROUND(F597*0.2,O598)</f>
        <v>545324.04</v>
      </c>
      <c r="G598" s="4" t="s">
        <v>174</v>
      </c>
      <c r="H598" s="4" t="s">
        <v>175</v>
      </c>
      <c r="I598" s="4"/>
      <c r="J598" s="4"/>
      <c r="K598" s="4">
        <v>212</v>
      </c>
      <c r="L598" s="4">
        <v>29</v>
      </c>
      <c r="M598" s="4">
        <v>0</v>
      </c>
      <c r="N598" s="4" t="s">
        <v>3</v>
      </c>
      <c r="O598" s="4">
        <v>2</v>
      </c>
      <c r="P598" s="4"/>
      <c r="Q598" s="4"/>
      <c r="R598" s="4"/>
      <c r="S598" s="4"/>
      <c r="T598" s="4"/>
      <c r="U598" s="4"/>
      <c r="V598" s="4"/>
      <c r="W598" s="4"/>
    </row>
    <row r="599" spans="1:206" x14ac:dyDescent="0.2">
      <c r="A599" s="4">
        <v>50</v>
      </c>
      <c r="B599" s="4">
        <v>1</v>
      </c>
      <c r="C599" s="4">
        <v>0</v>
      </c>
      <c r="D599" s="4">
        <v>2</v>
      </c>
      <c r="E599" s="4">
        <v>213</v>
      </c>
      <c r="F599" s="4">
        <f>ROUND(F597+F598,O599)</f>
        <v>3271944.23</v>
      </c>
      <c r="G599" s="4" t="s">
        <v>176</v>
      </c>
      <c r="H599" s="4" t="s">
        <v>170</v>
      </c>
      <c r="I599" s="4"/>
      <c r="J599" s="4"/>
      <c r="K599" s="4">
        <v>212</v>
      </c>
      <c r="L599" s="4">
        <v>30</v>
      </c>
      <c r="M599" s="4">
        <v>0</v>
      </c>
      <c r="N599" s="4" t="s">
        <v>3</v>
      </c>
      <c r="O599" s="4">
        <v>2</v>
      </c>
      <c r="P599" s="4"/>
      <c r="Q599" s="4"/>
      <c r="R599" s="4"/>
      <c r="S599" s="4"/>
      <c r="T599" s="4"/>
      <c r="U599" s="4"/>
      <c r="V599" s="4"/>
      <c r="W599" s="4"/>
    </row>
    <row r="601" spans="1:206" x14ac:dyDescent="0.2">
      <c r="A601" s="2">
        <v>51</v>
      </c>
      <c r="B601" s="2">
        <f>B12</f>
        <v>637</v>
      </c>
      <c r="C601" s="2">
        <f>A12</f>
        <v>1</v>
      </c>
      <c r="D601" s="2">
        <f>ROW(A12)</f>
        <v>12</v>
      </c>
      <c r="E601" s="2"/>
      <c r="F601" s="2" t="str">
        <f>IF(F12&lt;&gt;"",F12,"")</f>
        <v>Новый объект</v>
      </c>
      <c r="G601" s="2" t="str">
        <f>IF(G12&lt;&gt;"",G12,"")</f>
        <v>Выполнение работ по благоустройству территории для нужд БОУ Школа № 1018 ул. Чоботовская д 7</v>
      </c>
      <c r="H601" s="2">
        <v>0</v>
      </c>
      <c r="I601" s="2"/>
      <c r="J601" s="2"/>
      <c r="K601" s="2"/>
      <c r="L601" s="2"/>
      <c r="M601" s="2"/>
      <c r="N601" s="2"/>
      <c r="O601" s="2">
        <f t="shared" ref="O601:T601" si="466">ROUND(O568,2)</f>
        <v>2487923.0099999998</v>
      </c>
      <c r="P601" s="2">
        <f t="shared" si="466"/>
        <v>2049809.3</v>
      </c>
      <c r="Q601" s="2">
        <f t="shared" si="466"/>
        <v>197380.22</v>
      </c>
      <c r="R601" s="2">
        <f t="shared" si="466"/>
        <v>103360.22</v>
      </c>
      <c r="S601" s="2">
        <f t="shared" si="466"/>
        <v>240733.49</v>
      </c>
      <c r="T601" s="2">
        <f t="shared" si="466"/>
        <v>0</v>
      </c>
      <c r="U601" s="2">
        <f>U568</f>
        <v>1105.6031759999998</v>
      </c>
      <c r="V601" s="2">
        <f>V568</f>
        <v>0</v>
      </c>
      <c r="W601" s="2">
        <f>ROUND(W568,2)</f>
        <v>0</v>
      </c>
      <c r="X601" s="2">
        <f>ROUND(X568,2)</f>
        <v>168513.47</v>
      </c>
      <c r="Y601" s="2">
        <f>ROUND(Y568,2)</f>
        <v>24073.38</v>
      </c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>
        <f t="shared" ref="AO601:BD601" si="467">ROUND(AO568,2)</f>
        <v>0</v>
      </c>
      <c r="AP601" s="2">
        <f t="shared" si="467"/>
        <v>0</v>
      </c>
      <c r="AQ601" s="2">
        <f t="shared" si="467"/>
        <v>0</v>
      </c>
      <c r="AR601" s="2">
        <f t="shared" si="467"/>
        <v>2726620.19</v>
      </c>
      <c r="AS601" s="2">
        <f t="shared" si="467"/>
        <v>0</v>
      </c>
      <c r="AT601" s="2">
        <f t="shared" si="467"/>
        <v>0</v>
      </c>
      <c r="AU601" s="2">
        <f t="shared" si="467"/>
        <v>2726620.19</v>
      </c>
      <c r="AV601" s="2">
        <f t="shared" si="467"/>
        <v>2049809.3</v>
      </c>
      <c r="AW601" s="2">
        <f t="shared" si="467"/>
        <v>2049809.3</v>
      </c>
      <c r="AX601" s="2">
        <f t="shared" si="467"/>
        <v>0</v>
      </c>
      <c r="AY601" s="2">
        <f t="shared" si="467"/>
        <v>2049809.3</v>
      </c>
      <c r="AZ601" s="2">
        <f t="shared" si="467"/>
        <v>0</v>
      </c>
      <c r="BA601" s="2">
        <f t="shared" si="467"/>
        <v>0</v>
      </c>
      <c r="BB601" s="2">
        <f t="shared" si="467"/>
        <v>0</v>
      </c>
      <c r="BC601" s="2">
        <f t="shared" si="467"/>
        <v>0</v>
      </c>
      <c r="BD601" s="2">
        <f t="shared" si="467"/>
        <v>0</v>
      </c>
      <c r="BE601" s="2"/>
      <c r="BF601" s="2"/>
      <c r="BG601" s="2"/>
      <c r="BH601" s="2"/>
      <c r="BI601" s="2"/>
      <c r="BJ601" s="2"/>
      <c r="BK601" s="2"/>
      <c r="BL601" s="2"/>
      <c r="BM601" s="2"/>
      <c r="BN601" s="2"/>
      <c r="BO601" s="2"/>
      <c r="BP601" s="2"/>
      <c r="BQ601" s="2"/>
      <c r="BR601" s="2"/>
      <c r="BS601" s="2"/>
      <c r="BT601" s="2"/>
      <c r="BU601" s="2"/>
      <c r="BV601" s="2"/>
      <c r="BW601" s="2"/>
      <c r="BX601" s="2"/>
      <c r="BY601" s="2"/>
      <c r="BZ601" s="2"/>
      <c r="CA601" s="2"/>
      <c r="CB601" s="2"/>
      <c r="CC601" s="2"/>
      <c r="CD601" s="2"/>
      <c r="CE601" s="2"/>
      <c r="CF601" s="2"/>
      <c r="CG601" s="2"/>
      <c r="CH601" s="2"/>
      <c r="CI601" s="2"/>
      <c r="CJ601" s="2"/>
      <c r="CK601" s="2"/>
      <c r="CL601" s="2"/>
      <c r="CM601" s="2"/>
      <c r="CN601" s="2"/>
      <c r="CO601" s="2"/>
      <c r="CP601" s="2"/>
      <c r="CQ601" s="2"/>
      <c r="CR601" s="2"/>
      <c r="CS601" s="2"/>
      <c r="CT601" s="2"/>
      <c r="CU601" s="2"/>
      <c r="CV601" s="2"/>
      <c r="CW601" s="2"/>
      <c r="CX601" s="2"/>
      <c r="CY601" s="2"/>
      <c r="CZ601" s="2"/>
      <c r="DA601" s="2"/>
      <c r="DB601" s="2"/>
      <c r="DC601" s="2"/>
      <c r="DD601" s="2"/>
      <c r="DE601" s="2"/>
      <c r="DF601" s="2"/>
      <c r="DG601" s="3"/>
      <c r="DH601" s="3"/>
      <c r="DI601" s="3"/>
      <c r="DJ601" s="3"/>
      <c r="DK601" s="3"/>
      <c r="DL601" s="3"/>
      <c r="DM601" s="3"/>
      <c r="DN601" s="3"/>
      <c r="DO601" s="3"/>
      <c r="DP601" s="3"/>
      <c r="DQ601" s="3"/>
      <c r="DR601" s="3"/>
      <c r="DS601" s="3"/>
      <c r="DT601" s="3"/>
      <c r="DU601" s="3"/>
      <c r="DV601" s="3"/>
      <c r="DW601" s="3"/>
      <c r="DX601" s="3"/>
      <c r="DY601" s="3"/>
      <c r="DZ601" s="3"/>
      <c r="EA601" s="3"/>
      <c r="EB601" s="3"/>
      <c r="EC601" s="3"/>
      <c r="ED601" s="3"/>
      <c r="EE601" s="3"/>
      <c r="EF601" s="3"/>
      <c r="EG601" s="3"/>
      <c r="EH601" s="3"/>
      <c r="EI601" s="3"/>
      <c r="EJ601" s="3"/>
      <c r="EK601" s="3"/>
      <c r="EL601" s="3"/>
      <c r="EM601" s="3"/>
      <c r="EN601" s="3"/>
      <c r="EO601" s="3"/>
      <c r="EP601" s="3"/>
      <c r="EQ601" s="3"/>
      <c r="ER601" s="3"/>
      <c r="ES601" s="3"/>
      <c r="ET601" s="3"/>
      <c r="EU601" s="3"/>
      <c r="EV601" s="3"/>
      <c r="EW601" s="3"/>
      <c r="EX601" s="3"/>
      <c r="EY601" s="3"/>
      <c r="EZ601" s="3"/>
      <c r="FA601" s="3"/>
      <c r="FB601" s="3"/>
      <c r="FC601" s="3"/>
      <c r="FD601" s="3"/>
      <c r="FE601" s="3"/>
      <c r="FF601" s="3"/>
      <c r="FG601" s="3"/>
      <c r="FH601" s="3"/>
      <c r="FI601" s="3"/>
      <c r="FJ601" s="3"/>
      <c r="FK601" s="3"/>
      <c r="FL601" s="3"/>
      <c r="FM601" s="3"/>
      <c r="FN601" s="3"/>
      <c r="FO601" s="3"/>
      <c r="FP601" s="3"/>
      <c r="FQ601" s="3"/>
      <c r="FR601" s="3"/>
      <c r="FS601" s="3"/>
      <c r="FT601" s="3"/>
      <c r="FU601" s="3"/>
      <c r="FV601" s="3"/>
      <c r="FW601" s="3"/>
      <c r="FX601" s="3"/>
      <c r="FY601" s="3"/>
      <c r="FZ601" s="3"/>
      <c r="GA601" s="3"/>
      <c r="GB601" s="3"/>
      <c r="GC601" s="3"/>
      <c r="GD601" s="3"/>
      <c r="GE601" s="3"/>
      <c r="GF601" s="3"/>
      <c r="GG601" s="3"/>
      <c r="GH601" s="3"/>
      <c r="GI601" s="3"/>
      <c r="GJ601" s="3"/>
      <c r="GK601" s="3"/>
      <c r="GL601" s="3"/>
      <c r="GM601" s="3"/>
      <c r="GN601" s="3"/>
      <c r="GO601" s="3"/>
      <c r="GP601" s="3"/>
      <c r="GQ601" s="3"/>
      <c r="GR601" s="3"/>
      <c r="GS601" s="3"/>
      <c r="GT601" s="3"/>
      <c r="GU601" s="3"/>
      <c r="GV601" s="3"/>
      <c r="GW601" s="3"/>
      <c r="GX601" s="3">
        <v>0</v>
      </c>
    </row>
    <row r="603" spans="1:206" x14ac:dyDescent="0.2">
      <c r="A603" s="4">
        <v>50</v>
      </c>
      <c r="B603" s="4">
        <v>0</v>
      </c>
      <c r="C603" s="4">
        <v>0</v>
      </c>
      <c r="D603" s="4">
        <v>1</v>
      </c>
      <c r="E603" s="4">
        <v>201</v>
      </c>
      <c r="F603" s="4">
        <f>ROUND(Source!O601,O603)</f>
        <v>2487923.0099999998</v>
      </c>
      <c r="G603" s="4" t="s">
        <v>118</v>
      </c>
      <c r="H603" s="4" t="s">
        <v>119</v>
      </c>
      <c r="I603" s="4"/>
      <c r="J603" s="4"/>
      <c r="K603" s="4">
        <v>201</v>
      </c>
      <c r="L603" s="4">
        <v>1</v>
      </c>
      <c r="M603" s="4">
        <v>3</v>
      </c>
      <c r="N603" s="4" t="s">
        <v>3</v>
      </c>
      <c r="O603" s="4">
        <v>2</v>
      </c>
      <c r="P603" s="4"/>
      <c r="Q603" s="4"/>
      <c r="R603" s="4"/>
      <c r="S603" s="4"/>
      <c r="T603" s="4"/>
      <c r="U603" s="4"/>
      <c r="V603" s="4"/>
      <c r="W603" s="4"/>
    </row>
    <row r="604" spans="1:206" x14ac:dyDescent="0.2">
      <c r="A604" s="4">
        <v>50</v>
      </c>
      <c r="B604" s="4">
        <v>0</v>
      </c>
      <c r="C604" s="4">
        <v>0</v>
      </c>
      <c r="D604" s="4">
        <v>1</v>
      </c>
      <c r="E604" s="4">
        <v>202</v>
      </c>
      <c r="F604" s="4">
        <f>ROUND(Source!P601,O604)</f>
        <v>2049809.3</v>
      </c>
      <c r="G604" s="4" t="s">
        <v>120</v>
      </c>
      <c r="H604" s="4" t="s">
        <v>121</v>
      </c>
      <c r="I604" s="4"/>
      <c r="J604" s="4"/>
      <c r="K604" s="4">
        <v>202</v>
      </c>
      <c r="L604" s="4">
        <v>2</v>
      </c>
      <c r="M604" s="4">
        <v>3</v>
      </c>
      <c r="N604" s="4" t="s">
        <v>3</v>
      </c>
      <c r="O604" s="4">
        <v>2</v>
      </c>
      <c r="P604" s="4"/>
      <c r="Q604" s="4"/>
      <c r="R604" s="4"/>
      <c r="S604" s="4"/>
      <c r="T604" s="4"/>
      <c r="U604" s="4"/>
      <c r="V604" s="4"/>
      <c r="W604" s="4"/>
    </row>
    <row r="605" spans="1:206" x14ac:dyDescent="0.2">
      <c r="A605" s="4">
        <v>50</v>
      </c>
      <c r="B605" s="4">
        <v>0</v>
      </c>
      <c r="C605" s="4">
        <v>0</v>
      </c>
      <c r="D605" s="4">
        <v>1</v>
      </c>
      <c r="E605" s="4">
        <v>222</v>
      </c>
      <c r="F605" s="4">
        <f>ROUND(Source!AO601,O605)</f>
        <v>0</v>
      </c>
      <c r="G605" s="4" t="s">
        <v>122</v>
      </c>
      <c r="H605" s="4" t="s">
        <v>123</v>
      </c>
      <c r="I605" s="4"/>
      <c r="J605" s="4"/>
      <c r="K605" s="4">
        <v>222</v>
      </c>
      <c r="L605" s="4">
        <v>3</v>
      </c>
      <c r="M605" s="4">
        <v>3</v>
      </c>
      <c r="N605" s="4" t="s">
        <v>3</v>
      </c>
      <c r="O605" s="4">
        <v>2</v>
      </c>
      <c r="P605" s="4"/>
      <c r="Q605" s="4"/>
      <c r="R605" s="4"/>
      <c r="S605" s="4"/>
      <c r="T605" s="4"/>
      <c r="U605" s="4"/>
      <c r="V605" s="4"/>
      <c r="W605" s="4"/>
    </row>
    <row r="606" spans="1:206" x14ac:dyDescent="0.2">
      <c r="A606" s="4">
        <v>50</v>
      </c>
      <c r="B606" s="4">
        <v>0</v>
      </c>
      <c r="C606" s="4">
        <v>0</v>
      </c>
      <c r="D606" s="4">
        <v>1</v>
      </c>
      <c r="E606" s="4">
        <v>225</v>
      </c>
      <c r="F606" s="4">
        <f>ROUND(Source!AV601,O606)</f>
        <v>2049809.3</v>
      </c>
      <c r="G606" s="4" t="s">
        <v>124</v>
      </c>
      <c r="H606" s="4" t="s">
        <v>125</v>
      </c>
      <c r="I606" s="4"/>
      <c r="J606" s="4"/>
      <c r="K606" s="4">
        <v>225</v>
      </c>
      <c r="L606" s="4">
        <v>4</v>
      </c>
      <c r="M606" s="4">
        <v>3</v>
      </c>
      <c r="N606" s="4" t="s">
        <v>3</v>
      </c>
      <c r="O606" s="4">
        <v>2</v>
      </c>
      <c r="P606" s="4"/>
      <c r="Q606" s="4"/>
      <c r="R606" s="4"/>
      <c r="S606" s="4"/>
      <c r="T606" s="4"/>
      <c r="U606" s="4"/>
      <c r="V606" s="4"/>
      <c r="W606" s="4"/>
    </row>
    <row r="607" spans="1:206" x14ac:dyDescent="0.2">
      <c r="A607" s="4">
        <v>50</v>
      </c>
      <c r="B607" s="4">
        <v>0</v>
      </c>
      <c r="C607" s="4">
        <v>0</v>
      </c>
      <c r="D607" s="4">
        <v>1</v>
      </c>
      <c r="E607" s="4">
        <v>226</v>
      </c>
      <c r="F607" s="4">
        <f>ROUND(Source!AW601,O607)</f>
        <v>2049809.3</v>
      </c>
      <c r="G607" s="4" t="s">
        <v>126</v>
      </c>
      <c r="H607" s="4" t="s">
        <v>127</v>
      </c>
      <c r="I607" s="4"/>
      <c r="J607" s="4"/>
      <c r="K607" s="4">
        <v>226</v>
      </c>
      <c r="L607" s="4">
        <v>5</v>
      </c>
      <c r="M607" s="4">
        <v>3</v>
      </c>
      <c r="N607" s="4" t="s">
        <v>3</v>
      </c>
      <c r="O607" s="4">
        <v>2</v>
      </c>
      <c r="P607" s="4"/>
      <c r="Q607" s="4"/>
      <c r="R607" s="4"/>
      <c r="S607" s="4"/>
      <c r="T607" s="4"/>
      <c r="U607" s="4"/>
      <c r="V607" s="4"/>
      <c r="W607" s="4"/>
    </row>
    <row r="608" spans="1:206" x14ac:dyDescent="0.2">
      <c r="A608" s="4">
        <v>50</v>
      </c>
      <c r="B608" s="4">
        <v>0</v>
      </c>
      <c r="C608" s="4">
        <v>0</v>
      </c>
      <c r="D608" s="4">
        <v>1</v>
      </c>
      <c r="E608" s="4">
        <v>227</v>
      </c>
      <c r="F608" s="4">
        <f>ROUND(Source!AX601,O608)</f>
        <v>0</v>
      </c>
      <c r="G608" s="4" t="s">
        <v>128</v>
      </c>
      <c r="H608" s="4" t="s">
        <v>129</v>
      </c>
      <c r="I608" s="4"/>
      <c r="J608" s="4"/>
      <c r="K608" s="4">
        <v>227</v>
      </c>
      <c r="L608" s="4">
        <v>6</v>
      </c>
      <c r="M608" s="4">
        <v>3</v>
      </c>
      <c r="N608" s="4" t="s">
        <v>3</v>
      </c>
      <c r="O608" s="4">
        <v>2</v>
      </c>
      <c r="P608" s="4"/>
      <c r="Q608" s="4"/>
      <c r="R608" s="4"/>
      <c r="S608" s="4"/>
      <c r="T608" s="4"/>
      <c r="U608" s="4"/>
      <c r="V608" s="4"/>
      <c r="W608" s="4"/>
    </row>
    <row r="609" spans="1:23" x14ac:dyDescent="0.2">
      <c r="A609" s="4">
        <v>50</v>
      </c>
      <c r="B609" s="4">
        <v>0</v>
      </c>
      <c r="C609" s="4">
        <v>0</v>
      </c>
      <c r="D609" s="4">
        <v>1</v>
      </c>
      <c r="E609" s="4">
        <v>228</v>
      </c>
      <c r="F609" s="4">
        <f>ROUND(Source!AY601,O609)</f>
        <v>2049809.3</v>
      </c>
      <c r="G609" s="4" t="s">
        <v>130</v>
      </c>
      <c r="H609" s="4" t="s">
        <v>131</v>
      </c>
      <c r="I609" s="4"/>
      <c r="J609" s="4"/>
      <c r="K609" s="4">
        <v>228</v>
      </c>
      <c r="L609" s="4">
        <v>7</v>
      </c>
      <c r="M609" s="4">
        <v>3</v>
      </c>
      <c r="N609" s="4" t="s">
        <v>3</v>
      </c>
      <c r="O609" s="4">
        <v>2</v>
      </c>
      <c r="P609" s="4"/>
      <c r="Q609" s="4"/>
      <c r="R609" s="4"/>
      <c r="S609" s="4"/>
      <c r="T609" s="4"/>
      <c r="U609" s="4"/>
      <c r="V609" s="4"/>
      <c r="W609" s="4"/>
    </row>
    <row r="610" spans="1:23" x14ac:dyDescent="0.2">
      <c r="A610" s="4">
        <v>50</v>
      </c>
      <c r="B610" s="4">
        <v>0</v>
      </c>
      <c r="C610" s="4">
        <v>0</v>
      </c>
      <c r="D610" s="4">
        <v>1</v>
      </c>
      <c r="E610" s="4">
        <v>216</v>
      </c>
      <c r="F610" s="4">
        <f>ROUND(Source!AP601,O610)</f>
        <v>0</v>
      </c>
      <c r="G610" s="4" t="s">
        <v>132</v>
      </c>
      <c r="H610" s="4" t="s">
        <v>133</v>
      </c>
      <c r="I610" s="4"/>
      <c r="J610" s="4"/>
      <c r="K610" s="4">
        <v>216</v>
      </c>
      <c r="L610" s="4">
        <v>8</v>
      </c>
      <c r="M610" s="4">
        <v>3</v>
      </c>
      <c r="N610" s="4" t="s">
        <v>3</v>
      </c>
      <c r="O610" s="4">
        <v>2</v>
      </c>
      <c r="P610" s="4"/>
      <c r="Q610" s="4"/>
      <c r="R610" s="4"/>
      <c r="S610" s="4"/>
      <c r="T610" s="4"/>
      <c r="U610" s="4"/>
      <c r="V610" s="4"/>
      <c r="W610" s="4"/>
    </row>
    <row r="611" spans="1:23" x14ac:dyDescent="0.2">
      <c r="A611" s="4">
        <v>50</v>
      </c>
      <c r="B611" s="4">
        <v>0</v>
      </c>
      <c r="C611" s="4">
        <v>0</v>
      </c>
      <c r="D611" s="4">
        <v>1</v>
      </c>
      <c r="E611" s="4">
        <v>223</v>
      </c>
      <c r="F611" s="4">
        <f>ROUND(Source!AQ601,O611)</f>
        <v>0</v>
      </c>
      <c r="G611" s="4" t="s">
        <v>134</v>
      </c>
      <c r="H611" s="4" t="s">
        <v>135</v>
      </c>
      <c r="I611" s="4"/>
      <c r="J611" s="4"/>
      <c r="K611" s="4">
        <v>223</v>
      </c>
      <c r="L611" s="4">
        <v>9</v>
      </c>
      <c r="M611" s="4">
        <v>3</v>
      </c>
      <c r="N611" s="4" t="s">
        <v>3</v>
      </c>
      <c r="O611" s="4">
        <v>2</v>
      </c>
      <c r="P611" s="4"/>
      <c r="Q611" s="4"/>
      <c r="R611" s="4"/>
      <c r="S611" s="4"/>
      <c r="T611" s="4"/>
      <c r="U611" s="4"/>
      <c r="V611" s="4"/>
      <c r="W611" s="4"/>
    </row>
    <row r="612" spans="1:23" x14ac:dyDescent="0.2">
      <c r="A612" s="4">
        <v>50</v>
      </c>
      <c r="B612" s="4">
        <v>0</v>
      </c>
      <c r="C612" s="4">
        <v>0</v>
      </c>
      <c r="D612" s="4">
        <v>1</v>
      </c>
      <c r="E612" s="4">
        <v>229</v>
      </c>
      <c r="F612" s="4">
        <f>ROUND(Source!AZ601,O612)</f>
        <v>0</v>
      </c>
      <c r="G612" s="4" t="s">
        <v>136</v>
      </c>
      <c r="H612" s="4" t="s">
        <v>137</v>
      </c>
      <c r="I612" s="4"/>
      <c r="J612" s="4"/>
      <c r="K612" s="4">
        <v>229</v>
      </c>
      <c r="L612" s="4">
        <v>10</v>
      </c>
      <c r="M612" s="4">
        <v>3</v>
      </c>
      <c r="N612" s="4" t="s">
        <v>3</v>
      </c>
      <c r="O612" s="4">
        <v>2</v>
      </c>
      <c r="P612" s="4"/>
      <c r="Q612" s="4"/>
      <c r="R612" s="4"/>
      <c r="S612" s="4"/>
      <c r="T612" s="4"/>
      <c r="U612" s="4"/>
      <c r="V612" s="4"/>
      <c r="W612" s="4"/>
    </row>
    <row r="613" spans="1:23" x14ac:dyDescent="0.2">
      <c r="A613" s="4">
        <v>50</v>
      </c>
      <c r="B613" s="4">
        <v>0</v>
      </c>
      <c r="C613" s="4">
        <v>0</v>
      </c>
      <c r="D613" s="4">
        <v>1</v>
      </c>
      <c r="E613" s="4">
        <v>203</v>
      </c>
      <c r="F613" s="4">
        <f>ROUND(Source!Q601,O613)</f>
        <v>197380.22</v>
      </c>
      <c r="G613" s="4" t="s">
        <v>138</v>
      </c>
      <c r="H613" s="4" t="s">
        <v>139</v>
      </c>
      <c r="I613" s="4"/>
      <c r="J613" s="4"/>
      <c r="K613" s="4">
        <v>203</v>
      </c>
      <c r="L613" s="4">
        <v>11</v>
      </c>
      <c r="M613" s="4">
        <v>3</v>
      </c>
      <c r="N613" s="4" t="s">
        <v>3</v>
      </c>
      <c r="O613" s="4">
        <v>2</v>
      </c>
      <c r="P613" s="4"/>
      <c r="Q613" s="4"/>
      <c r="R613" s="4"/>
      <c r="S613" s="4"/>
      <c r="T613" s="4"/>
      <c r="U613" s="4"/>
      <c r="V613" s="4"/>
      <c r="W613" s="4"/>
    </row>
    <row r="614" spans="1:23" x14ac:dyDescent="0.2">
      <c r="A614" s="4">
        <v>50</v>
      </c>
      <c r="B614" s="4">
        <v>0</v>
      </c>
      <c r="C614" s="4">
        <v>0</v>
      </c>
      <c r="D614" s="4">
        <v>1</v>
      </c>
      <c r="E614" s="4">
        <v>231</v>
      </c>
      <c r="F614" s="4">
        <f>ROUND(Source!BB601,O614)</f>
        <v>0</v>
      </c>
      <c r="G614" s="4" t="s">
        <v>140</v>
      </c>
      <c r="H614" s="4" t="s">
        <v>141</v>
      </c>
      <c r="I614" s="4"/>
      <c r="J614" s="4"/>
      <c r="K614" s="4">
        <v>231</v>
      </c>
      <c r="L614" s="4">
        <v>12</v>
      </c>
      <c r="M614" s="4">
        <v>3</v>
      </c>
      <c r="N614" s="4" t="s">
        <v>3</v>
      </c>
      <c r="O614" s="4">
        <v>2</v>
      </c>
      <c r="P614" s="4"/>
      <c r="Q614" s="4"/>
      <c r="R614" s="4"/>
      <c r="S614" s="4"/>
      <c r="T614" s="4"/>
      <c r="U614" s="4"/>
      <c r="V614" s="4"/>
      <c r="W614" s="4"/>
    </row>
    <row r="615" spans="1:23" x14ac:dyDescent="0.2">
      <c r="A615" s="4">
        <v>50</v>
      </c>
      <c r="B615" s="4">
        <v>0</v>
      </c>
      <c r="C615" s="4">
        <v>0</v>
      </c>
      <c r="D615" s="4">
        <v>1</v>
      </c>
      <c r="E615" s="4">
        <v>204</v>
      </c>
      <c r="F615" s="4">
        <f>ROUND(Source!R601,O615)</f>
        <v>103360.22</v>
      </c>
      <c r="G615" s="4" t="s">
        <v>142</v>
      </c>
      <c r="H615" s="4" t="s">
        <v>143</v>
      </c>
      <c r="I615" s="4"/>
      <c r="J615" s="4"/>
      <c r="K615" s="4">
        <v>204</v>
      </c>
      <c r="L615" s="4">
        <v>13</v>
      </c>
      <c r="M615" s="4">
        <v>3</v>
      </c>
      <c r="N615" s="4" t="s">
        <v>3</v>
      </c>
      <c r="O615" s="4">
        <v>2</v>
      </c>
      <c r="P615" s="4"/>
      <c r="Q615" s="4"/>
      <c r="R615" s="4"/>
      <c r="S615" s="4"/>
      <c r="T615" s="4"/>
      <c r="U615" s="4"/>
      <c r="V615" s="4"/>
      <c r="W615" s="4"/>
    </row>
    <row r="616" spans="1:23" x14ac:dyDescent="0.2">
      <c r="A616" s="4">
        <v>50</v>
      </c>
      <c r="B616" s="4">
        <v>0</v>
      </c>
      <c r="C616" s="4">
        <v>0</v>
      </c>
      <c r="D616" s="4">
        <v>1</v>
      </c>
      <c r="E616" s="4">
        <v>205</v>
      </c>
      <c r="F616" s="4">
        <f>ROUND(Source!S601,O616)</f>
        <v>240733.49</v>
      </c>
      <c r="G616" s="4" t="s">
        <v>144</v>
      </c>
      <c r="H616" s="4" t="s">
        <v>145</v>
      </c>
      <c r="I616" s="4"/>
      <c r="J616" s="4"/>
      <c r="K616" s="4">
        <v>205</v>
      </c>
      <c r="L616" s="4">
        <v>14</v>
      </c>
      <c r="M616" s="4">
        <v>3</v>
      </c>
      <c r="N616" s="4" t="s">
        <v>3</v>
      </c>
      <c r="O616" s="4">
        <v>2</v>
      </c>
      <c r="P616" s="4"/>
      <c r="Q616" s="4"/>
      <c r="R616" s="4"/>
      <c r="S616" s="4"/>
      <c r="T616" s="4"/>
      <c r="U616" s="4"/>
      <c r="V616" s="4"/>
      <c r="W616" s="4"/>
    </row>
    <row r="617" spans="1:23" x14ac:dyDescent="0.2">
      <c r="A617" s="4">
        <v>50</v>
      </c>
      <c r="B617" s="4">
        <v>0</v>
      </c>
      <c r="C617" s="4">
        <v>0</v>
      </c>
      <c r="D617" s="4">
        <v>1</v>
      </c>
      <c r="E617" s="4">
        <v>232</v>
      </c>
      <c r="F617" s="4">
        <f>ROUND(Source!BC601,O617)</f>
        <v>0</v>
      </c>
      <c r="G617" s="4" t="s">
        <v>146</v>
      </c>
      <c r="H617" s="4" t="s">
        <v>147</v>
      </c>
      <c r="I617" s="4"/>
      <c r="J617" s="4"/>
      <c r="K617" s="4">
        <v>232</v>
      </c>
      <c r="L617" s="4">
        <v>15</v>
      </c>
      <c r="M617" s="4">
        <v>3</v>
      </c>
      <c r="N617" s="4" t="s">
        <v>3</v>
      </c>
      <c r="O617" s="4">
        <v>2</v>
      </c>
      <c r="P617" s="4"/>
      <c r="Q617" s="4"/>
      <c r="R617" s="4"/>
      <c r="S617" s="4"/>
      <c r="T617" s="4"/>
      <c r="U617" s="4"/>
      <c r="V617" s="4"/>
      <c r="W617" s="4"/>
    </row>
    <row r="618" spans="1:23" x14ac:dyDescent="0.2">
      <c r="A618" s="4">
        <v>50</v>
      </c>
      <c r="B618" s="4">
        <v>0</v>
      </c>
      <c r="C618" s="4">
        <v>0</v>
      </c>
      <c r="D618" s="4">
        <v>1</v>
      </c>
      <c r="E618" s="4">
        <v>214</v>
      </c>
      <c r="F618" s="4">
        <f>ROUND(Source!AS601,O618)</f>
        <v>0</v>
      </c>
      <c r="G618" s="4" t="s">
        <v>148</v>
      </c>
      <c r="H618" s="4" t="s">
        <v>149</v>
      </c>
      <c r="I618" s="4"/>
      <c r="J618" s="4"/>
      <c r="K618" s="4">
        <v>214</v>
      </c>
      <c r="L618" s="4">
        <v>16</v>
      </c>
      <c r="M618" s="4">
        <v>3</v>
      </c>
      <c r="N618" s="4" t="s">
        <v>3</v>
      </c>
      <c r="O618" s="4">
        <v>2</v>
      </c>
      <c r="P618" s="4"/>
      <c r="Q618" s="4"/>
      <c r="R618" s="4"/>
      <c r="S618" s="4"/>
      <c r="T618" s="4"/>
      <c r="U618" s="4"/>
      <c r="V618" s="4"/>
      <c r="W618" s="4"/>
    </row>
    <row r="619" spans="1:23" x14ac:dyDescent="0.2">
      <c r="A619" s="4">
        <v>50</v>
      </c>
      <c r="B619" s="4">
        <v>0</v>
      </c>
      <c r="C619" s="4">
        <v>0</v>
      </c>
      <c r="D619" s="4">
        <v>1</v>
      </c>
      <c r="E619" s="4">
        <v>215</v>
      </c>
      <c r="F619" s="4">
        <f>ROUND(Source!AT601,O619)</f>
        <v>0</v>
      </c>
      <c r="G619" s="4" t="s">
        <v>150</v>
      </c>
      <c r="H619" s="4" t="s">
        <v>151</v>
      </c>
      <c r="I619" s="4"/>
      <c r="J619" s="4"/>
      <c r="K619" s="4">
        <v>215</v>
      </c>
      <c r="L619" s="4">
        <v>17</v>
      </c>
      <c r="M619" s="4">
        <v>3</v>
      </c>
      <c r="N619" s="4" t="s">
        <v>3</v>
      </c>
      <c r="O619" s="4">
        <v>2</v>
      </c>
      <c r="P619" s="4"/>
      <c r="Q619" s="4"/>
      <c r="R619" s="4"/>
      <c r="S619" s="4"/>
      <c r="T619" s="4"/>
      <c r="U619" s="4"/>
      <c r="V619" s="4"/>
      <c r="W619" s="4"/>
    </row>
    <row r="620" spans="1:23" x14ac:dyDescent="0.2">
      <c r="A620" s="4">
        <v>50</v>
      </c>
      <c r="B620" s="4">
        <v>0</v>
      </c>
      <c r="C620" s="4">
        <v>0</v>
      </c>
      <c r="D620" s="4">
        <v>1</v>
      </c>
      <c r="E620" s="4">
        <v>217</v>
      </c>
      <c r="F620" s="4">
        <f>ROUND(Source!AU601,O620)</f>
        <v>2726620.19</v>
      </c>
      <c r="G620" s="4" t="s">
        <v>152</v>
      </c>
      <c r="H620" s="4" t="s">
        <v>153</v>
      </c>
      <c r="I620" s="4"/>
      <c r="J620" s="4"/>
      <c r="K620" s="4">
        <v>217</v>
      </c>
      <c r="L620" s="4">
        <v>18</v>
      </c>
      <c r="M620" s="4">
        <v>3</v>
      </c>
      <c r="N620" s="4" t="s">
        <v>3</v>
      </c>
      <c r="O620" s="4">
        <v>2</v>
      </c>
      <c r="P620" s="4"/>
      <c r="Q620" s="4"/>
      <c r="R620" s="4"/>
      <c r="S620" s="4"/>
      <c r="T620" s="4"/>
      <c r="U620" s="4"/>
      <c r="V620" s="4"/>
      <c r="W620" s="4"/>
    </row>
    <row r="621" spans="1:23" x14ac:dyDescent="0.2">
      <c r="A621" s="4">
        <v>50</v>
      </c>
      <c r="B621" s="4">
        <v>0</v>
      </c>
      <c r="C621" s="4">
        <v>0</v>
      </c>
      <c r="D621" s="4">
        <v>1</v>
      </c>
      <c r="E621" s="4">
        <v>230</v>
      </c>
      <c r="F621" s="4">
        <f>ROUND(Source!BA601,O621)</f>
        <v>0</v>
      </c>
      <c r="G621" s="4" t="s">
        <v>154</v>
      </c>
      <c r="H621" s="4" t="s">
        <v>155</v>
      </c>
      <c r="I621" s="4"/>
      <c r="J621" s="4"/>
      <c r="K621" s="4">
        <v>230</v>
      </c>
      <c r="L621" s="4">
        <v>19</v>
      </c>
      <c r="M621" s="4">
        <v>3</v>
      </c>
      <c r="N621" s="4" t="s">
        <v>3</v>
      </c>
      <c r="O621" s="4">
        <v>2</v>
      </c>
      <c r="P621" s="4"/>
      <c r="Q621" s="4"/>
      <c r="R621" s="4"/>
      <c r="S621" s="4"/>
      <c r="T621" s="4"/>
      <c r="U621" s="4"/>
      <c r="V621" s="4"/>
      <c r="W621" s="4"/>
    </row>
    <row r="622" spans="1:23" x14ac:dyDescent="0.2">
      <c r="A622" s="4">
        <v>50</v>
      </c>
      <c r="B622" s="4">
        <v>0</v>
      </c>
      <c r="C622" s="4">
        <v>0</v>
      </c>
      <c r="D622" s="4">
        <v>1</v>
      </c>
      <c r="E622" s="4">
        <v>206</v>
      </c>
      <c r="F622" s="4">
        <f>ROUND(Source!T601,O622)</f>
        <v>0</v>
      </c>
      <c r="G622" s="4" t="s">
        <v>156</v>
      </c>
      <c r="H622" s="4" t="s">
        <v>157</v>
      </c>
      <c r="I622" s="4"/>
      <c r="J622" s="4"/>
      <c r="K622" s="4">
        <v>206</v>
      </c>
      <c r="L622" s="4">
        <v>20</v>
      </c>
      <c r="M622" s="4">
        <v>3</v>
      </c>
      <c r="N622" s="4" t="s">
        <v>3</v>
      </c>
      <c r="O622" s="4">
        <v>2</v>
      </c>
      <c r="P622" s="4"/>
      <c r="Q622" s="4"/>
      <c r="R622" s="4"/>
      <c r="S622" s="4"/>
      <c r="T622" s="4"/>
      <c r="U622" s="4"/>
      <c r="V622" s="4"/>
      <c r="W622" s="4"/>
    </row>
    <row r="623" spans="1:23" x14ac:dyDescent="0.2">
      <c r="A623" s="4">
        <v>50</v>
      </c>
      <c r="B623" s="4">
        <v>0</v>
      </c>
      <c r="C623" s="4">
        <v>0</v>
      </c>
      <c r="D623" s="4">
        <v>1</v>
      </c>
      <c r="E623" s="4">
        <v>207</v>
      </c>
      <c r="F623" s="4">
        <f>Source!U601</f>
        <v>1105.6031759999998</v>
      </c>
      <c r="G623" s="4" t="s">
        <v>158</v>
      </c>
      <c r="H623" s="4" t="s">
        <v>159</v>
      </c>
      <c r="I623" s="4"/>
      <c r="J623" s="4"/>
      <c r="K623" s="4">
        <v>207</v>
      </c>
      <c r="L623" s="4">
        <v>21</v>
      </c>
      <c r="M623" s="4">
        <v>3</v>
      </c>
      <c r="N623" s="4" t="s">
        <v>3</v>
      </c>
      <c r="O623" s="4">
        <v>-1</v>
      </c>
      <c r="P623" s="4"/>
      <c r="Q623" s="4"/>
      <c r="R623" s="4"/>
      <c r="S623" s="4"/>
      <c r="T623" s="4"/>
      <c r="U623" s="4"/>
      <c r="V623" s="4"/>
      <c r="W623" s="4"/>
    </row>
    <row r="624" spans="1:23" x14ac:dyDescent="0.2">
      <c r="A624" s="4">
        <v>50</v>
      </c>
      <c r="B624" s="4">
        <v>0</v>
      </c>
      <c r="C624" s="4">
        <v>0</v>
      </c>
      <c r="D624" s="4">
        <v>1</v>
      </c>
      <c r="E624" s="4">
        <v>208</v>
      </c>
      <c r="F624" s="4">
        <f>Source!V601</f>
        <v>0</v>
      </c>
      <c r="G624" s="4" t="s">
        <v>160</v>
      </c>
      <c r="H624" s="4" t="s">
        <v>161</v>
      </c>
      <c r="I624" s="4"/>
      <c r="J624" s="4"/>
      <c r="K624" s="4">
        <v>208</v>
      </c>
      <c r="L624" s="4">
        <v>22</v>
      </c>
      <c r="M624" s="4">
        <v>3</v>
      </c>
      <c r="N624" s="4" t="s">
        <v>3</v>
      </c>
      <c r="O624" s="4">
        <v>-1</v>
      </c>
      <c r="P624" s="4"/>
      <c r="Q624" s="4"/>
      <c r="R624" s="4"/>
      <c r="S624" s="4"/>
      <c r="T624" s="4"/>
      <c r="U624" s="4"/>
      <c r="V624" s="4"/>
      <c r="W624" s="4"/>
    </row>
    <row r="625" spans="1:23" x14ac:dyDescent="0.2">
      <c r="A625" s="4">
        <v>50</v>
      </c>
      <c r="B625" s="4">
        <v>0</v>
      </c>
      <c r="C625" s="4">
        <v>0</v>
      </c>
      <c r="D625" s="4">
        <v>1</v>
      </c>
      <c r="E625" s="4">
        <v>209</v>
      </c>
      <c r="F625" s="4">
        <f>ROUND(Source!W601,O625)</f>
        <v>0</v>
      </c>
      <c r="G625" s="4" t="s">
        <v>162</v>
      </c>
      <c r="H625" s="4" t="s">
        <v>163</v>
      </c>
      <c r="I625" s="4"/>
      <c r="J625" s="4"/>
      <c r="K625" s="4">
        <v>209</v>
      </c>
      <c r="L625" s="4">
        <v>23</v>
      </c>
      <c r="M625" s="4">
        <v>3</v>
      </c>
      <c r="N625" s="4" t="s">
        <v>3</v>
      </c>
      <c r="O625" s="4">
        <v>2</v>
      </c>
      <c r="P625" s="4"/>
      <c r="Q625" s="4"/>
      <c r="R625" s="4"/>
      <c r="S625" s="4"/>
      <c r="T625" s="4"/>
      <c r="U625" s="4"/>
      <c r="V625" s="4"/>
      <c r="W625" s="4"/>
    </row>
    <row r="626" spans="1:23" x14ac:dyDescent="0.2">
      <c r="A626" s="4">
        <v>50</v>
      </c>
      <c r="B626" s="4">
        <v>0</v>
      </c>
      <c r="C626" s="4">
        <v>0</v>
      </c>
      <c r="D626" s="4">
        <v>1</v>
      </c>
      <c r="E626" s="4">
        <v>233</v>
      </c>
      <c r="F626" s="4">
        <f>ROUND(Source!BD601,O626)</f>
        <v>0</v>
      </c>
      <c r="G626" s="4" t="s">
        <v>164</v>
      </c>
      <c r="H626" s="4" t="s">
        <v>165</v>
      </c>
      <c r="I626" s="4"/>
      <c r="J626" s="4"/>
      <c r="K626" s="4">
        <v>233</v>
      </c>
      <c r="L626" s="4">
        <v>24</v>
      </c>
      <c r="M626" s="4">
        <v>3</v>
      </c>
      <c r="N626" s="4" t="s">
        <v>3</v>
      </c>
      <c r="O626" s="4">
        <v>2</v>
      </c>
      <c r="P626" s="4"/>
      <c r="Q626" s="4"/>
      <c r="R626" s="4"/>
      <c r="S626" s="4"/>
      <c r="T626" s="4"/>
      <c r="U626" s="4"/>
      <c r="V626" s="4"/>
      <c r="W626" s="4"/>
    </row>
    <row r="627" spans="1:23" x14ac:dyDescent="0.2">
      <c r="A627" s="4">
        <v>50</v>
      </c>
      <c r="B627" s="4">
        <v>0</v>
      </c>
      <c r="C627" s="4">
        <v>0</v>
      </c>
      <c r="D627" s="4">
        <v>1</v>
      </c>
      <c r="E627" s="4">
        <v>210</v>
      </c>
      <c r="F627" s="4">
        <f>ROUND(Source!X601,O627)</f>
        <v>168513.47</v>
      </c>
      <c r="G627" s="4" t="s">
        <v>166</v>
      </c>
      <c r="H627" s="4" t="s">
        <v>167</v>
      </c>
      <c r="I627" s="4"/>
      <c r="J627" s="4"/>
      <c r="K627" s="4">
        <v>210</v>
      </c>
      <c r="L627" s="4">
        <v>25</v>
      </c>
      <c r="M627" s="4">
        <v>3</v>
      </c>
      <c r="N627" s="4" t="s">
        <v>3</v>
      </c>
      <c r="O627" s="4">
        <v>2</v>
      </c>
      <c r="P627" s="4"/>
      <c r="Q627" s="4"/>
      <c r="R627" s="4"/>
      <c r="S627" s="4"/>
      <c r="T627" s="4"/>
      <c r="U627" s="4"/>
      <c r="V627" s="4"/>
      <c r="W627" s="4"/>
    </row>
    <row r="628" spans="1:23" x14ac:dyDescent="0.2">
      <c r="A628" s="4">
        <v>50</v>
      </c>
      <c r="B628" s="4">
        <v>0</v>
      </c>
      <c r="C628" s="4">
        <v>0</v>
      </c>
      <c r="D628" s="4">
        <v>1</v>
      </c>
      <c r="E628" s="4">
        <v>211</v>
      </c>
      <c r="F628" s="4">
        <f>ROUND(Source!Y601,O628)</f>
        <v>24073.38</v>
      </c>
      <c r="G628" s="4" t="s">
        <v>168</v>
      </c>
      <c r="H628" s="4" t="s">
        <v>169</v>
      </c>
      <c r="I628" s="4"/>
      <c r="J628" s="4"/>
      <c r="K628" s="4">
        <v>211</v>
      </c>
      <c r="L628" s="4">
        <v>26</v>
      </c>
      <c r="M628" s="4">
        <v>3</v>
      </c>
      <c r="N628" s="4" t="s">
        <v>3</v>
      </c>
      <c r="O628" s="4">
        <v>2</v>
      </c>
      <c r="P628" s="4"/>
      <c r="Q628" s="4"/>
      <c r="R628" s="4"/>
      <c r="S628" s="4"/>
      <c r="T628" s="4"/>
      <c r="U628" s="4"/>
      <c r="V628" s="4"/>
      <c r="W628" s="4"/>
    </row>
    <row r="629" spans="1:23" x14ac:dyDescent="0.2">
      <c r="A629" s="4">
        <v>50</v>
      </c>
      <c r="B629" s="4">
        <v>0</v>
      </c>
      <c r="C629" s="4">
        <v>0</v>
      </c>
      <c r="D629" s="4">
        <v>1</v>
      </c>
      <c r="E629" s="4">
        <v>224</v>
      </c>
      <c r="F629" s="4">
        <f>ROUND(Source!AR601,O629)</f>
        <v>2726620.19</v>
      </c>
      <c r="G629" s="4" t="s">
        <v>170</v>
      </c>
      <c r="H629" s="4" t="s">
        <v>171</v>
      </c>
      <c r="I629" s="4"/>
      <c r="J629" s="4"/>
      <c r="K629" s="4">
        <v>224</v>
      </c>
      <c r="L629" s="4">
        <v>27</v>
      </c>
      <c r="M629" s="4">
        <v>3</v>
      </c>
      <c r="N629" s="4" t="s">
        <v>3</v>
      </c>
      <c r="O629" s="4">
        <v>2</v>
      </c>
      <c r="P629" s="4"/>
      <c r="Q629" s="4"/>
      <c r="R629" s="4"/>
      <c r="S629" s="4"/>
      <c r="T629" s="4"/>
      <c r="U629" s="4"/>
      <c r="V629" s="4"/>
      <c r="W629" s="4"/>
    </row>
    <row r="630" spans="1:23" x14ac:dyDescent="0.2">
      <c r="A630" s="4">
        <v>50</v>
      </c>
      <c r="B630" s="4">
        <v>1</v>
      </c>
      <c r="C630" s="4">
        <v>0</v>
      </c>
      <c r="D630" s="4">
        <v>2</v>
      </c>
      <c r="E630" s="4">
        <v>0</v>
      </c>
      <c r="F630" s="4">
        <f>ROUND(F629,O630)</f>
        <v>2726620.19</v>
      </c>
      <c r="G630" s="4" t="s">
        <v>172</v>
      </c>
      <c r="H630" s="4" t="s">
        <v>173</v>
      </c>
      <c r="I630" s="4"/>
      <c r="J630" s="4"/>
      <c r="K630" s="4">
        <v>212</v>
      </c>
      <c r="L630" s="4">
        <v>28</v>
      </c>
      <c r="M630" s="4">
        <v>0</v>
      </c>
      <c r="N630" s="4" t="s">
        <v>3</v>
      </c>
      <c r="O630" s="4">
        <v>2</v>
      </c>
      <c r="P630" s="4"/>
      <c r="Q630" s="4"/>
      <c r="R630" s="4"/>
      <c r="S630" s="4"/>
      <c r="T630" s="4"/>
      <c r="U630" s="4"/>
      <c r="V630" s="4"/>
      <c r="W630" s="4"/>
    </row>
    <row r="631" spans="1:23" x14ac:dyDescent="0.2">
      <c r="A631" s="4">
        <v>50</v>
      </c>
      <c r="B631" s="4">
        <v>1</v>
      </c>
      <c r="C631" s="4">
        <v>0</v>
      </c>
      <c r="D631" s="4">
        <v>2</v>
      </c>
      <c r="E631" s="4">
        <v>0</v>
      </c>
      <c r="F631" s="4">
        <f>ROUND(F630*0.2,O631)</f>
        <v>545324.04</v>
      </c>
      <c r="G631" s="4" t="s">
        <v>174</v>
      </c>
      <c r="H631" s="4" t="s">
        <v>175</v>
      </c>
      <c r="I631" s="4"/>
      <c r="J631" s="4"/>
      <c r="K631" s="4">
        <v>212</v>
      </c>
      <c r="L631" s="4">
        <v>29</v>
      </c>
      <c r="M631" s="4">
        <v>0</v>
      </c>
      <c r="N631" s="4" t="s">
        <v>3</v>
      </c>
      <c r="O631" s="4">
        <v>2</v>
      </c>
      <c r="P631" s="4"/>
      <c r="Q631" s="4"/>
      <c r="R631" s="4"/>
      <c r="S631" s="4"/>
      <c r="T631" s="4"/>
      <c r="U631" s="4"/>
      <c r="V631" s="4"/>
      <c r="W631" s="4"/>
    </row>
    <row r="632" spans="1:23" x14ac:dyDescent="0.2">
      <c r="A632" s="4">
        <v>50</v>
      </c>
      <c r="B632" s="4">
        <v>1</v>
      </c>
      <c r="C632" s="4">
        <v>0</v>
      </c>
      <c r="D632" s="4">
        <v>2</v>
      </c>
      <c r="E632" s="4">
        <v>213</v>
      </c>
      <c r="F632" s="4">
        <f>ROUND(F630+F631,O632)</f>
        <v>3271944.23</v>
      </c>
      <c r="G632" s="4" t="s">
        <v>176</v>
      </c>
      <c r="H632" s="4" t="s">
        <v>170</v>
      </c>
      <c r="I632" s="4"/>
      <c r="J632" s="4"/>
      <c r="K632" s="4">
        <v>212</v>
      </c>
      <c r="L632" s="4">
        <v>30</v>
      </c>
      <c r="M632" s="4">
        <v>0</v>
      </c>
      <c r="N632" s="4" t="s">
        <v>3</v>
      </c>
      <c r="O632" s="4">
        <v>2</v>
      </c>
      <c r="P632" s="4"/>
      <c r="Q632" s="4"/>
      <c r="R632" s="4"/>
      <c r="S632" s="4"/>
      <c r="T632" s="4"/>
      <c r="U632" s="4"/>
      <c r="V632" s="4"/>
      <c r="W632" s="4"/>
    </row>
    <row r="635" spans="1:23" x14ac:dyDescent="0.2">
      <c r="A635">
        <v>-1</v>
      </c>
    </row>
    <row r="637" spans="1:23" x14ac:dyDescent="0.2">
      <c r="A637" s="3">
        <v>75</v>
      </c>
      <c r="B637" s="3" t="s">
        <v>376</v>
      </c>
      <c r="C637" s="3">
        <v>2020</v>
      </c>
      <c r="D637" s="3">
        <v>0</v>
      </c>
      <c r="E637" s="3">
        <v>10</v>
      </c>
      <c r="F637" s="3">
        <v>0</v>
      </c>
      <c r="G637" s="3">
        <v>0</v>
      </c>
      <c r="H637" s="3">
        <v>1</v>
      </c>
      <c r="I637" s="3">
        <v>0</v>
      </c>
      <c r="J637" s="3">
        <v>1</v>
      </c>
      <c r="K637" s="3">
        <v>78</v>
      </c>
      <c r="L637" s="3">
        <v>30</v>
      </c>
      <c r="M637" s="3">
        <v>0</v>
      </c>
      <c r="N637" s="3">
        <v>52430918</v>
      </c>
      <c r="O637" s="3">
        <v>1</v>
      </c>
    </row>
    <row r="641" spans="1:5" x14ac:dyDescent="0.2">
      <c r="A641">
        <v>65</v>
      </c>
      <c r="C641">
        <v>1</v>
      </c>
      <c r="D641">
        <v>0</v>
      </c>
      <c r="E641">
        <v>245</v>
      </c>
    </row>
  </sheetData>
  <printOptions gridLines="1"/>
  <pageMargins left="0.75" right="0.75" top="1" bottom="1" header="0.5" footer="0.5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C54"/>
  <sheetViews>
    <sheetView workbookViewId="0"/>
  </sheetViews>
  <sheetFormatPr defaultColWidth="9.140625" defaultRowHeight="12.75" x14ac:dyDescent="0.2"/>
  <cols>
    <col min="1" max="256" width="9.140625" customWidth="1"/>
  </cols>
  <sheetData>
    <row r="1" spans="1:133" x14ac:dyDescent="0.2">
      <c r="A1">
        <v>0</v>
      </c>
      <c r="B1" t="s">
        <v>0</v>
      </c>
      <c r="D1" t="s">
        <v>377</v>
      </c>
      <c r="F1">
        <v>0</v>
      </c>
      <c r="G1">
        <v>0</v>
      </c>
      <c r="H1">
        <v>0</v>
      </c>
      <c r="I1" t="s">
        <v>2</v>
      </c>
      <c r="J1" t="s">
        <v>3</v>
      </c>
      <c r="K1">
        <v>1</v>
      </c>
      <c r="L1">
        <v>66453</v>
      </c>
      <c r="M1">
        <v>10</v>
      </c>
      <c r="N1">
        <v>11</v>
      </c>
      <c r="O1">
        <v>1</v>
      </c>
      <c r="P1">
        <v>0</v>
      </c>
      <c r="Q1">
        <v>1</v>
      </c>
    </row>
    <row r="12" spans="1:133" x14ac:dyDescent="0.2">
      <c r="A12" s="1">
        <v>1</v>
      </c>
      <c r="B12" s="1">
        <v>54</v>
      </c>
      <c r="C12" s="1">
        <v>0</v>
      </c>
      <c r="D12" s="1"/>
      <c r="E12" s="1">
        <v>0</v>
      </c>
      <c r="F12" s="1" t="s">
        <v>4</v>
      </c>
      <c r="G12" s="1" t="s">
        <v>5</v>
      </c>
      <c r="H12" s="1" t="s">
        <v>3</v>
      </c>
      <c r="I12" s="1">
        <v>0</v>
      </c>
      <c r="J12" s="1" t="s">
        <v>3</v>
      </c>
      <c r="K12" s="1">
        <v>0</v>
      </c>
      <c r="L12" s="1"/>
      <c r="M12" s="1"/>
      <c r="N12" s="1"/>
      <c r="O12" s="1">
        <v>0</v>
      </c>
      <c r="P12" s="1">
        <v>0</v>
      </c>
      <c r="Q12" s="1">
        <v>0</v>
      </c>
      <c r="R12" s="1">
        <v>108</v>
      </c>
      <c r="S12" s="1"/>
      <c r="T12" s="1"/>
      <c r="U12" s="1" t="s">
        <v>3</v>
      </c>
      <c r="V12" s="1">
        <v>0</v>
      </c>
      <c r="W12" s="1" t="s">
        <v>3</v>
      </c>
      <c r="X12" s="1" t="s">
        <v>3</v>
      </c>
      <c r="Y12" s="1" t="s">
        <v>3</v>
      </c>
      <c r="Z12" s="1" t="s">
        <v>3</v>
      </c>
      <c r="AA12" s="1" t="s">
        <v>3</v>
      </c>
      <c r="AB12" s="1" t="s">
        <v>3</v>
      </c>
      <c r="AC12" s="1" t="s">
        <v>3</v>
      </c>
      <c r="AD12" s="1" t="s">
        <v>3</v>
      </c>
      <c r="AE12" s="1" t="s">
        <v>3</v>
      </c>
      <c r="AF12" s="1" t="s">
        <v>3</v>
      </c>
      <c r="AG12" s="1" t="s">
        <v>3</v>
      </c>
      <c r="AH12" s="1" t="s">
        <v>3</v>
      </c>
      <c r="AI12" s="1" t="s">
        <v>3</v>
      </c>
      <c r="AJ12" s="1" t="s">
        <v>3</v>
      </c>
      <c r="AK12" s="1"/>
      <c r="AL12" s="1" t="s">
        <v>3</v>
      </c>
      <c r="AM12" s="1" t="s">
        <v>3</v>
      </c>
      <c r="AN12" s="1" t="s">
        <v>3</v>
      </c>
      <c r="AO12" s="1"/>
      <c r="AP12" s="1" t="s">
        <v>3</v>
      </c>
      <c r="AQ12" s="1" t="s">
        <v>3</v>
      </c>
      <c r="AR12" s="1" t="s">
        <v>3</v>
      </c>
      <c r="AS12" s="1"/>
      <c r="AT12" s="1"/>
      <c r="AU12" s="1"/>
      <c r="AV12" s="1"/>
      <c r="AW12" s="1"/>
      <c r="AX12" s="1" t="s">
        <v>3</v>
      </c>
      <c r="AY12" s="1" t="s">
        <v>3</v>
      </c>
      <c r="AZ12" s="1" t="s">
        <v>3</v>
      </c>
      <c r="BA12" s="1"/>
      <c r="BB12" s="1"/>
      <c r="BC12" s="1"/>
      <c r="BD12" s="1"/>
      <c r="BE12" s="1"/>
      <c r="BF12" s="1"/>
      <c r="BG12" s="1"/>
      <c r="BH12" s="1" t="s">
        <v>6</v>
      </c>
      <c r="BI12" s="1" t="s">
        <v>7</v>
      </c>
      <c r="BJ12" s="1">
        <v>1</v>
      </c>
      <c r="BK12" s="1">
        <v>1</v>
      </c>
      <c r="BL12" s="1">
        <v>0</v>
      </c>
      <c r="BM12" s="1">
        <v>0</v>
      </c>
      <c r="BN12" s="1">
        <v>1</v>
      </c>
      <c r="BO12" s="1">
        <v>0</v>
      </c>
      <c r="BP12" s="1">
        <v>6</v>
      </c>
      <c r="BQ12" s="1">
        <v>2</v>
      </c>
      <c r="BR12" s="1">
        <v>1</v>
      </c>
      <c r="BS12" s="1">
        <v>1</v>
      </c>
      <c r="BT12" s="1">
        <v>0</v>
      </c>
      <c r="BU12" s="1">
        <v>0</v>
      </c>
      <c r="BV12" s="1">
        <v>0</v>
      </c>
      <c r="BW12" s="1">
        <v>0</v>
      </c>
      <c r="BX12" s="1">
        <v>0</v>
      </c>
      <c r="BY12" s="1" t="s">
        <v>8</v>
      </c>
      <c r="BZ12" s="1" t="s">
        <v>9</v>
      </c>
      <c r="CA12" s="1" t="s">
        <v>10</v>
      </c>
      <c r="CB12" s="1" t="s">
        <v>10</v>
      </c>
      <c r="CC12" s="1" t="s">
        <v>10</v>
      </c>
      <c r="CD12" s="1" t="s">
        <v>10</v>
      </c>
      <c r="CE12" s="1" t="s">
        <v>11</v>
      </c>
      <c r="CF12" s="1">
        <v>0</v>
      </c>
      <c r="CG12" s="1">
        <v>0</v>
      </c>
      <c r="CH12" s="1">
        <v>8</v>
      </c>
      <c r="CI12" s="1" t="s">
        <v>3</v>
      </c>
      <c r="CJ12" s="1" t="s">
        <v>3</v>
      </c>
      <c r="CK12" s="1">
        <v>1</v>
      </c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>
        <v>0</v>
      </c>
    </row>
    <row r="14" spans="1:133" x14ac:dyDescent="0.2">
      <c r="A14" s="1">
        <v>22</v>
      </c>
      <c r="B14" s="1">
        <v>0</v>
      </c>
      <c r="C14" s="1">
        <v>0</v>
      </c>
      <c r="D14" s="1">
        <v>52430918</v>
      </c>
      <c r="E14" s="1">
        <v>0</v>
      </c>
      <c r="F14" s="1">
        <v>3</v>
      </c>
      <c r="G14" s="1"/>
      <c r="H14" s="1"/>
      <c r="I14" s="1"/>
      <c r="J14" s="1"/>
      <c r="K14" s="1"/>
      <c r="L14" s="1"/>
      <c r="M14" s="1"/>
      <c r="N14" s="1"/>
      <c r="O14" s="1"/>
    </row>
    <row r="16" spans="1:133" x14ac:dyDescent="0.2">
      <c r="A16" s="5">
        <v>3</v>
      </c>
      <c r="B16" s="5">
        <v>1</v>
      </c>
      <c r="C16" s="5" t="s">
        <v>12</v>
      </c>
      <c r="D16" s="5" t="s">
        <v>12</v>
      </c>
      <c r="E16" s="6">
        <f>(Source!F585)/1000</f>
        <v>0</v>
      </c>
      <c r="F16" s="6">
        <f>(Source!F586)/1000</f>
        <v>0</v>
      </c>
      <c r="G16" s="6">
        <f>(Source!F577)/1000</f>
        <v>0</v>
      </c>
      <c r="H16" s="6">
        <f>(Source!F587)/1000+(Source!F588)/1000</f>
        <v>2726.6201900000001</v>
      </c>
      <c r="I16" s="6">
        <f>E16+F16+G16+H16</f>
        <v>2726.6201900000001</v>
      </c>
      <c r="J16" s="6">
        <f>(Source!F583)/1000</f>
        <v>240.73348999999999</v>
      </c>
      <c r="AI16" s="5">
        <v>0</v>
      </c>
      <c r="AJ16" s="5">
        <v>0</v>
      </c>
      <c r="AK16" s="5" t="s">
        <v>3</v>
      </c>
      <c r="AL16" s="5" t="s">
        <v>3</v>
      </c>
      <c r="AM16" s="5" t="s">
        <v>3</v>
      </c>
      <c r="AN16" s="5">
        <v>0</v>
      </c>
      <c r="AO16" s="5" t="s">
        <v>3</v>
      </c>
      <c r="AP16" s="5" t="s">
        <v>3</v>
      </c>
      <c r="AT16" s="6">
        <v>2487923.0099999998</v>
      </c>
      <c r="AU16" s="6">
        <v>2049809.3</v>
      </c>
      <c r="AV16" s="6">
        <v>0</v>
      </c>
      <c r="AW16" s="6">
        <v>0</v>
      </c>
      <c r="AX16" s="6">
        <v>0</v>
      </c>
      <c r="AY16" s="6">
        <v>197380.22</v>
      </c>
      <c r="AZ16" s="6">
        <v>103360.22</v>
      </c>
      <c r="BA16" s="6">
        <v>240733.49</v>
      </c>
      <c r="BB16" s="6">
        <v>0</v>
      </c>
      <c r="BC16" s="6">
        <v>0</v>
      </c>
      <c r="BD16" s="6">
        <v>2726620.19</v>
      </c>
      <c r="BE16" s="6">
        <v>0</v>
      </c>
      <c r="BF16" s="6">
        <v>1105.6031759999996</v>
      </c>
      <c r="BG16" s="6">
        <v>0</v>
      </c>
      <c r="BH16" s="6">
        <v>0</v>
      </c>
      <c r="BI16" s="6">
        <v>168513.47</v>
      </c>
      <c r="BJ16" s="6">
        <v>24073.38</v>
      </c>
      <c r="BK16" s="6">
        <v>2726620.19</v>
      </c>
    </row>
    <row r="18" spans="1:19" x14ac:dyDescent="0.2">
      <c r="A18">
        <v>51</v>
      </c>
      <c r="E18" s="7">
        <f>SUMIF(A16:A17,3,E16:E17)</f>
        <v>0</v>
      </c>
      <c r="F18" s="7">
        <f>SUMIF(A16:A17,3,F16:F17)</f>
        <v>0</v>
      </c>
      <c r="G18" s="7">
        <f>SUMIF(A16:A17,3,G16:G17)</f>
        <v>0</v>
      </c>
      <c r="H18" s="7">
        <f>SUMIF(A16:A17,3,H16:H17)</f>
        <v>2726.6201900000001</v>
      </c>
      <c r="I18" s="7">
        <f>SUMIF(A16:A17,3,I16:I17)</f>
        <v>2726.6201900000001</v>
      </c>
      <c r="J18" s="7">
        <f>SUMIF(A16:A17,3,J16:J17)</f>
        <v>240.73348999999999</v>
      </c>
      <c r="K18" s="7"/>
      <c r="L18" s="7"/>
      <c r="M18" s="7"/>
      <c r="N18" s="7"/>
      <c r="O18" s="7"/>
      <c r="P18" s="7"/>
      <c r="Q18" s="7"/>
      <c r="R18" s="7"/>
      <c r="S18" s="7"/>
    </row>
    <row r="20" spans="1:19" x14ac:dyDescent="0.2">
      <c r="A20" s="4">
        <v>50</v>
      </c>
      <c r="B20" s="4">
        <v>0</v>
      </c>
      <c r="C20" s="4">
        <v>0</v>
      </c>
      <c r="D20" s="4">
        <v>1</v>
      </c>
      <c r="E20" s="4">
        <v>201</v>
      </c>
      <c r="F20" s="4">
        <v>2487923.0099999998</v>
      </c>
      <c r="G20" s="4" t="s">
        <v>118</v>
      </c>
      <c r="H20" s="4" t="s">
        <v>119</v>
      </c>
      <c r="I20" s="4"/>
      <c r="J20" s="4"/>
      <c r="K20" s="4">
        <v>201</v>
      </c>
      <c r="L20" s="4">
        <v>1</v>
      </c>
      <c r="M20" s="4">
        <v>3</v>
      </c>
      <c r="N20" s="4" t="s">
        <v>3</v>
      </c>
      <c r="O20" s="4">
        <v>2</v>
      </c>
      <c r="P20" s="4"/>
    </row>
    <row r="21" spans="1:19" x14ac:dyDescent="0.2">
      <c r="A21" s="4">
        <v>50</v>
      </c>
      <c r="B21" s="4">
        <v>0</v>
      </c>
      <c r="C21" s="4">
        <v>0</v>
      </c>
      <c r="D21" s="4">
        <v>1</v>
      </c>
      <c r="E21" s="4">
        <v>202</v>
      </c>
      <c r="F21" s="4">
        <v>2049809.3</v>
      </c>
      <c r="G21" s="4" t="s">
        <v>120</v>
      </c>
      <c r="H21" s="4" t="s">
        <v>121</v>
      </c>
      <c r="I21" s="4"/>
      <c r="J21" s="4"/>
      <c r="K21" s="4">
        <v>202</v>
      </c>
      <c r="L21" s="4">
        <v>2</v>
      </c>
      <c r="M21" s="4">
        <v>3</v>
      </c>
      <c r="N21" s="4" t="s">
        <v>3</v>
      </c>
      <c r="O21" s="4">
        <v>2</v>
      </c>
      <c r="P21" s="4"/>
    </row>
    <row r="22" spans="1:19" x14ac:dyDescent="0.2">
      <c r="A22" s="4">
        <v>50</v>
      </c>
      <c r="B22" s="4">
        <v>0</v>
      </c>
      <c r="C22" s="4">
        <v>0</v>
      </c>
      <c r="D22" s="4">
        <v>1</v>
      </c>
      <c r="E22" s="4">
        <v>222</v>
      </c>
      <c r="F22" s="4">
        <v>0</v>
      </c>
      <c r="G22" s="4" t="s">
        <v>122</v>
      </c>
      <c r="H22" s="4" t="s">
        <v>123</v>
      </c>
      <c r="I22" s="4"/>
      <c r="J22" s="4"/>
      <c r="K22" s="4">
        <v>222</v>
      </c>
      <c r="L22" s="4">
        <v>3</v>
      </c>
      <c r="M22" s="4">
        <v>3</v>
      </c>
      <c r="N22" s="4" t="s">
        <v>3</v>
      </c>
      <c r="O22" s="4">
        <v>2</v>
      </c>
      <c r="P22" s="4"/>
    </row>
    <row r="23" spans="1:19" x14ac:dyDescent="0.2">
      <c r="A23" s="4">
        <v>50</v>
      </c>
      <c r="B23" s="4">
        <v>0</v>
      </c>
      <c r="C23" s="4">
        <v>0</v>
      </c>
      <c r="D23" s="4">
        <v>1</v>
      </c>
      <c r="E23" s="4">
        <v>225</v>
      </c>
      <c r="F23" s="4">
        <v>2049809.3</v>
      </c>
      <c r="G23" s="4" t="s">
        <v>124</v>
      </c>
      <c r="H23" s="4" t="s">
        <v>125</v>
      </c>
      <c r="I23" s="4"/>
      <c r="J23" s="4"/>
      <c r="K23" s="4">
        <v>225</v>
      </c>
      <c r="L23" s="4">
        <v>4</v>
      </c>
      <c r="M23" s="4">
        <v>3</v>
      </c>
      <c r="N23" s="4" t="s">
        <v>3</v>
      </c>
      <c r="O23" s="4">
        <v>2</v>
      </c>
      <c r="P23" s="4"/>
    </row>
    <row r="24" spans="1:19" x14ac:dyDescent="0.2">
      <c r="A24" s="4">
        <v>50</v>
      </c>
      <c r="B24" s="4">
        <v>0</v>
      </c>
      <c r="C24" s="4">
        <v>0</v>
      </c>
      <c r="D24" s="4">
        <v>1</v>
      </c>
      <c r="E24" s="4">
        <v>226</v>
      </c>
      <c r="F24" s="4">
        <v>2049809.3</v>
      </c>
      <c r="G24" s="4" t="s">
        <v>126</v>
      </c>
      <c r="H24" s="4" t="s">
        <v>127</v>
      </c>
      <c r="I24" s="4"/>
      <c r="J24" s="4"/>
      <c r="K24" s="4">
        <v>226</v>
      </c>
      <c r="L24" s="4">
        <v>5</v>
      </c>
      <c r="M24" s="4">
        <v>3</v>
      </c>
      <c r="N24" s="4" t="s">
        <v>3</v>
      </c>
      <c r="O24" s="4">
        <v>2</v>
      </c>
      <c r="P24" s="4"/>
    </row>
    <row r="25" spans="1:19" x14ac:dyDescent="0.2">
      <c r="A25" s="4">
        <v>50</v>
      </c>
      <c r="B25" s="4">
        <v>0</v>
      </c>
      <c r="C25" s="4">
        <v>0</v>
      </c>
      <c r="D25" s="4">
        <v>1</v>
      </c>
      <c r="E25" s="4">
        <v>227</v>
      </c>
      <c r="F25" s="4">
        <v>0</v>
      </c>
      <c r="G25" s="4" t="s">
        <v>128</v>
      </c>
      <c r="H25" s="4" t="s">
        <v>129</v>
      </c>
      <c r="I25" s="4"/>
      <c r="J25" s="4"/>
      <c r="K25" s="4">
        <v>227</v>
      </c>
      <c r="L25" s="4">
        <v>6</v>
      </c>
      <c r="M25" s="4">
        <v>3</v>
      </c>
      <c r="N25" s="4" t="s">
        <v>3</v>
      </c>
      <c r="O25" s="4">
        <v>2</v>
      </c>
      <c r="P25" s="4"/>
    </row>
    <row r="26" spans="1:19" x14ac:dyDescent="0.2">
      <c r="A26" s="4">
        <v>50</v>
      </c>
      <c r="B26" s="4">
        <v>0</v>
      </c>
      <c r="C26" s="4">
        <v>0</v>
      </c>
      <c r="D26" s="4">
        <v>1</v>
      </c>
      <c r="E26" s="4">
        <v>228</v>
      </c>
      <c r="F26" s="4">
        <v>2049809.3</v>
      </c>
      <c r="G26" s="4" t="s">
        <v>130</v>
      </c>
      <c r="H26" s="4" t="s">
        <v>131</v>
      </c>
      <c r="I26" s="4"/>
      <c r="J26" s="4"/>
      <c r="K26" s="4">
        <v>228</v>
      </c>
      <c r="L26" s="4">
        <v>7</v>
      </c>
      <c r="M26" s="4">
        <v>3</v>
      </c>
      <c r="N26" s="4" t="s">
        <v>3</v>
      </c>
      <c r="O26" s="4">
        <v>2</v>
      </c>
      <c r="P26" s="4"/>
    </row>
    <row r="27" spans="1:19" x14ac:dyDescent="0.2">
      <c r="A27" s="4">
        <v>50</v>
      </c>
      <c r="B27" s="4">
        <v>0</v>
      </c>
      <c r="C27" s="4">
        <v>0</v>
      </c>
      <c r="D27" s="4">
        <v>1</v>
      </c>
      <c r="E27" s="4">
        <v>216</v>
      </c>
      <c r="F27" s="4">
        <v>0</v>
      </c>
      <c r="G27" s="4" t="s">
        <v>132</v>
      </c>
      <c r="H27" s="4" t="s">
        <v>133</v>
      </c>
      <c r="I27" s="4"/>
      <c r="J27" s="4"/>
      <c r="K27" s="4">
        <v>216</v>
      </c>
      <c r="L27" s="4">
        <v>8</v>
      </c>
      <c r="M27" s="4">
        <v>3</v>
      </c>
      <c r="N27" s="4" t="s">
        <v>3</v>
      </c>
      <c r="O27" s="4">
        <v>2</v>
      </c>
      <c r="P27" s="4"/>
    </row>
    <row r="28" spans="1:19" x14ac:dyDescent="0.2">
      <c r="A28" s="4">
        <v>50</v>
      </c>
      <c r="B28" s="4">
        <v>0</v>
      </c>
      <c r="C28" s="4">
        <v>0</v>
      </c>
      <c r="D28" s="4">
        <v>1</v>
      </c>
      <c r="E28" s="4">
        <v>223</v>
      </c>
      <c r="F28" s="4">
        <v>0</v>
      </c>
      <c r="G28" s="4" t="s">
        <v>134</v>
      </c>
      <c r="H28" s="4" t="s">
        <v>135</v>
      </c>
      <c r="I28" s="4"/>
      <c r="J28" s="4"/>
      <c r="K28" s="4">
        <v>223</v>
      </c>
      <c r="L28" s="4">
        <v>9</v>
      </c>
      <c r="M28" s="4">
        <v>3</v>
      </c>
      <c r="N28" s="4" t="s">
        <v>3</v>
      </c>
      <c r="O28" s="4">
        <v>2</v>
      </c>
      <c r="P28" s="4"/>
    </row>
    <row r="29" spans="1:19" x14ac:dyDescent="0.2">
      <c r="A29" s="4">
        <v>50</v>
      </c>
      <c r="B29" s="4">
        <v>0</v>
      </c>
      <c r="C29" s="4">
        <v>0</v>
      </c>
      <c r="D29" s="4">
        <v>1</v>
      </c>
      <c r="E29" s="4">
        <v>229</v>
      </c>
      <c r="F29" s="4">
        <v>0</v>
      </c>
      <c r="G29" s="4" t="s">
        <v>136</v>
      </c>
      <c r="H29" s="4" t="s">
        <v>137</v>
      </c>
      <c r="I29" s="4"/>
      <c r="J29" s="4"/>
      <c r="K29" s="4">
        <v>229</v>
      </c>
      <c r="L29" s="4">
        <v>10</v>
      </c>
      <c r="M29" s="4">
        <v>3</v>
      </c>
      <c r="N29" s="4" t="s">
        <v>3</v>
      </c>
      <c r="O29" s="4">
        <v>2</v>
      </c>
      <c r="P29" s="4"/>
    </row>
    <row r="30" spans="1:19" x14ac:dyDescent="0.2">
      <c r="A30" s="4">
        <v>50</v>
      </c>
      <c r="B30" s="4">
        <v>0</v>
      </c>
      <c r="C30" s="4">
        <v>0</v>
      </c>
      <c r="D30" s="4">
        <v>1</v>
      </c>
      <c r="E30" s="4">
        <v>203</v>
      </c>
      <c r="F30" s="4">
        <v>197380.22</v>
      </c>
      <c r="G30" s="4" t="s">
        <v>138</v>
      </c>
      <c r="H30" s="4" t="s">
        <v>139</v>
      </c>
      <c r="I30" s="4"/>
      <c r="J30" s="4"/>
      <c r="K30" s="4">
        <v>203</v>
      </c>
      <c r="L30" s="4">
        <v>11</v>
      </c>
      <c r="M30" s="4">
        <v>3</v>
      </c>
      <c r="N30" s="4" t="s">
        <v>3</v>
      </c>
      <c r="O30" s="4">
        <v>2</v>
      </c>
      <c r="P30" s="4"/>
    </row>
    <row r="31" spans="1:19" x14ac:dyDescent="0.2">
      <c r="A31" s="4">
        <v>50</v>
      </c>
      <c r="B31" s="4">
        <v>0</v>
      </c>
      <c r="C31" s="4">
        <v>0</v>
      </c>
      <c r="D31" s="4">
        <v>1</v>
      </c>
      <c r="E31" s="4">
        <v>231</v>
      </c>
      <c r="F31" s="4">
        <v>0</v>
      </c>
      <c r="G31" s="4" t="s">
        <v>140</v>
      </c>
      <c r="H31" s="4" t="s">
        <v>141</v>
      </c>
      <c r="I31" s="4"/>
      <c r="J31" s="4"/>
      <c r="K31" s="4">
        <v>231</v>
      </c>
      <c r="L31" s="4">
        <v>12</v>
      </c>
      <c r="M31" s="4">
        <v>3</v>
      </c>
      <c r="N31" s="4" t="s">
        <v>3</v>
      </c>
      <c r="O31" s="4">
        <v>2</v>
      </c>
      <c r="P31" s="4"/>
    </row>
    <row r="32" spans="1:19" x14ac:dyDescent="0.2">
      <c r="A32" s="4">
        <v>50</v>
      </c>
      <c r="B32" s="4">
        <v>0</v>
      </c>
      <c r="C32" s="4">
        <v>0</v>
      </c>
      <c r="D32" s="4">
        <v>1</v>
      </c>
      <c r="E32" s="4">
        <v>204</v>
      </c>
      <c r="F32" s="4">
        <v>103360.22</v>
      </c>
      <c r="G32" s="4" t="s">
        <v>142</v>
      </c>
      <c r="H32" s="4" t="s">
        <v>143</v>
      </c>
      <c r="I32" s="4"/>
      <c r="J32" s="4"/>
      <c r="K32" s="4">
        <v>204</v>
      </c>
      <c r="L32" s="4">
        <v>13</v>
      </c>
      <c r="M32" s="4">
        <v>3</v>
      </c>
      <c r="N32" s="4" t="s">
        <v>3</v>
      </c>
      <c r="O32" s="4">
        <v>2</v>
      </c>
      <c r="P32" s="4"/>
    </row>
    <row r="33" spans="1:16" x14ac:dyDescent="0.2">
      <c r="A33" s="4">
        <v>50</v>
      </c>
      <c r="B33" s="4">
        <v>0</v>
      </c>
      <c r="C33" s="4">
        <v>0</v>
      </c>
      <c r="D33" s="4">
        <v>1</v>
      </c>
      <c r="E33" s="4">
        <v>205</v>
      </c>
      <c r="F33" s="4">
        <v>240733.49</v>
      </c>
      <c r="G33" s="4" t="s">
        <v>144</v>
      </c>
      <c r="H33" s="4" t="s">
        <v>145</v>
      </c>
      <c r="I33" s="4"/>
      <c r="J33" s="4"/>
      <c r="K33" s="4">
        <v>205</v>
      </c>
      <c r="L33" s="4">
        <v>14</v>
      </c>
      <c r="M33" s="4">
        <v>3</v>
      </c>
      <c r="N33" s="4" t="s">
        <v>3</v>
      </c>
      <c r="O33" s="4">
        <v>2</v>
      </c>
      <c r="P33" s="4"/>
    </row>
    <row r="34" spans="1:16" x14ac:dyDescent="0.2">
      <c r="A34" s="4">
        <v>50</v>
      </c>
      <c r="B34" s="4">
        <v>0</v>
      </c>
      <c r="C34" s="4">
        <v>0</v>
      </c>
      <c r="D34" s="4">
        <v>1</v>
      </c>
      <c r="E34" s="4">
        <v>232</v>
      </c>
      <c r="F34" s="4">
        <v>0</v>
      </c>
      <c r="G34" s="4" t="s">
        <v>146</v>
      </c>
      <c r="H34" s="4" t="s">
        <v>147</v>
      </c>
      <c r="I34" s="4"/>
      <c r="J34" s="4"/>
      <c r="K34" s="4">
        <v>232</v>
      </c>
      <c r="L34" s="4">
        <v>15</v>
      </c>
      <c r="M34" s="4">
        <v>3</v>
      </c>
      <c r="N34" s="4" t="s">
        <v>3</v>
      </c>
      <c r="O34" s="4">
        <v>2</v>
      </c>
      <c r="P34" s="4"/>
    </row>
    <row r="35" spans="1:16" x14ac:dyDescent="0.2">
      <c r="A35" s="4">
        <v>50</v>
      </c>
      <c r="B35" s="4">
        <v>0</v>
      </c>
      <c r="C35" s="4">
        <v>0</v>
      </c>
      <c r="D35" s="4">
        <v>1</v>
      </c>
      <c r="E35" s="4">
        <v>214</v>
      </c>
      <c r="F35" s="4">
        <v>0</v>
      </c>
      <c r="G35" s="4" t="s">
        <v>148</v>
      </c>
      <c r="H35" s="4" t="s">
        <v>149</v>
      </c>
      <c r="I35" s="4"/>
      <c r="J35" s="4"/>
      <c r="K35" s="4">
        <v>214</v>
      </c>
      <c r="L35" s="4">
        <v>16</v>
      </c>
      <c r="M35" s="4">
        <v>3</v>
      </c>
      <c r="N35" s="4" t="s">
        <v>3</v>
      </c>
      <c r="O35" s="4">
        <v>2</v>
      </c>
      <c r="P35" s="4"/>
    </row>
    <row r="36" spans="1:16" x14ac:dyDescent="0.2">
      <c r="A36" s="4">
        <v>50</v>
      </c>
      <c r="B36" s="4">
        <v>0</v>
      </c>
      <c r="C36" s="4">
        <v>0</v>
      </c>
      <c r="D36" s="4">
        <v>1</v>
      </c>
      <c r="E36" s="4">
        <v>215</v>
      </c>
      <c r="F36" s="4">
        <v>0</v>
      </c>
      <c r="G36" s="4" t="s">
        <v>150</v>
      </c>
      <c r="H36" s="4" t="s">
        <v>151</v>
      </c>
      <c r="I36" s="4"/>
      <c r="J36" s="4"/>
      <c r="K36" s="4">
        <v>215</v>
      </c>
      <c r="L36" s="4">
        <v>17</v>
      </c>
      <c r="M36" s="4">
        <v>3</v>
      </c>
      <c r="N36" s="4" t="s">
        <v>3</v>
      </c>
      <c r="O36" s="4">
        <v>2</v>
      </c>
      <c r="P36" s="4"/>
    </row>
    <row r="37" spans="1:16" x14ac:dyDescent="0.2">
      <c r="A37" s="4">
        <v>50</v>
      </c>
      <c r="B37" s="4">
        <v>0</v>
      </c>
      <c r="C37" s="4">
        <v>0</v>
      </c>
      <c r="D37" s="4">
        <v>1</v>
      </c>
      <c r="E37" s="4">
        <v>217</v>
      </c>
      <c r="F37" s="4">
        <v>2726620.19</v>
      </c>
      <c r="G37" s="4" t="s">
        <v>152</v>
      </c>
      <c r="H37" s="4" t="s">
        <v>153</v>
      </c>
      <c r="I37" s="4"/>
      <c r="J37" s="4"/>
      <c r="K37" s="4">
        <v>217</v>
      </c>
      <c r="L37" s="4">
        <v>18</v>
      </c>
      <c r="M37" s="4">
        <v>3</v>
      </c>
      <c r="N37" s="4" t="s">
        <v>3</v>
      </c>
      <c r="O37" s="4">
        <v>2</v>
      </c>
      <c r="P37" s="4"/>
    </row>
    <row r="38" spans="1:16" x14ac:dyDescent="0.2">
      <c r="A38" s="4">
        <v>50</v>
      </c>
      <c r="B38" s="4">
        <v>0</v>
      </c>
      <c r="C38" s="4">
        <v>0</v>
      </c>
      <c r="D38" s="4">
        <v>1</v>
      </c>
      <c r="E38" s="4">
        <v>230</v>
      </c>
      <c r="F38" s="4">
        <v>0</v>
      </c>
      <c r="G38" s="4" t="s">
        <v>154</v>
      </c>
      <c r="H38" s="4" t="s">
        <v>155</v>
      </c>
      <c r="I38" s="4"/>
      <c r="J38" s="4"/>
      <c r="K38" s="4">
        <v>230</v>
      </c>
      <c r="L38" s="4">
        <v>19</v>
      </c>
      <c r="M38" s="4">
        <v>3</v>
      </c>
      <c r="N38" s="4" t="s">
        <v>3</v>
      </c>
      <c r="O38" s="4">
        <v>2</v>
      </c>
      <c r="P38" s="4"/>
    </row>
    <row r="39" spans="1:16" x14ac:dyDescent="0.2">
      <c r="A39" s="4">
        <v>50</v>
      </c>
      <c r="B39" s="4">
        <v>0</v>
      </c>
      <c r="C39" s="4">
        <v>0</v>
      </c>
      <c r="D39" s="4">
        <v>1</v>
      </c>
      <c r="E39" s="4">
        <v>206</v>
      </c>
      <c r="F39" s="4">
        <v>0</v>
      </c>
      <c r="G39" s="4" t="s">
        <v>156</v>
      </c>
      <c r="H39" s="4" t="s">
        <v>157</v>
      </c>
      <c r="I39" s="4"/>
      <c r="J39" s="4"/>
      <c r="K39" s="4">
        <v>206</v>
      </c>
      <c r="L39" s="4">
        <v>20</v>
      </c>
      <c r="M39" s="4">
        <v>3</v>
      </c>
      <c r="N39" s="4" t="s">
        <v>3</v>
      </c>
      <c r="O39" s="4">
        <v>2</v>
      </c>
      <c r="P39" s="4"/>
    </row>
    <row r="40" spans="1:16" x14ac:dyDescent="0.2">
      <c r="A40" s="4">
        <v>50</v>
      </c>
      <c r="B40" s="4">
        <v>0</v>
      </c>
      <c r="C40" s="4">
        <v>0</v>
      </c>
      <c r="D40" s="4">
        <v>1</v>
      </c>
      <c r="E40" s="4">
        <v>207</v>
      </c>
      <c r="F40" s="4">
        <v>1105.6031759999996</v>
      </c>
      <c r="G40" s="4" t="s">
        <v>158</v>
      </c>
      <c r="H40" s="4" t="s">
        <v>159</v>
      </c>
      <c r="I40" s="4"/>
      <c r="J40" s="4"/>
      <c r="K40" s="4">
        <v>207</v>
      </c>
      <c r="L40" s="4">
        <v>21</v>
      </c>
      <c r="M40" s="4">
        <v>3</v>
      </c>
      <c r="N40" s="4" t="s">
        <v>3</v>
      </c>
      <c r="O40" s="4">
        <v>-1</v>
      </c>
      <c r="P40" s="4"/>
    </row>
    <row r="41" spans="1:16" x14ac:dyDescent="0.2">
      <c r="A41" s="4">
        <v>50</v>
      </c>
      <c r="B41" s="4">
        <v>0</v>
      </c>
      <c r="C41" s="4">
        <v>0</v>
      </c>
      <c r="D41" s="4">
        <v>1</v>
      </c>
      <c r="E41" s="4">
        <v>208</v>
      </c>
      <c r="F41" s="4">
        <v>0</v>
      </c>
      <c r="G41" s="4" t="s">
        <v>160</v>
      </c>
      <c r="H41" s="4" t="s">
        <v>161</v>
      </c>
      <c r="I41" s="4"/>
      <c r="J41" s="4"/>
      <c r="K41" s="4">
        <v>208</v>
      </c>
      <c r="L41" s="4">
        <v>22</v>
      </c>
      <c r="M41" s="4">
        <v>3</v>
      </c>
      <c r="N41" s="4" t="s">
        <v>3</v>
      </c>
      <c r="O41" s="4">
        <v>-1</v>
      </c>
      <c r="P41" s="4"/>
    </row>
    <row r="42" spans="1:16" x14ac:dyDescent="0.2">
      <c r="A42" s="4">
        <v>50</v>
      </c>
      <c r="B42" s="4">
        <v>0</v>
      </c>
      <c r="C42" s="4">
        <v>0</v>
      </c>
      <c r="D42" s="4">
        <v>1</v>
      </c>
      <c r="E42" s="4">
        <v>209</v>
      </c>
      <c r="F42" s="4">
        <v>0</v>
      </c>
      <c r="G42" s="4" t="s">
        <v>162</v>
      </c>
      <c r="H42" s="4" t="s">
        <v>163</v>
      </c>
      <c r="I42" s="4"/>
      <c r="J42" s="4"/>
      <c r="K42" s="4">
        <v>209</v>
      </c>
      <c r="L42" s="4">
        <v>23</v>
      </c>
      <c r="M42" s="4">
        <v>3</v>
      </c>
      <c r="N42" s="4" t="s">
        <v>3</v>
      </c>
      <c r="O42" s="4">
        <v>2</v>
      </c>
      <c r="P42" s="4"/>
    </row>
    <row r="43" spans="1:16" x14ac:dyDescent="0.2">
      <c r="A43" s="4">
        <v>50</v>
      </c>
      <c r="B43" s="4">
        <v>0</v>
      </c>
      <c r="C43" s="4">
        <v>0</v>
      </c>
      <c r="D43" s="4">
        <v>1</v>
      </c>
      <c r="E43" s="4">
        <v>233</v>
      </c>
      <c r="F43" s="4">
        <v>0</v>
      </c>
      <c r="G43" s="4" t="s">
        <v>164</v>
      </c>
      <c r="H43" s="4" t="s">
        <v>165</v>
      </c>
      <c r="I43" s="4"/>
      <c r="J43" s="4"/>
      <c r="K43" s="4">
        <v>233</v>
      </c>
      <c r="L43" s="4">
        <v>24</v>
      </c>
      <c r="M43" s="4">
        <v>3</v>
      </c>
      <c r="N43" s="4" t="s">
        <v>3</v>
      </c>
      <c r="O43" s="4">
        <v>2</v>
      </c>
      <c r="P43" s="4"/>
    </row>
    <row r="44" spans="1:16" x14ac:dyDescent="0.2">
      <c r="A44" s="4">
        <v>50</v>
      </c>
      <c r="B44" s="4">
        <v>0</v>
      </c>
      <c r="C44" s="4">
        <v>0</v>
      </c>
      <c r="D44" s="4">
        <v>1</v>
      </c>
      <c r="E44" s="4">
        <v>210</v>
      </c>
      <c r="F44" s="4">
        <v>168513.47</v>
      </c>
      <c r="G44" s="4" t="s">
        <v>166</v>
      </c>
      <c r="H44" s="4" t="s">
        <v>167</v>
      </c>
      <c r="I44" s="4"/>
      <c r="J44" s="4"/>
      <c r="K44" s="4">
        <v>210</v>
      </c>
      <c r="L44" s="4">
        <v>25</v>
      </c>
      <c r="M44" s="4">
        <v>3</v>
      </c>
      <c r="N44" s="4" t="s">
        <v>3</v>
      </c>
      <c r="O44" s="4">
        <v>2</v>
      </c>
      <c r="P44" s="4"/>
    </row>
    <row r="45" spans="1:16" x14ac:dyDescent="0.2">
      <c r="A45" s="4">
        <v>50</v>
      </c>
      <c r="B45" s="4">
        <v>0</v>
      </c>
      <c r="C45" s="4">
        <v>0</v>
      </c>
      <c r="D45" s="4">
        <v>1</v>
      </c>
      <c r="E45" s="4">
        <v>211</v>
      </c>
      <c r="F45" s="4">
        <v>24073.38</v>
      </c>
      <c r="G45" s="4" t="s">
        <v>168</v>
      </c>
      <c r="H45" s="4" t="s">
        <v>169</v>
      </c>
      <c r="I45" s="4"/>
      <c r="J45" s="4"/>
      <c r="K45" s="4">
        <v>211</v>
      </c>
      <c r="L45" s="4">
        <v>26</v>
      </c>
      <c r="M45" s="4">
        <v>3</v>
      </c>
      <c r="N45" s="4" t="s">
        <v>3</v>
      </c>
      <c r="O45" s="4">
        <v>2</v>
      </c>
      <c r="P45" s="4"/>
    </row>
    <row r="46" spans="1:16" x14ac:dyDescent="0.2">
      <c r="A46" s="4">
        <v>50</v>
      </c>
      <c r="B46" s="4">
        <v>0</v>
      </c>
      <c r="C46" s="4">
        <v>0</v>
      </c>
      <c r="D46" s="4">
        <v>1</v>
      </c>
      <c r="E46" s="4">
        <v>224</v>
      </c>
      <c r="F46" s="4">
        <v>2726620.19</v>
      </c>
      <c r="G46" s="4" t="s">
        <v>170</v>
      </c>
      <c r="H46" s="4" t="s">
        <v>171</v>
      </c>
      <c r="I46" s="4"/>
      <c r="J46" s="4"/>
      <c r="K46" s="4">
        <v>224</v>
      </c>
      <c r="L46" s="4">
        <v>27</v>
      </c>
      <c r="M46" s="4">
        <v>3</v>
      </c>
      <c r="N46" s="4" t="s">
        <v>3</v>
      </c>
      <c r="O46" s="4">
        <v>2</v>
      </c>
      <c r="P46" s="4"/>
    </row>
    <row r="47" spans="1:16" x14ac:dyDescent="0.2">
      <c r="A47" s="4">
        <v>50</v>
      </c>
      <c r="B47" s="4">
        <v>1</v>
      </c>
      <c r="C47" s="4">
        <v>0</v>
      </c>
      <c r="D47" s="4">
        <v>2</v>
      </c>
      <c r="E47" s="4">
        <v>0</v>
      </c>
      <c r="F47" s="4">
        <v>2726620.19</v>
      </c>
      <c r="G47" s="4" t="s">
        <v>172</v>
      </c>
      <c r="H47" s="4" t="s">
        <v>173</v>
      </c>
      <c r="I47" s="4"/>
      <c r="J47" s="4"/>
      <c r="K47" s="4">
        <v>212</v>
      </c>
      <c r="L47" s="4">
        <v>28</v>
      </c>
      <c r="M47" s="4">
        <v>0</v>
      </c>
      <c r="N47" s="4" t="s">
        <v>3</v>
      </c>
      <c r="O47" s="4">
        <v>2</v>
      </c>
      <c r="P47" s="4"/>
    </row>
    <row r="48" spans="1:16" x14ac:dyDescent="0.2">
      <c r="A48" s="4">
        <v>50</v>
      </c>
      <c r="B48" s="4">
        <v>1</v>
      </c>
      <c r="C48" s="4">
        <v>0</v>
      </c>
      <c r="D48" s="4">
        <v>2</v>
      </c>
      <c r="E48" s="4">
        <v>0</v>
      </c>
      <c r="F48" s="4">
        <v>545324.04</v>
      </c>
      <c r="G48" s="4" t="s">
        <v>174</v>
      </c>
      <c r="H48" s="4" t="s">
        <v>175</v>
      </c>
      <c r="I48" s="4"/>
      <c r="J48" s="4"/>
      <c r="K48" s="4">
        <v>212</v>
      </c>
      <c r="L48" s="4">
        <v>29</v>
      </c>
      <c r="M48" s="4">
        <v>0</v>
      </c>
      <c r="N48" s="4" t="s">
        <v>3</v>
      </c>
      <c r="O48" s="4">
        <v>2</v>
      </c>
      <c r="P48" s="4"/>
    </row>
    <row r="49" spans="1:16" x14ac:dyDescent="0.2">
      <c r="A49" s="4">
        <v>50</v>
      </c>
      <c r="B49" s="4">
        <v>1</v>
      </c>
      <c r="C49" s="4">
        <v>0</v>
      </c>
      <c r="D49" s="4">
        <v>2</v>
      </c>
      <c r="E49" s="4">
        <v>213</v>
      </c>
      <c r="F49" s="4">
        <v>3271944.23</v>
      </c>
      <c r="G49" s="4" t="s">
        <v>176</v>
      </c>
      <c r="H49" s="4" t="s">
        <v>170</v>
      </c>
      <c r="I49" s="4"/>
      <c r="J49" s="4"/>
      <c r="K49" s="4">
        <v>212</v>
      </c>
      <c r="L49" s="4">
        <v>30</v>
      </c>
      <c r="M49" s="4">
        <v>0</v>
      </c>
      <c r="N49" s="4" t="s">
        <v>3</v>
      </c>
      <c r="O49" s="4">
        <v>2</v>
      </c>
      <c r="P49" s="4"/>
    </row>
    <row r="51" spans="1:16" x14ac:dyDescent="0.2">
      <c r="A51">
        <v>-1</v>
      </c>
    </row>
    <row r="54" spans="1:16" x14ac:dyDescent="0.2">
      <c r="A54" s="3">
        <v>75</v>
      </c>
      <c r="B54" s="3" t="s">
        <v>376</v>
      </c>
      <c r="C54" s="3">
        <v>2020</v>
      </c>
      <c r="D54" s="3">
        <v>0</v>
      </c>
      <c r="E54" s="3">
        <v>10</v>
      </c>
      <c r="F54" s="3">
        <v>0</v>
      </c>
      <c r="G54" s="3">
        <v>0</v>
      </c>
      <c r="H54" s="3">
        <v>1</v>
      </c>
      <c r="I54" s="3">
        <v>0</v>
      </c>
      <c r="J54" s="3">
        <v>1</v>
      </c>
      <c r="K54" s="3">
        <v>78</v>
      </c>
      <c r="L54" s="3">
        <v>30</v>
      </c>
      <c r="M54" s="3">
        <v>0</v>
      </c>
      <c r="N54" s="3">
        <v>52430918</v>
      </c>
      <c r="O54" s="3">
        <v>1</v>
      </c>
    </row>
  </sheetData>
  <printOptions gridLines="1"/>
  <pageMargins left="0.75" right="0.75" top="1" bottom="1" header="0.5" footer="0.5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C382"/>
  <sheetViews>
    <sheetView workbookViewId="0"/>
  </sheetViews>
  <sheetFormatPr defaultColWidth="9.140625" defaultRowHeight="12.75" x14ac:dyDescent="0.2"/>
  <cols>
    <col min="1" max="256" width="9.140625" customWidth="1"/>
  </cols>
  <sheetData>
    <row r="1" spans="1:107" x14ac:dyDescent="0.2">
      <c r="A1">
        <f>ROW(Source!A32)</f>
        <v>32</v>
      </c>
      <c r="B1">
        <v>52430918</v>
      </c>
      <c r="C1">
        <v>52431389</v>
      </c>
      <c r="D1">
        <v>51848379</v>
      </c>
      <c r="E1">
        <v>27</v>
      </c>
      <c r="F1">
        <v>1</v>
      </c>
      <c r="G1">
        <v>27</v>
      </c>
      <c r="H1">
        <v>1</v>
      </c>
      <c r="I1" t="s">
        <v>378</v>
      </c>
      <c r="J1" t="s">
        <v>3</v>
      </c>
      <c r="K1" t="s">
        <v>379</v>
      </c>
      <c r="L1">
        <v>1191</v>
      </c>
      <c r="N1">
        <v>1013</v>
      </c>
      <c r="O1" t="s">
        <v>380</v>
      </c>
      <c r="P1" t="s">
        <v>380</v>
      </c>
      <c r="Q1">
        <v>1</v>
      </c>
      <c r="W1">
        <v>0</v>
      </c>
      <c r="X1">
        <v>476480486</v>
      </c>
      <c r="Y1">
        <v>0.92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1</v>
      </c>
      <c r="AJ1">
        <v>1</v>
      </c>
      <c r="AK1">
        <v>1</v>
      </c>
      <c r="AL1">
        <v>1</v>
      </c>
      <c r="AN1">
        <v>0</v>
      </c>
      <c r="AO1">
        <v>1</v>
      </c>
      <c r="AP1">
        <v>0</v>
      </c>
      <c r="AQ1">
        <v>0</v>
      </c>
      <c r="AR1">
        <v>0</v>
      </c>
      <c r="AS1" t="s">
        <v>3</v>
      </c>
      <c r="AT1">
        <v>0.92</v>
      </c>
      <c r="AU1" t="s">
        <v>3</v>
      </c>
      <c r="AV1">
        <v>1</v>
      </c>
      <c r="AW1">
        <v>2</v>
      </c>
      <c r="AX1">
        <v>52431393</v>
      </c>
      <c r="AY1">
        <v>1</v>
      </c>
      <c r="AZ1">
        <v>0</v>
      </c>
      <c r="BA1">
        <v>1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CX1">
        <f>Y1*Source!I32</f>
        <v>0.92</v>
      </c>
      <c r="CY1">
        <f>AD1</f>
        <v>0</v>
      </c>
      <c r="CZ1">
        <f>AH1</f>
        <v>0</v>
      </c>
      <c r="DA1">
        <f>AL1</f>
        <v>1</v>
      </c>
      <c r="DB1">
        <f t="shared" ref="DB1:DB64" si="0">ROUND(ROUND(AT1*CZ1,2),6)</f>
        <v>0</v>
      </c>
      <c r="DC1">
        <f t="shared" ref="DC1:DC64" si="1">ROUND(ROUND(AT1*AG1,2),6)</f>
        <v>0</v>
      </c>
    </row>
    <row r="2" spans="1:107" x14ac:dyDescent="0.2">
      <c r="A2">
        <f>ROW(Source!A32)</f>
        <v>32</v>
      </c>
      <c r="B2">
        <v>52430918</v>
      </c>
      <c r="C2">
        <v>52431389</v>
      </c>
      <c r="D2">
        <v>51865699</v>
      </c>
      <c r="E2">
        <v>1</v>
      </c>
      <c r="F2">
        <v>1</v>
      </c>
      <c r="G2">
        <v>27</v>
      </c>
      <c r="H2">
        <v>2</v>
      </c>
      <c r="I2" t="s">
        <v>381</v>
      </c>
      <c r="J2" t="s">
        <v>382</v>
      </c>
      <c r="K2" t="s">
        <v>383</v>
      </c>
      <c r="L2">
        <v>1368</v>
      </c>
      <c r="N2">
        <v>1011</v>
      </c>
      <c r="O2" t="s">
        <v>84</v>
      </c>
      <c r="P2" t="s">
        <v>84</v>
      </c>
      <c r="Q2">
        <v>1</v>
      </c>
      <c r="W2">
        <v>0</v>
      </c>
      <c r="X2">
        <v>-1604235188</v>
      </c>
      <c r="Y2">
        <v>0.25</v>
      </c>
      <c r="AA2">
        <v>0</v>
      </c>
      <c r="AB2">
        <v>256.3</v>
      </c>
      <c r="AC2">
        <v>6.59</v>
      </c>
      <c r="AD2">
        <v>0</v>
      </c>
      <c r="AE2">
        <v>0</v>
      </c>
      <c r="AF2">
        <v>256.3</v>
      </c>
      <c r="AG2">
        <v>6.59</v>
      </c>
      <c r="AH2">
        <v>0</v>
      </c>
      <c r="AI2">
        <v>1</v>
      </c>
      <c r="AJ2">
        <v>1</v>
      </c>
      <c r="AK2">
        <v>1</v>
      </c>
      <c r="AL2">
        <v>1</v>
      </c>
      <c r="AN2">
        <v>0</v>
      </c>
      <c r="AO2">
        <v>1</v>
      </c>
      <c r="AP2">
        <v>0</v>
      </c>
      <c r="AQ2">
        <v>0</v>
      </c>
      <c r="AR2">
        <v>0</v>
      </c>
      <c r="AS2" t="s">
        <v>3</v>
      </c>
      <c r="AT2">
        <v>0.25</v>
      </c>
      <c r="AU2" t="s">
        <v>3</v>
      </c>
      <c r="AV2">
        <v>0</v>
      </c>
      <c r="AW2">
        <v>2</v>
      </c>
      <c r="AX2">
        <v>52431394</v>
      </c>
      <c r="AY2">
        <v>1</v>
      </c>
      <c r="AZ2">
        <v>0</v>
      </c>
      <c r="BA2">
        <v>2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CX2">
        <f>Y2*Source!I32</f>
        <v>0.25</v>
      </c>
      <c r="CY2">
        <f>AB2</f>
        <v>256.3</v>
      </c>
      <c r="CZ2">
        <f>AF2</f>
        <v>256.3</v>
      </c>
      <c r="DA2">
        <f>AJ2</f>
        <v>1</v>
      </c>
      <c r="DB2">
        <f t="shared" si="0"/>
        <v>64.08</v>
      </c>
      <c r="DC2">
        <f t="shared" si="1"/>
        <v>1.65</v>
      </c>
    </row>
    <row r="3" spans="1:107" x14ac:dyDescent="0.2">
      <c r="A3">
        <f>ROW(Source!A32)</f>
        <v>32</v>
      </c>
      <c r="B3">
        <v>52430918</v>
      </c>
      <c r="C3">
        <v>52431389</v>
      </c>
      <c r="D3">
        <v>51865700</v>
      </c>
      <c r="E3">
        <v>1</v>
      </c>
      <c r="F3">
        <v>1</v>
      </c>
      <c r="G3">
        <v>27</v>
      </c>
      <c r="H3">
        <v>2</v>
      </c>
      <c r="I3" t="s">
        <v>384</v>
      </c>
      <c r="J3" t="s">
        <v>385</v>
      </c>
      <c r="K3" t="s">
        <v>386</v>
      </c>
      <c r="L3">
        <v>1368</v>
      </c>
      <c r="N3">
        <v>1011</v>
      </c>
      <c r="O3" t="s">
        <v>84</v>
      </c>
      <c r="P3" t="s">
        <v>84</v>
      </c>
      <c r="Q3">
        <v>1</v>
      </c>
      <c r="W3">
        <v>0</v>
      </c>
      <c r="X3">
        <v>-1226810776</v>
      </c>
      <c r="Y3">
        <v>0.1</v>
      </c>
      <c r="AA3">
        <v>0</v>
      </c>
      <c r="AB3">
        <v>327.49</v>
      </c>
      <c r="AC3">
        <v>0.28999999999999998</v>
      </c>
      <c r="AD3">
        <v>0</v>
      </c>
      <c r="AE3">
        <v>0</v>
      </c>
      <c r="AF3">
        <v>327.49</v>
      </c>
      <c r="AG3">
        <v>0.28999999999999998</v>
      </c>
      <c r="AH3">
        <v>0</v>
      </c>
      <c r="AI3">
        <v>1</v>
      </c>
      <c r="AJ3">
        <v>1</v>
      </c>
      <c r="AK3">
        <v>1</v>
      </c>
      <c r="AL3">
        <v>1</v>
      </c>
      <c r="AN3">
        <v>0</v>
      </c>
      <c r="AO3">
        <v>1</v>
      </c>
      <c r="AP3">
        <v>0</v>
      </c>
      <c r="AQ3">
        <v>0</v>
      </c>
      <c r="AR3">
        <v>0</v>
      </c>
      <c r="AS3" t="s">
        <v>3</v>
      </c>
      <c r="AT3">
        <v>0.1</v>
      </c>
      <c r="AU3" t="s">
        <v>3</v>
      </c>
      <c r="AV3">
        <v>0</v>
      </c>
      <c r="AW3">
        <v>2</v>
      </c>
      <c r="AX3">
        <v>52431395</v>
      </c>
      <c r="AY3">
        <v>1</v>
      </c>
      <c r="AZ3">
        <v>0</v>
      </c>
      <c r="BA3">
        <v>3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CX3">
        <f>Y3*Source!I32</f>
        <v>0.1</v>
      </c>
      <c r="CY3">
        <f>AB3</f>
        <v>327.49</v>
      </c>
      <c r="CZ3">
        <f>AF3</f>
        <v>327.49</v>
      </c>
      <c r="DA3">
        <f>AJ3</f>
        <v>1</v>
      </c>
      <c r="DB3">
        <f t="shared" si="0"/>
        <v>32.75</v>
      </c>
      <c r="DC3">
        <f t="shared" si="1"/>
        <v>0.03</v>
      </c>
    </row>
    <row r="4" spans="1:107" x14ac:dyDescent="0.2">
      <c r="A4">
        <f>ROW(Source!A33)</f>
        <v>33</v>
      </c>
      <c r="B4">
        <v>52430918</v>
      </c>
      <c r="C4">
        <v>52431396</v>
      </c>
      <c r="D4">
        <v>51848379</v>
      </c>
      <c r="E4">
        <v>27</v>
      </c>
      <c r="F4">
        <v>1</v>
      </c>
      <c r="G4">
        <v>27</v>
      </c>
      <c r="H4">
        <v>1</v>
      </c>
      <c r="I4" t="s">
        <v>378</v>
      </c>
      <c r="J4" t="s">
        <v>3</v>
      </c>
      <c r="K4" t="s">
        <v>379</v>
      </c>
      <c r="L4">
        <v>1191</v>
      </c>
      <c r="N4">
        <v>1013</v>
      </c>
      <c r="O4" t="s">
        <v>380</v>
      </c>
      <c r="P4" t="s">
        <v>380</v>
      </c>
      <c r="Q4">
        <v>1</v>
      </c>
      <c r="W4">
        <v>0</v>
      </c>
      <c r="X4">
        <v>476480486</v>
      </c>
      <c r="Y4">
        <v>2.66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1</v>
      </c>
      <c r="AJ4">
        <v>1</v>
      </c>
      <c r="AK4">
        <v>1</v>
      </c>
      <c r="AL4">
        <v>1</v>
      </c>
      <c r="AN4">
        <v>0</v>
      </c>
      <c r="AO4">
        <v>1</v>
      </c>
      <c r="AP4">
        <v>0</v>
      </c>
      <c r="AQ4">
        <v>0</v>
      </c>
      <c r="AR4">
        <v>0</v>
      </c>
      <c r="AS4" t="s">
        <v>3</v>
      </c>
      <c r="AT4">
        <v>2.66</v>
      </c>
      <c r="AU4" t="s">
        <v>3</v>
      </c>
      <c r="AV4">
        <v>1</v>
      </c>
      <c r="AW4">
        <v>2</v>
      </c>
      <c r="AX4">
        <v>52431398</v>
      </c>
      <c r="AY4">
        <v>1</v>
      </c>
      <c r="AZ4">
        <v>0</v>
      </c>
      <c r="BA4">
        <v>4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CX4">
        <f>Y4*Source!I33</f>
        <v>100.149</v>
      </c>
      <c r="CY4">
        <f>AD4</f>
        <v>0</v>
      </c>
      <c r="CZ4">
        <f>AH4</f>
        <v>0</v>
      </c>
      <c r="DA4">
        <f>AL4</f>
        <v>1</v>
      </c>
      <c r="DB4">
        <f t="shared" si="0"/>
        <v>0</v>
      </c>
      <c r="DC4">
        <f t="shared" si="1"/>
        <v>0</v>
      </c>
    </row>
    <row r="5" spans="1:107" x14ac:dyDescent="0.2">
      <c r="A5">
        <f>ROW(Source!A34)</f>
        <v>34</v>
      </c>
      <c r="B5">
        <v>52430918</v>
      </c>
      <c r="C5">
        <v>52431399</v>
      </c>
      <c r="D5">
        <v>51848379</v>
      </c>
      <c r="E5">
        <v>27</v>
      </c>
      <c r="F5">
        <v>1</v>
      </c>
      <c r="G5">
        <v>27</v>
      </c>
      <c r="H5">
        <v>1</v>
      </c>
      <c r="I5" t="s">
        <v>378</v>
      </c>
      <c r="J5" t="s">
        <v>3</v>
      </c>
      <c r="K5" t="s">
        <v>379</v>
      </c>
      <c r="L5">
        <v>1191</v>
      </c>
      <c r="N5">
        <v>1013</v>
      </c>
      <c r="O5" t="s">
        <v>380</v>
      </c>
      <c r="P5" t="s">
        <v>380</v>
      </c>
      <c r="Q5">
        <v>1</v>
      </c>
      <c r="W5">
        <v>0</v>
      </c>
      <c r="X5">
        <v>476480486</v>
      </c>
      <c r="Y5">
        <v>16.559999999999999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1</v>
      </c>
      <c r="AJ5">
        <v>1</v>
      </c>
      <c r="AK5">
        <v>1</v>
      </c>
      <c r="AL5">
        <v>1</v>
      </c>
      <c r="AN5">
        <v>0</v>
      </c>
      <c r="AO5">
        <v>1</v>
      </c>
      <c r="AP5">
        <v>0</v>
      </c>
      <c r="AQ5">
        <v>0</v>
      </c>
      <c r="AR5">
        <v>0</v>
      </c>
      <c r="AS5" t="s">
        <v>3</v>
      </c>
      <c r="AT5">
        <v>16.559999999999999</v>
      </c>
      <c r="AU5" t="s">
        <v>3</v>
      </c>
      <c r="AV5">
        <v>1</v>
      </c>
      <c r="AW5">
        <v>2</v>
      </c>
      <c r="AX5">
        <v>52431408</v>
      </c>
      <c r="AY5">
        <v>1</v>
      </c>
      <c r="AZ5">
        <v>0</v>
      </c>
      <c r="BA5">
        <v>5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CX5">
        <f>Y5*Source!I34</f>
        <v>2.2190400000000001</v>
      </c>
      <c r="CY5">
        <f>AD5</f>
        <v>0</v>
      </c>
      <c r="CZ5">
        <f>AH5</f>
        <v>0</v>
      </c>
      <c r="DA5">
        <f>AL5</f>
        <v>1</v>
      </c>
      <c r="DB5">
        <f t="shared" si="0"/>
        <v>0</v>
      </c>
      <c r="DC5">
        <f t="shared" si="1"/>
        <v>0</v>
      </c>
    </row>
    <row r="6" spans="1:107" x14ac:dyDescent="0.2">
      <c r="A6">
        <f>ROW(Source!A34)</f>
        <v>34</v>
      </c>
      <c r="B6">
        <v>52430918</v>
      </c>
      <c r="C6">
        <v>52431399</v>
      </c>
      <c r="D6">
        <v>51864848</v>
      </c>
      <c r="E6">
        <v>1</v>
      </c>
      <c r="F6">
        <v>1</v>
      </c>
      <c r="G6">
        <v>27</v>
      </c>
      <c r="H6">
        <v>2</v>
      </c>
      <c r="I6" t="s">
        <v>387</v>
      </c>
      <c r="J6" t="s">
        <v>388</v>
      </c>
      <c r="K6" t="s">
        <v>389</v>
      </c>
      <c r="L6">
        <v>1368</v>
      </c>
      <c r="N6">
        <v>1011</v>
      </c>
      <c r="O6" t="s">
        <v>84</v>
      </c>
      <c r="P6" t="s">
        <v>84</v>
      </c>
      <c r="Q6">
        <v>1</v>
      </c>
      <c r="W6">
        <v>0</v>
      </c>
      <c r="X6">
        <v>2108619810</v>
      </c>
      <c r="Y6">
        <v>2.08</v>
      </c>
      <c r="AA6">
        <v>0</v>
      </c>
      <c r="AB6">
        <v>740.94</v>
      </c>
      <c r="AC6">
        <v>413.22</v>
      </c>
      <c r="AD6">
        <v>0</v>
      </c>
      <c r="AE6">
        <v>0</v>
      </c>
      <c r="AF6">
        <v>740.94</v>
      </c>
      <c r="AG6">
        <v>413.22</v>
      </c>
      <c r="AH6">
        <v>0</v>
      </c>
      <c r="AI6">
        <v>1</v>
      </c>
      <c r="AJ6">
        <v>1</v>
      </c>
      <c r="AK6">
        <v>1</v>
      </c>
      <c r="AL6">
        <v>1</v>
      </c>
      <c r="AN6">
        <v>0</v>
      </c>
      <c r="AO6">
        <v>1</v>
      </c>
      <c r="AP6">
        <v>0</v>
      </c>
      <c r="AQ6">
        <v>0</v>
      </c>
      <c r="AR6">
        <v>0</v>
      </c>
      <c r="AS6" t="s">
        <v>3</v>
      </c>
      <c r="AT6">
        <v>2.08</v>
      </c>
      <c r="AU6" t="s">
        <v>3</v>
      </c>
      <c r="AV6">
        <v>0</v>
      </c>
      <c r="AW6">
        <v>2</v>
      </c>
      <c r="AX6">
        <v>52431409</v>
      </c>
      <c r="AY6">
        <v>1</v>
      </c>
      <c r="AZ6">
        <v>0</v>
      </c>
      <c r="BA6">
        <v>6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CX6">
        <f>Y6*Source!I34</f>
        <v>0.27872000000000002</v>
      </c>
      <c r="CY6">
        <f>AB6</f>
        <v>740.94</v>
      </c>
      <c r="CZ6">
        <f>AF6</f>
        <v>740.94</v>
      </c>
      <c r="DA6">
        <f>AJ6</f>
        <v>1</v>
      </c>
      <c r="DB6">
        <f t="shared" si="0"/>
        <v>1541.16</v>
      </c>
      <c r="DC6">
        <f t="shared" si="1"/>
        <v>859.5</v>
      </c>
    </row>
    <row r="7" spans="1:107" x14ac:dyDescent="0.2">
      <c r="A7">
        <f>ROW(Source!A34)</f>
        <v>34</v>
      </c>
      <c r="B7">
        <v>52430918</v>
      </c>
      <c r="C7">
        <v>52431399</v>
      </c>
      <c r="D7">
        <v>51865003</v>
      </c>
      <c r="E7">
        <v>1</v>
      </c>
      <c r="F7">
        <v>1</v>
      </c>
      <c r="G7">
        <v>27</v>
      </c>
      <c r="H7">
        <v>2</v>
      </c>
      <c r="I7" t="s">
        <v>390</v>
      </c>
      <c r="J7" t="s">
        <v>391</v>
      </c>
      <c r="K7" t="s">
        <v>392</v>
      </c>
      <c r="L7">
        <v>1368</v>
      </c>
      <c r="N7">
        <v>1011</v>
      </c>
      <c r="O7" t="s">
        <v>84</v>
      </c>
      <c r="P7" t="s">
        <v>84</v>
      </c>
      <c r="Q7">
        <v>1</v>
      </c>
      <c r="W7">
        <v>0</v>
      </c>
      <c r="X7">
        <v>-1512295274</v>
      </c>
      <c r="Y7">
        <v>2.08</v>
      </c>
      <c r="AA7">
        <v>0</v>
      </c>
      <c r="AB7">
        <v>430.32</v>
      </c>
      <c r="AC7">
        <v>215.31</v>
      </c>
      <c r="AD7">
        <v>0</v>
      </c>
      <c r="AE7">
        <v>0</v>
      </c>
      <c r="AF7">
        <v>430.32</v>
      </c>
      <c r="AG7">
        <v>215.31</v>
      </c>
      <c r="AH7">
        <v>0</v>
      </c>
      <c r="AI7">
        <v>1</v>
      </c>
      <c r="AJ7">
        <v>1</v>
      </c>
      <c r="AK7">
        <v>1</v>
      </c>
      <c r="AL7">
        <v>1</v>
      </c>
      <c r="AN7">
        <v>0</v>
      </c>
      <c r="AO7">
        <v>1</v>
      </c>
      <c r="AP7">
        <v>0</v>
      </c>
      <c r="AQ7">
        <v>0</v>
      </c>
      <c r="AR7">
        <v>0</v>
      </c>
      <c r="AS7" t="s">
        <v>3</v>
      </c>
      <c r="AT7">
        <v>2.08</v>
      </c>
      <c r="AU7" t="s">
        <v>3</v>
      </c>
      <c r="AV7">
        <v>0</v>
      </c>
      <c r="AW7">
        <v>2</v>
      </c>
      <c r="AX7">
        <v>52431410</v>
      </c>
      <c r="AY7">
        <v>1</v>
      </c>
      <c r="AZ7">
        <v>0</v>
      </c>
      <c r="BA7">
        <v>7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CX7">
        <f>Y7*Source!I34</f>
        <v>0.27872000000000002</v>
      </c>
      <c r="CY7">
        <f>AB7</f>
        <v>430.32</v>
      </c>
      <c r="CZ7">
        <f>AF7</f>
        <v>430.32</v>
      </c>
      <c r="DA7">
        <f>AJ7</f>
        <v>1</v>
      </c>
      <c r="DB7">
        <f t="shared" si="0"/>
        <v>895.07</v>
      </c>
      <c r="DC7">
        <f t="shared" si="1"/>
        <v>447.84</v>
      </c>
    </row>
    <row r="8" spans="1:107" x14ac:dyDescent="0.2">
      <c r="A8">
        <f>ROW(Source!A34)</f>
        <v>34</v>
      </c>
      <c r="B8">
        <v>52430918</v>
      </c>
      <c r="C8">
        <v>52431399</v>
      </c>
      <c r="D8">
        <v>51865006</v>
      </c>
      <c r="E8">
        <v>1</v>
      </c>
      <c r="F8">
        <v>1</v>
      </c>
      <c r="G8">
        <v>27</v>
      </c>
      <c r="H8">
        <v>2</v>
      </c>
      <c r="I8" t="s">
        <v>393</v>
      </c>
      <c r="J8" t="s">
        <v>394</v>
      </c>
      <c r="K8" t="s">
        <v>395</v>
      </c>
      <c r="L8">
        <v>1368</v>
      </c>
      <c r="N8">
        <v>1011</v>
      </c>
      <c r="O8" t="s">
        <v>84</v>
      </c>
      <c r="P8" t="s">
        <v>84</v>
      </c>
      <c r="Q8">
        <v>1</v>
      </c>
      <c r="W8">
        <v>0</v>
      </c>
      <c r="X8">
        <v>2042885981</v>
      </c>
      <c r="Y8">
        <v>0.81</v>
      </c>
      <c r="AA8">
        <v>0</v>
      </c>
      <c r="AB8">
        <v>2020.59</v>
      </c>
      <c r="AC8">
        <v>458.56</v>
      </c>
      <c r="AD8">
        <v>0</v>
      </c>
      <c r="AE8">
        <v>0</v>
      </c>
      <c r="AF8">
        <v>2020.59</v>
      </c>
      <c r="AG8">
        <v>458.56</v>
      </c>
      <c r="AH8">
        <v>0</v>
      </c>
      <c r="AI8">
        <v>1</v>
      </c>
      <c r="AJ8">
        <v>1</v>
      </c>
      <c r="AK8">
        <v>1</v>
      </c>
      <c r="AL8">
        <v>1</v>
      </c>
      <c r="AN8">
        <v>0</v>
      </c>
      <c r="AO8">
        <v>1</v>
      </c>
      <c r="AP8">
        <v>0</v>
      </c>
      <c r="AQ8">
        <v>0</v>
      </c>
      <c r="AR8">
        <v>0</v>
      </c>
      <c r="AS8" t="s">
        <v>3</v>
      </c>
      <c r="AT8">
        <v>0.81</v>
      </c>
      <c r="AU8" t="s">
        <v>3</v>
      </c>
      <c r="AV8">
        <v>0</v>
      </c>
      <c r="AW8">
        <v>2</v>
      </c>
      <c r="AX8">
        <v>52431411</v>
      </c>
      <c r="AY8">
        <v>1</v>
      </c>
      <c r="AZ8">
        <v>0</v>
      </c>
      <c r="BA8">
        <v>8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CX8">
        <f>Y8*Source!I34</f>
        <v>0.10854000000000001</v>
      </c>
      <c r="CY8">
        <f>AB8</f>
        <v>2020.59</v>
      </c>
      <c r="CZ8">
        <f>AF8</f>
        <v>2020.59</v>
      </c>
      <c r="DA8">
        <f>AJ8</f>
        <v>1</v>
      </c>
      <c r="DB8">
        <f t="shared" si="0"/>
        <v>1636.68</v>
      </c>
      <c r="DC8">
        <f t="shared" si="1"/>
        <v>371.43</v>
      </c>
    </row>
    <row r="9" spans="1:107" x14ac:dyDescent="0.2">
      <c r="A9">
        <f>ROW(Source!A34)</f>
        <v>34</v>
      </c>
      <c r="B9">
        <v>52430918</v>
      </c>
      <c r="C9">
        <v>52431399</v>
      </c>
      <c r="D9">
        <v>51865030</v>
      </c>
      <c r="E9">
        <v>1</v>
      </c>
      <c r="F9">
        <v>1</v>
      </c>
      <c r="G9">
        <v>27</v>
      </c>
      <c r="H9">
        <v>2</v>
      </c>
      <c r="I9" t="s">
        <v>396</v>
      </c>
      <c r="J9" t="s">
        <v>397</v>
      </c>
      <c r="K9" t="s">
        <v>398</v>
      </c>
      <c r="L9">
        <v>1368</v>
      </c>
      <c r="N9">
        <v>1011</v>
      </c>
      <c r="O9" t="s">
        <v>84</v>
      </c>
      <c r="P9" t="s">
        <v>84</v>
      </c>
      <c r="Q9">
        <v>1</v>
      </c>
      <c r="W9">
        <v>0</v>
      </c>
      <c r="X9">
        <v>1116182101</v>
      </c>
      <c r="Y9">
        <v>1.94</v>
      </c>
      <c r="AA9">
        <v>0</v>
      </c>
      <c r="AB9">
        <v>1412.71</v>
      </c>
      <c r="AC9">
        <v>641.32000000000005</v>
      </c>
      <c r="AD9">
        <v>0</v>
      </c>
      <c r="AE9">
        <v>0</v>
      </c>
      <c r="AF9">
        <v>1412.71</v>
      </c>
      <c r="AG9">
        <v>641.32000000000005</v>
      </c>
      <c r="AH9">
        <v>0</v>
      </c>
      <c r="AI9">
        <v>1</v>
      </c>
      <c r="AJ9">
        <v>1</v>
      </c>
      <c r="AK9">
        <v>1</v>
      </c>
      <c r="AL9">
        <v>1</v>
      </c>
      <c r="AN9">
        <v>0</v>
      </c>
      <c r="AO9">
        <v>1</v>
      </c>
      <c r="AP9">
        <v>0</v>
      </c>
      <c r="AQ9">
        <v>0</v>
      </c>
      <c r="AR9">
        <v>0</v>
      </c>
      <c r="AS9" t="s">
        <v>3</v>
      </c>
      <c r="AT9">
        <v>1.94</v>
      </c>
      <c r="AU9" t="s">
        <v>3</v>
      </c>
      <c r="AV9">
        <v>0</v>
      </c>
      <c r="AW9">
        <v>2</v>
      </c>
      <c r="AX9">
        <v>52431412</v>
      </c>
      <c r="AY9">
        <v>1</v>
      </c>
      <c r="AZ9">
        <v>0</v>
      </c>
      <c r="BA9">
        <v>9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CX9">
        <f>Y9*Source!I34</f>
        <v>0.25996000000000002</v>
      </c>
      <c r="CY9">
        <f>AB9</f>
        <v>1412.71</v>
      </c>
      <c r="CZ9">
        <f>AF9</f>
        <v>1412.71</v>
      </c>
      <c r="DA9">
        <f>AJ9</f>
        <v>1</v>
      </c>
      <c r="DB9">
        <f t="shared" si="0"/>
        <v>2740.66</v>
      </c>
      <c r="DC9">
        <f t="shared" si="1"/>
        <v>1244.1600000000001</v>
      </c>
    </row>
    <row r="10" spans="1:107" x14ac:dyDescent="0.2">
      <c r="A10">
        <f>ROW(Source!A34)</f>
        <v>34</v>
      </c>
      <c r="B10">
        <v>52430918</v>
      </c>
      <c r="C10">
        <v>52431399</v>
      </c>
      <c r="D10">
        <v>51864996</v>
      </c>
      <c r="E10">
        <v>1</v>
      </c>
      <c r="F10">
        <v>1</v>
      </c>
      <c r="G10">
        <v>27</v>
      </c>
      <c r="H10">
        <v>2</v>
      </c>
      <c r="I10" t="s">
        <v>399</v>
      </c>
      <c r="J10" t="s">
        <v>400</v>
      </c>
      <c r="K10" t="s">
        <v>401</v>
      </c>
      <c r="L10">
        <v>1368</v>
      </c>
      <c r="N10">
        <v>1011</v>
      </c>
      <c r="O10" t="s">
        <v>84</v>
      </c>
      <c r="P10" t="s">
        <v>84</v>
      </c>
      <c r="Q10">
        <v>1</v>
      </c>
      <c r="W10">
        <v>0</v>
      </c>
      <c r="X10">
        <v>2142121434</v>
      </c>
      <c r="Y10">
        <v>0.65</v>
      </c>
      <c r="AA10">
        <v>0</v>
      </c>
      <c r="AB10">
        <v>1213.3399999999999</v>
      </c>
      <c r="AC10">
        <v>461.6</v>
      </c>
      <c r="AD10">
        <v>0</v>
      </c>
      <c r="AE10">
        <v>0</v>
      </c>
      <c r="AF10">
        <v>1213.3399999999999</v>
      </c>
      <c r="AG10">
        <v>461.6</v>
      </c>
      <c r="AH10">
        <v>0</v>
      </c>
      <c r="AI10">
        <v>1</v>
      </c>
      <c r="AJ10">
        <v>1</v>
      </c>
      <c r="AK10">
        <v>1</v>
      </c>
      <c r="AL10">
        <v>1</v>
      </c>
      <c r="AN10">
        <v>0</v>
      </c>
      <c r="AO10">
        <v>1</v>
      </c>
      <c r="AP10">
        <v>0</v>
      </c>
      <c r="AQ10">
        <v>0</v>
      </c>
      <c r="AR10">
        <v>0</v>
      </c>
      <c r="AS10" t="s">
        <v>3</v>
      </c>
      <c r="AT10">
        <v>0.65</v>
      </c>
      <c r="AU10" t="s">
        <v>3</v>
      </c>
      <c r="AV10">
        <v>0</v>
      </c>
      <c r="AW10">
        <v>2</v>
      </c>
      <c r="AX10">
        <v>52431413</v>
      </c>
      <c r="AY10">
        <v>1</v>
      </c>
      <c r="AZ10">
        <v>0</v>
      </c>
      <c r="BA10">
        <v>10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CX10">
        <f>Y10*Source!I34</f>
        <v>8.7100000000000011E-2</v>
      </c>
      <c r="CY10">
        <f>AB10</f>
        <v>1213.3399999999999</v>
      </c>
      <c r="CZ10">
        <f>AF10</f>
        <v>1213.3399999999999</v>
      </c>
      <c r="DA10">
        <f>AJ10</f>
        <v>1</v>
      </c>
      <c r="DB10">
        <f t="shared" si="0"/>
        <v>788.67</v>
      </c>
      <c r="DC10">
        <f t="shared" si="1"/>
        <v>300.04000000000002</v>
      </c>
    </row>
    <row r="11" spans="1:107" x14ac:dyDescent="0.2">
      <c r="A11">
        <f>ROW(Source!A34)</f>
        <v>34</v>
      </c>
      <c r="B11">
        <v>52430918</v>
      </c>
      <c r="C11">
        <v>52431399</v>
      </c>
      <c r="D11">
        <v>51866959</v>
      </c>
      <c r="E11">
        <v>1</v>
      </c>
      <c r="F11">
        <v>1</v>
      </c>
      <c r="G11">
        <v>27</v>
      </c>
      <c r="H11">
        <v>3</v>
      </c>
      <c r="I11" t="s">
        <v>402</v>
      </c>
      <c r="J11" t="s">
        <v>403</v>
      </c>
      <c r="K11" t="s">
        <v>404</v>
      </c>
      <c r="L11">
        <v>1339</v>
      </c>
      <c r="N11">
        <v>1007</v>
      </c>
      <c r="O11" t="s">
        <v>28</v>
      </c>
      <c r="P11" t="s">
        <v>28</v>
      </c>
      <c r="Q11">
        <v>1</v>
      </c>
      <c r="W11">
        <v>0</v>
      </c>
      <c r="X11">
        <v>1152750853</v>
      </c>
      <c r="Y11">
        <v>110</v>
      </c>
      <c r="AA11">
        <v>590.78</v>
      </c>
      <c r="AB11">
        <v>0</v>
      </c>
      <c r="AC11">
        <v>0</v>
      </c>
      <c r="AD11">
        <v>0</v>
      </c>
      <c r="AE11">
        <v>590.78</v>
      </c>
      <c r="AF11">
        <v>0</v>
      </c>
      <c r="AG11">
        <v>0</v>
      </c>
      <c r="AH11">
        <v>0</v>
      </c>
      <c r="AI11">
        <v>1</v>
      </c>
      <c r="AJ11">
        <v>1</v>
      </c>
      <c r="AK11">
        <v>1</v>
      </c>
      <c r="AL11">
        <v>1</v>
      </c>
      <c r="AN11">
        <v>0</v>
      </c>
      <c r="AO11">
        <v>1</v>
      </c>
      <c r="AP11">
        <v>0</v>
      </c>
      <c r="AQ11">
        <v>0</v>
      </c>
      <c r="AR11">
        <v>0</v>
      </c>
      <c r="AS11" t="s">
        <v>3</v>
      </c>
      <c r="AT11">
        <v>110</v>
      </c>
      <c r="AU11" t="s">
        <v>3</v>
      </c>
      <c r="AV11">
        <v>0</v>
      </c>
      <c r="AW11">
        <v>2</v>
      </c>
      <c r="AX11">
        <v>52431414</v>
      </c>
      <c r="AY11">
        <v>1</v>
      </c>
      <c r="AZ11">
        <v>0</v>
      </c>
      <c r="BA11">
        <v>11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CX11">
        <f>Y11*Source!I34</f>
        <v>14.74</v>
      </c>
      <c r="CY11">
        <f>AA11</f>
        <v>590.78</v>
      </c>
      <c r="CZ11">
        <f>AE11</f>
        <v>590.78</v>
      </c>
      <c r="DA11">
        <f>AI11</f>
        <v>1</v>
      </c>
      <c r="DB11">
        <f t="shared" si="0"/>
        <v>64985.8</v>
      </c>
      <c r="DC11">
        <f t="shared" si="1"/>
        <v>0</v>
      </c>
    </row>
    <row r="12" spans="1:107" x14ac:dyDescent="0.2">
      <c r="A12">
        <f>ROW(Source!A34)</f>
        <v>34</v>
      </c>
      <c r="B12">
        <v>52430918</v>
      </c>
      <c r="C12">
        <v>52431399</v>
      </c>
      <c r="D12">
        <v>51867705</v>
      </c>
      <c r="E12">
        <v>1</v>
      </c>
      <c r="F12">
        <v>1</v>
      </c>
      <c r="G12">
        <v>27</v>
      </c>
      <c r="H12">
        <v>3</v>
      </c>
      <c r="I12" t="s">
        <v>405</v>
      </c>
      <c r="J12" t="s">
        <v>406</v>
      </c>
      <c r="K12" t="s">
        <v>407</v>
      </c>
      <c r="L12">
        <v>1339</v>
      </c>
      <c r="N12">
        <v>1007</v>
      </c>
      <c r="O12" t="s">
        <v>28</v>
      </c>
      <c r="P12" t="s">
        <v>28</v>
      </c>
      <c r="Q12">
        <v>1</v>
      </c>
      <c r="W12">
        <v>0</v>
      </c>
      <c r="X12">
        <v>1927597627</v>
      </c>
      <c r="Y12">
        <v>5</v>
      </c>
      <c r="AA12">
        <v>35.25</v>
      </c>
      <c r="AB12">
        <v>0</v>
      </c>
      <c r="AC12">
        <v>0</v>
      </c>
      <c r="AD12">
        <v>0</v>
      </c>
      <c r="AE12">
        <v>35.25</v>
      </c>
      <c r="AF12">
        <v>0</v>
      </c>
      <c r="AG12">
        <v>0</v>
      </c>
      <c r="AH12">
        <v>0</v>
      </c>
      <c r="AI12">
        <v>1</v>
      </c>
      <c r="AJ12">
        <v>1</v>
      </c>
      <c r="AK12">
        <v>1</v>
      </c>
      <c r="AL12">
        <v>1</v>
      </c>
      <c r="AN12">
        <v>0</v>
      </c>
      <c r="AO12">
        <v>1</v>
      </c>
      <c r="AP12">
        <v>0</v>
      </c>
      <c r="AQ12">
        <v>0</v>
      </c>
      <c r="AR12">
        <v>0</v>
      </c>
      <c r="AS12" t="s">
        <v>3</v>
      </c>
      <c r="AT12">
        <v>5</v>
      </c>
      <c r="AU12" t="s">
        <v>3</v>
      </c>
      <c r="AV12">
        <v>0</v>
      </c>
      <c r="AW12">
        <v>2</v>
      </c>
      <c r="AX12">
        <v>52431415</v>
      </c>
      <c r="AY12">
        <v>1</v>
      </c>
      <c r="AZ12">
        <v>0</v>
      </c>
      <c r="BA12">
        <v>12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CX12">
        <f>Y12*Source!I34</f>
        <v>0.67</v>
      </c>
      <c r="CY12">
        <f>AA12</f>
        <v>35.25</v>
      </c>
      <c r="CZ12">
        <f>AE12</f>
        <v>35.25</v>
      </c>
      <c r="DA12">
        <f>AI12</f>
        <v>1</v>
      </c>
      <c r="DB12">
        <f t="shared" si="0"/>
        <v>176.25</v>
      </c>
      <c r="DC12">
        <f t="shared" si="1"/>
        <v>0</v>
      </c>
    </row>
    <row r="13" spans="1:107" x14ac:dyDescent="0.2">
      <c r="A13">
        <f>ROW(Source!A35)</f>
        <v>35</v>
      </c>
      <c r="B13">
        <v>52430918</v>
      </c>
      <c r="C13">
        <v>52431416</v>
      </c>
      <c r="D13">
        <v>51848379</v>
      </c>
      <c r="E13">
        <v>27</v>
      </c>
      <c r="F13">
        <v>1</v>
      </c>
      <c r="G13">
        <v>27</v>
      </c>
      <c r="H13">
        <v>1</v>
      </c>
      <c r="I13" t="s">
        <v>378</v>
      </c>
      <c r="J13" t="s">
        <v>3</v>
      </c>
      <c r="K13" t="s">
        <v>379</v>
      </c>
      <c r="L13">
        <v>1191</v>
      </c>
      <c r="N13">
        <v>1013</v>
      </c>
      <c r="O13" t="s">
        <v>380</v>
      </c>
      <c r="P13" t="s">
        <v>380</v>
      </c>
      <c r="Q13">
        <v>1</v>
      </c>
      <c r="W13">
        <v>0</v>
      </c>
      <c r="X13">
        <v>476480486</v>
      </c>
      <c r="Y13">
        <v>27.94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1</v>
      </c>
      <c r="AJ13">
        <v>1</v>
      </c>
      <c r="AK13">
        <v>1</v>
      </c>
      <c r="AL13">
        <v>1</v>
      </c>
      <c r="AN13">
        <v>0</v>
      </c>
      <c r="AO13">
        <v>1</v>
      </c>
      <c r="AP13">
        <v>0</v>
      </c>
      <c r="AQ13">
        <v>0</v>
      </c>
      <c r="AR13">
        <v>0</v>
      </c>
      <c r="AS13" t="s">
        <v>3</v>
      </c>
      <c r="AT13">
        <v>27.94</v>
      </c>
      <c r="AU13" t="s">
        <v>3</v>
      </c>
      <c r="AV13">
        <v>1</v>
      </c>
      <c r="AW13">
        <v>2</v>
      </c>
      <c r="AX13">
        <v>52431423</v>
      </c>
      <c r="AY13">
        <v>1</v>
      </c>
      <c r="AZ13">
        <v>0</v>
      </c>
      <c r="BA13">
        <v>13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CX13">
        <f>Y13*Source!I35</f>
        <v>37.439600000000006</v>
      </c>
      <c r="CY13">
        <f>AD13</f>
        <v>0</v>
      </c>
      <c r="CZ13">
        <f>AH13</f>
        <v>0</v>
      </c>
      <c r="DA13">
        <f>AL13</f>
        <v>1</v>
      </c>
      <c r="DB13">
        <f t="shared" si="0"/>
        <v>0</v>
      </c>
      <c r="DC13">
        <f t="shared" si="1"/>
        <v>0</v>
      </c>
    </row>
    <row r="14" spans="1:107" x14ac:dyDescent="0.2">
      <c r="A14">
        <f>ROW(Source!A35)</f>
        <v>35</v>
      </c>
      <c r="B14">
        <v>52430918</v>
      </c>
      <c r="C14">
        <v>52431416</v>
      </c>
      <c r="D14">
        <v>51865006</v>
      </c>
      <c r="E14">
        <v>1</v>
      </c>
      <c r="F14">
        <v>1</v>
      </c>
      <c r="G14">
        <v>27</v>
      </c>
      <c r="H14">
        <v>2</v>
      </c>
      <c r="I14" t="s">
        <v>393</v>
      </c>
      <c r="J14" t="s">
        <v>394</v>
      </c>
      <c r="K14" t="s">
        <v>395</v>
      </c>
      <c r="L14">
        <v>1368</v>
      </c>
      <c r="N14">
        <v>1011</v>
      </c>
      <c r="O14" t="s">
        <v>84</v>
      </c>
      <c r="P14" t="s">
        <v>84</v>
      </c>
      <c r="Q14">
        <v>1</v>
      </c>
      <c r="W14">
        <v>0</v>
      </c>
      <c r="X14">
        <v>2042885981</v>
      </c>
      <c r="Y14">
        <v>0.59</v>
      </c>
      <c r="AA14">
        <v>0</v>
      </c>
      <c r="AB14">
        <v>2020.59</v>
      </c>
      <c r="AC14">
        <v>458.56</v>
      </c>
      <c r="AD14">
        <v>0</v>
      </c>
      <c r="AE14">
        <v>0</v>
      </c>
      <c r="AF14">
        <v>2020.59</v>
      </c>
      <c r="AG14">
        <v>458.56</v>
      </c>
      <c r="AH14">
        <v>0</v>
      </c>
      <c r="AI14">
        <v>1</v>
      </c>
      <c r="AJ14">
        <v>1</v>
      </c>
      <c r="AK14">
        <v>1</v>
      </c>
      <c r="AL14">
        <v>1</v>
      </c>
      <c r="AN14">
        <v>0</v>
      </c>
      <c r="AO14">
        <v>1</v>
      </c>
      <c r="AP14">
        <v>0</v>
      </c>
      <c r="AQ14">
        <v>0</v>
      </c>
      <c r="AR14">
        <v>0</v>
      </c>
      <c r="AS14" t="s">
        <v>3</v>
      </c>
      <c r="AT14">
        <v>0.59</v>
      </c>
      <c r="AU14" t="s">
        <v>3</v>
      </c>
      <c r="AV14">
        <v>0</v>
      </c>
      <c r="AW14">
        <v>2</v>
      </c>
      <c r="AX14">
        <v>52431424</v>
      </c>
      <c r="AY14">
        <v>1</v>
      </c>
      <c r="AZ14">
        <v>0</v>
      </c>
      <c r="BA14">
        <v>14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CX14">
        <f>Y14*Source!I35</f>
        <v>0.79059999999999997</v>
      </c>
      <c r="CY14">
        <f>AB14</f>
        <v>2020.59</v>
      </c>
      <c r="CZ14">
        <f>AF14</f>
        <v>2020.59</v>
      </c>
      <c r="DA14">
        <f>AJ14</f>
        <v>1</v>
      </c>
      <c r="DB14">
        <f t="shared" si="0"/>
        <v>1192.1500000000001</v>
      </c>
      <c r="DC14">
        <f t="shared" si="1"/>
        <v>270.55</v>
      </c>
    </row>
    <row r="15" spans="1:107" x14ac:dyDescent="0.2">
      <c r="A15">
        <f>ROW(Source!A35)</f>
        <v>35</v>
      </c>
      <c r="B15">
        <v>52430918</v>
      </c>
      <c r="C15">
        <v>52431416</v>
      </c>
      <c r="D15">
        <v>51864991</v>
      </c>
      <c r="E15">
        <v>1</v>
      </c>
      <c r="F15">
        <v>1</v>
      </c>
      <c r="G15">
        <v>27</v>
      </c>
      <c r="H15">
        <v>2</v>
      </c>
      <c r="I15" t="s">
        <v>408</v>
      </c>
      <c r="J15" t="s">
        <v>409</v>
      </c>
      <c r="K15" t="s">
        <v>410</v>
      </c>
      <c r="L15">
        <v>1368</v>
      </c>
      <c r="N15">
        <v>1011</v>
      </c>
      <c r="O15" t="s">
        <v>84</v>
      </c>
      <c r="P15" t="s">
        <v>84</v>
      </c>
      <c r="Q15">
        <v>1</v>
      </c>
      <c r="W15">
        <v>0</v>
      </c>
      <c r="X15">
        <v>-1043398787</v>
      </c>
      <c r="Y15">
        <v>1.62</v>
      </c>
      <c r="AA15">
        <v>0</v>
      </c>
      <c r="AB15">
        <v>1261.8699999999999</v>
      </c>
      <c r="AC15">
        <v>530.02</v>
      </c>
      <c r="AD15">
        <v>0</v>
      </c>
      <c r="AE15">
        <v>0</v>
      </c>
      <c r="AF15">
        <v>1261.8699999999999</v>
      </c>
      <c r="AG15">
        <v>530.02</v>
      </c>
      <c r="AH15">
        <v>0</v>
      </c>
      <c r="AI15">
        <v>1</v>
      </c>
      <c r="AJ15">
        <v>1</v>
      </c>
      <c r="AK15">
        <v>1</v>
      </c>
      <c r="AL15">
        <v>1</v>
      </c>
      <c r="AN15">
        <v>0</v>
      </c>
      <c r="AO15">
        <v>1</v>
      </c>
      <c r="AP15">
        <v>0</v>
      </c>
      <c r="AQ15">
        <v>0</v>
      </c>
      <c r="AR15">
        <v>0</v>
      </c>
      <c r="AS15" t="s">
        <v>3</v>
      </c>
      <c r="AT15">
        <v>1.62</v>
      </c>
      <c r="AU15" t="s">
        <v>3</v>
      </c>
      <c r="AV15">
        <v>0</v>
      </c>
      <c r="AW15">
        <v>2</v>
      </c>
      <c r="AX15">
        <v>52431425</v>
      </c>
      <c r="AY15">
        <v>1</v>
      </c>
      <c r="AZ15">
        <v>0</v>
      </c>
      <c r="BA15">
        <v>15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CX15">
        <f>Y15*Source!I35</f>
        <v>2.1708000000000003</v>
      </c>
      <c r="CY15">
        <f>AB15</f>
        <v>1261.8699999999999</v>
      </c>
      <c r="CZ15">
        <f>AF15</f>
        <v>1261.8699999999999</v>
      </c>
      <c r="DA15">
        <f>AJ15</f>
        <v>1</v>
      </c>
      <c r="DB15">
        <f t="shared" si="0"/>
        <v>2044.23</v>
      </c>
      <c r="DC15">
        <f t="shared" si="1"/>
        <v>858.63</v>
      </c>
    </row>
    <row r="16" spans="1:107" x14ac:dyDescent="0.2">
      <c r="A16">
        <f>ROW(Source!A35)</f>
        <v>35</v>
      </c>
      <c r="B16">
        <v>52430918</v>
      </c>
      <c r="C16">
        <v>52431416</v>
      </c>
      <c r="D16">
        <v>51866985</v>
      </c>
      <c r="E16">
        <v>1</v>
      </c>
      <c r="F16">
        <v>1</v>
      </c>
      <c r="G16">
        <v>27</v>
      </c>
      <c r="H16">
        <v>3</v>
      </c>
      <c r="I16" t="s">
        <v>41</v>
      </c>
      <c r="J16" t="s">
        <v>43</v>
      </c>
      <c r="K16" t="s">
        <v>42</v>
      </c>
      <c r="L16">
        <v>1339</v>
      </c>
      <c r="N16">
        <v>1007</v>
      </c>
      <c r="O16" t="s">
        <v>28</v>
      </c>
      <c r="P16" t="s">
        <v>28</v>
      </c>
      <c r="Q16">
        <v>1</v>
      </c>
      <c r="W16">
        <v>0</v>
      </c>
      <c r="X16">
        <v>-886425656</v>
      </c>
      <c r="Y16">
        <v>17.399999999999999</v>
      </c>
      <c r="AA16">
        <v>1763.75</v>
      </c>
      <c r="AB16">
        <v>0</v>
      </c>
      <c r="AC16">
        <v>0</v>
      </c>
      <c r="AD16">
        <v>0</v>
      </c>
      <c r="AE16">
        <v>1763.75</v>
      </c>
      <c r="AF16">
        <v>0</v>
      </c>
      <c r="AG16">
        <v>0</v>
      </c>
      <c r="AH16">
        <v>0</v>
      </c>
      <c r="AI16">
        <v>1</v>
      </c>
      <c r="AJ16">
        <v>1</v>
      </c>
      <c r="AK16">
        <v>1</v>
      </c>
      <c r="AL16">
        <v>1</v>
      </c>
      <c r="AN16">
        <v>0</v>
      </c>
      <c r="AO16">
        <v>0</v>
      </c>
      <c r="AP16">
        <v>0</v>
      </c>
      <c r="AQ16">
        <v>0</v>
      </c>
      <c r="AR16">
        <v>0</v>
      </c>
      <c r="AS16" t="s">
        <v>3</v>
      </c>
      <c r="AT16">
        <v>17.399999999999999</v>
      </c>
      <c r="AU16" t="s">
        <v>3</v>
      </c>
      <c r="AV16">
        <v>0</v>
      </c>
      <c r="AW16">
        <v>1</v>
      </c>
      <c r="AX16">
        <v>-1</v>
      </c>
      <c r="AY16">
        <v>0</v>
      </c>
      <c r="AZ16">
        <v>0</v>
      </c>
      <c r="BA16" t="s">
        <v>3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CX16">
        <f>Y16*Source!I35</f>
        <v>23.315999999999999</v>
      </c>
      <c r="CY16">
        <f>AA16</f>
        <v>1763.75</v>
      </c>
      <c r="CZ16">
        <f>AE16</f>
        <v>1763.75</v>
      </c>
      <c r="DA16">
        <f>AI16</f>
        <v>1</v>
      </c>
      <c r="DB16">
        <f t="shared" si="0"/>
        <v>30689.25</v>
      </c>
      <c r="DC16">
        <f t="shared" si="1"/>
        <v>0</v>
      </c>
    </row>
    <row r="17" spans="1:107" x14ac:dyDescent="0.2">
      <c r="A17">
        <f>ROW(Source!A35)</f>
        <v>35</v>
      </c>
      <c r="B17">
        <v>52430918</v>
      </c>
      <c r="C17">
        <v>52431416</v>
      </c>
      <c r="D17">
        <v>51866999</v>
      </c>
      <c r="E17">
        <v>1</v>
      </c>
      <c r="F17">
        <v>1</v>
      </c>
      <c r="G17">
        <v>27</v>
      </c>
      <c r="H17">
        <v>3</v>
      </c>
      <c r="I17" t="s">
        <v>45</v>
      </c>
      <c r="J17" t="s">
        <v>47</v>
      </c>
      <c r="K17" t="s">
        <v>46</v>
      </c>
      <c r="L17">
        <v>1339</v>
      </c>
      <c r="N17">
        <v>1007</v>
      </c>
      <c r="O17" t="s">
        <v>28</v>
      </c>
      <c r="P17" t="s">
        <v>28</v>
      </c>
      <c r="Q17">
        <v>1</v>
      </c>
      <c r="W17">
        <v>1</v>
      </c>
      <c r="X17">
        <v>1744717608</v>
      </c>
      <c r="Y17">
        <v>-17.399999999999999</v>
      </c>
      <c r="AA17">
        <v>1436.5</v>
      </c>
      <c r="AB17">
        <v>0</v>
      </c>
      <c r="AC17">
        <v>0</v>
      </c>
      <c r="AD17">
        <v>0</v>
      </c>
      <c r="AE17">
        <v>1436.5</v>
      </c>
      <c r="AF17">
        <v>0</v>
      </c>
      <c r="AG17">
        <v>0</v>
      </c>
      <c r="AH17">
        <v>0</v>
      </c>
      <c r="AI17">
        <v>1</v>
      </c>
      <c r="AJ17">
        <v>1</v>
      </c>
      <c r="AK17">
        <v>1</v>
      </c>
      <c r="AL17">
        <v>1</v>
      </c>
      <c r="AN17">
        <v>0</v>
      </c>
      <c r="AO17">
        <v>1</v>
      </c>
      <c r="AP17">
        <v>0</v>
      </c>
      <c r="AQ17">
        <v>0</v>
      </c>
      <c r="AR17">
        <v>0</v>
      </c>
      <c r="AS17" t="s">
        <v>3</v>
      </c>
      <c r="AT17">
        <v>-17.399999999999999</v>
      </c>
      <c r="AU17" t="s">
        <v>3</v>
      </c>
      <c r="AV17">
        <v>0</v>
      </c>
      <c r="AW17">
        <v>2</v>
      </c>
      <c r="AX17">
        <v>52431426</v>
      </c>
      <c r="AY17">
        <v>1</v>
      </c>
      <c r="AZ17">
        <v>6144</v>
      </c>
      <c r="BA17">
        <v>16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CX17">
        <f>Y17*Source!I35</f>
        <v>-23.315999999999999</v>
      </c>
      <c r="CY17">
        <f>AA17</f>
        <v>1436.5</v>
      </c>
      <c r="CZ17">
        <f>AE17</f>
        <v>1436.5</v>
      </c>
      <c r="DA17">
        <f>AI17</f>
        <v>1</v>
      </c>
      <c r="DB17">
        <f t="shared" si="0"/>
        <v>-24995.1</v>
      </c>
      <c r="DC17">
        <f t="shared" si="1"/>
        <v>0</v>
      </c>
    </row>
    <row r="18" spans="1:107" x14ac:dyDescent="0.2">
      <c r="A18">
        <f>ROW(Source!A35)</f>
        <v>35</v>
      </c>
      <c r="B18">
        <v>52430918</v>
      </c>
      <c r="C18">
        <v>52431416</v>
      </c>
      <c r="D18">
        <v>51867705</v>
      </c>
      <c r="E18">
        <v>1</v>
      </c>
      <c r="F18">
        <v>1</v>
      </c>
      <c r="G18">
        <v>27</v>
      </c>
      <c r="H18">
        <v>3</v>
      </c>
      <c r="I18" t="s">
        <v>405</v>
      </c>
      <c r="J18" t="s">
        <v>406</v>
      </c>
      <c r="K18" t="s">
        <v>407</v>
      </c>
      <c r="L18">
        <v>1339</v>
      </c>
      <c r="N18">
        <v>1007</v>
      </c>
      <c r="O18" t="s">
        <v>28</v>
      </c>
      <c r="P18" t="s">
        <v>28</v>
      </c>
      <c r="Q18">
        <v>1</v>
      </c>
      <c r="W18">
        <v>0</v>
      </c>
      <c r="X18">
        <v>1927597627</v>
      </c>
      <c r="Y18">
        <v>2</v>
      </c>
      <c r="AA18">
        <v>35.25</v>
      </c>
      <c r="AB18">
        <v>0</v>
      </c>
      <c r="AC18">
        <v>0</v>
      </c>
      <c r="AD18">
        <v>0</v>
      </c>
      <c r="AE18">
        <v>35.25</v>
      </c>
      <c r="AF18">
        <v>0</v>
      </c>
      <c r="AG18">
        <v>0</v>
      </c>
      <c r="AH18">
        <v>0</v>
      </c>
      <c r="AI18">
        <v>1</v>
      </c>
      <c r="AJ18">
        <v>1</v>
      </c>
      <c r="AK18">
        <v>1</v>
      </c>
      <c r="AL18">
        <v>1</v>
      </c>
      <c r="AN18">
        <v>0</v>
      </c>
      <c r="AO18">
        <v>1</v>
      </c>
      <c r="AP18">
        <v>0</v>
      </c>
      <c r="AQ18">
        <v>0</v>
      </c>
      <c r="AR18">
        <v>0</v>
      </c>
      <c r="AS18" t="s">
        <v>3</v>
      </c>
      <c r="AT18">
        <v>2</v>
      </c>
      <c r="AU18" t="s">
        <v>3</v>
      </c>
      <c r="AV18">
        <v>0</v>
      </c>
      <c r="AW18">
        <v>2</v>
      </c>
      <c r="AX18">
        <v>52431427</v>
      </c>
      <c r="AY18">
        <v>1</v>
      </c>
      <c r="AZ18">
        <v>0</v>
      </c>
      <c r="BA18">
        <v>17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CX18">
        <f>Y18*Source!I35</f>
        <v>2.68</v>
      </c>
      <c r="CY18">
        <f>AA18</f>
        <v>35.25</v>
      </c>
      <c r="CZ18">
        <f>AE18</f>
        <v>35.25</v>
      </c>
      <c r="DA18">
        <f>AI18</f>
        <v>1</v>
      </c>
      <c r="DB18">
        <f t="shared" si="0"/>
        <v>70.5</v>
      </c>
      <c r="DC18">
        <f t="shared" si="1"/>
        <v>0</v>
      </c>
    </row>
    <row r="19" spans="1:107" x14ac:dyDescent="0.2">
      <c r="A19">
        <f>ROW(Source!A38)</f>
        <v>38</v>
      </c>
      <c r="B19">
        <v>52430918</v>
      </c>
      <c r="C19">
        <v>52431430</v>
      </c>
      <c r="D19">
        <v>51848379</v>
      </c>
      <c r="E19">
        <v>27</v>
      </c>
      <c r="F19">
        <v>1</v>
      </c>
      <c r="G19">
        <v>27</v>
      </c>
      <c r="H19">
        <v>1</v>
      </c>
      <c r="I19" t="s">
        <v>378</v>
      </c>
      <c r="J19" t="s">
        <v>3</v>
      </c>
      <c r="K19" t="s">
        <v>379</v>
      </c>
      <c r="L19">
        <v>1191</v>
      </c>
      <c r="N19">
        <v>1013</v>
      </c>
      <c r="O19" t="s">
        <v>380</v>
      </c>
      <c r="P19" t="s">
        <v>380</v>
      </c>
      <c r="Q19">
        <v>1</v>
      </c>
      <c r="W19">
        <v>0</v>
      </c>
      <c r="X19">
        <v>476480486</v>
      </c>
      <c r="Y19">
        <v>10.3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1</v>
      </c>
      <c r="AJ19">
        <v>1</v>
      </c>
      <c r="AK19">
        <v>1</v>
      </c>
      <c r="AL19">
        <v>1</v>
      </c>
      <c r="AN19">
        <v>0</v>
      </c>
      <c r="AO19">
        <v>1</v>
      </c>
      <c r="AP19">
        <v>0</v>
      </c>
      <c r="AQ19">
        <v>0</v>
      </c>
      <c r="AR19">
        <v>0</v>
      </c>
      <c r="AS19" t="s">
        <v>3</v>
      </c>
      <c r="AT19">
        <v>10.3</v>
      </c>
      <c r="AU19" t="s">
        <v>3</v>
      </c>
      <c r="AV19">
        <v>1</v>
      </c>
      <c r="AW19">
        <v>2</v>
      </c>
      <c r="AX19">
        <v>52431435</v>
      </c>
      <c r="AY19">
        <v>1</v>
      </c>
      <c r="AZ19">
        <v>0</v>
      </c>
      <c r="BA19">
        <v>18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CX19">
        <f>Y19*Source!I38</f>
        <v>13.802000000000001</v>
      </c>
      <c r="CY19">
        <f>AD19</f>
        <v>0</v>
      </c>
      <c r="CZ19">
        <f>AH19</f>
        <v>0</v>
      </c>
      <c r="DA19">
        <f>AL19</f>
        <v>1</v>
      </c>
      <c r="DB19">
        <f t="shared" si="0"/>
        <v>0</v>
      </c>
      <c r="DC19">
        <f t="shared" si="1"/>
        <v>0</v>
      </c>
    </row>
    <row r="20" spans="1:107" x14ac:dyDescent="0.2">
      <c r="A20">
        <f>ROW(Source!A38)</f>
        <v>38</v>
      </c>
      <c r="B20">
        <v>52430918</v>
      </c>
      <c r="C20">
        <v>52431430</v>
      </c>
      <c r="D20">
        <v>51864991</v>
      </c>
      <c r="E20">
        <v>1</v>
      </c>
      <c r="F20">
        <v>1</v>
      </c>
      <c r="G20">
        <v>27</v>
      </c>
      <c r="H20">
        <v>2</v>
      </c>
      <c r="I20" t="s">
        <v>408</v>
      </c>
      <c r="J20" t="s">
        <v>409</v>
      </c>
      <c r="K20" t="s">
        <v>410</v>
      </c>
      <c r="L20">
        <v>1368</v>
      </c>
      <c r="N20">
        <v>1011</v>
      </c>
      <c r="O20" t="s">
        <v>84</v>
      </c>
      <c r="P20" t="s">
        <v>84</v>
      </c>
      <c r="Q20">
        <v>1</v>
      </c>
      <c r="W20">
        <v>0</v>
      </c>
      <c r="X20">
        <v>-1043398787</v>
      </c>
      <c r="Y20">
        <v>0.89</v>
      </c>
      <c r="AA20">
        <v>0</v>
      </c>
      <c r="AB20">
        <v>1261.8699999999999</v>
      </c>
      <c r="AC20">
        <v>530.02</v>
      </c>
      <c r="AD20">
        <v>0</v>
      </c>
      <c r="AE20">
        <v>0</v>
      </c>
      <c r="AF20">
        <v>1261.8699999999999</v>
      </c>
      <c r="AG20">
        <v>530.02</v>
      </c>
      <c r="AH20">
        <v>0</v>
      </c>
      <c r="AI20">
        <v>1</v>
      </c>
      <c r="AJ20">
        <v>1</v>
      </c>
      <c r="AK20">
        <v>1</v>
      </c>
      <c r="AL20">
        <v>1</v>
      </c>
      <c r="AN20">
        <v>0</v>
      </c>
      <c r="AO20">
        <v>1</v>
      </c>
      <c r="AP20">
        <v>0</v>
      </c>
      <c r="AQ20">
        <v>0</v>
      </c>
      <c r="AR20">
        <v>0</v>
      </c>
      <c r="AS20" t="s">
        <v>3</v>
      </c>
      <c r="AT20">
        <v>0.89</v>
      </c>
      <c r="AU20" t="s">
        <v>3</v>
      </c>
      <c r="AV20">
        <v>0</v>
      </c>
      <c r="AW20">
        <v>2</v>
      </c>
      <c r="AX20">
        <v>52431436</v>
      </c>
      <c r="AY20">
        <v>1</v>
      </c>
      <c r="AZ20">
        <v>0</v>
      </c>
      <c r="BA20">
        <v>19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CX20">
        <f>Y20*Source!I38</f>
        <v>1.1926000000000001</v>
      </c>
      <c r="CY20">
        <f>AB20</f>
        <v>1261.8699999999999</v>
      </c>
      <c r="CZ20">
        <f>AF20</f>
        <v>1261.8699999999999</v>
      </c>
      <c r="DA20">
        <f>AJ20</f>
        <v>1</v>
      </c>
      <c r="DB20">
        <f t="shared" si="0"/>
        <v>1123.06</v>
      </c>
      <c r="DC20">
        <f t="shared" si="1"/>
        <v>471.72</v>
      </c>
    </row>
    <row r="21" spans="1:107" x14ac:dyDescent="0.2">
      <c r="A21">
        <f>ROW(Source!A38)</f>
        <v>38</v>
      </c>
      <c r="B21">
        <v>52430918</v>
      </c>
      <c r="C21">
        <v>52431430</v>
      </c>
      <c r="D21">
        <v>51865798</v>
      </c>
      <c r="E21">
        <v>1</v>
      </c>
      <c r="F21">
        <v>1</v>
      </c>
      <c r="G21">
        <v>27</v>
      </c>
      <c r="H21">
        <v>3</v>
      </c>
      <c r="I21" t="s">
        <v>411</v>
      </c>
      <c r="J21" t="s">
        <v>412</v>
      </c>
      <c r="K21" t="s">
        <v>413</v>
      </c>
      <c r="L21">
        <v>1348</v>
      </c>
      <c r="N21">
        <v>1009</v>
      </c>
      <c r="O21" t="s">
        <v>101</v>
      </c>
      <c r="P21" t="s">
        <v>101</v>
      </c>
      <c r="Q21">
        <v>1000</v>
      </c>
      <c r="W21">
        <v>0</v>
      </c>
      <c r="X21">
        <v>-68218516</v>
      </c>
      <c r="Y21">
        <v>0.06</v>
      </c>
      <c r="AA21">
        <v>25888.1</v>
      </c>
      <c r="AB21">
        <v>0</v>
      </c>
      <c r="AC21">
        <v>0</v>
      </c>
      <c r="AD21">
        <v>0</v>
      </c>
      <c r="AE21">
        <v>25888.1</v>
      </c>
      <c r="AF21">
        <v>0</v>
      </c>
      <c r="AG21">
        <v>0</v>
      </c>
      <c r="AH21">
        <v>0</v>
      </c>
      <c r="AI21">
        <v>1</v>
      </c>
      <c r="AJ21">
        <v>1</v>
      </c>
      <c r="AK21">
        <v>1</v>
      </c>
      <c r="AL21">
        <v>1</v>
      </c>
      <c r="AN21">
        <v>0</v>
      </c>
      <c r="AO21">
        <v>1</v>
      </c>
      <c r="AP21">
        <v>0</v>
      </c>
      <c r="AQ21">
        <v>0</v>
      </c>
      <c r="AR21">
        <v>0</v>
      </c>
      <c r="AS21" t="s">
        <v>3</v>
      </c>
      <c r="AT21">
        <v>0.06</v>
      </c>
      <c r="AU21" t="s">
        <v>3</v>
      </c>
      <c r="AV21">
        <v>0</v>
      </c>
      <c r="AW21">
        <v>2</v>
      </c>
      <c r="AX21">
        <v>52431437</v>
      </c>
      <c r="AY21">
        <v>1</v>
      </c>
      <c r="AZ21">
        <v>0</v>
      </c>
      <c r="BA21">
        <v>20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CX21">
        <f>Y21*Source!I38</f>
        <v>8.0399999999999999E-2</v>
      </c>
      <c r="CY21">
        <f>AA21</f>
        <v>25888.1</v>
      </c>
      <c r="CZ21">
        <f>AE21</f>
        <v>25888.1</v>
      </c>
      <c r="DA21">
        <f>AI21</f>
        <v>1</v>
      </c>
      <c r="DB21">
        <f t="shared" si="0"/>
        <v>1553.29</v>
      </c>
      <c r="DC21">
        <f t="shared" si="1"/>
        <v>0</v>
      </c>
    </row>
    <row r="22" spans="1:107" x14ac:dyDescent="0.2">
      <c r="A22">
        <f>ROW(Source!A38)</f>
        <v>38</v>
      </c>
      <c r="B22">
        <v>52430918</v>
      </c>
      <c r="C22">
        <v>52431430</v>
      </c>
      <c r="D22">
        <v>51868905</v>
      </c>
      <c r="E22">
        <v>1</v>
      </c>
      <c r="F22">
        <v>1</v>
      </c>
      <c r="G22">
        <v>27</v>
      </c>
      <c r="H22">
        <v>3</v>
      </c>
      <c r="I22" t="s">
        <v>414</v>
      </c>
      <c r="J22" t="s">
        <v>415</v>
      </c>
      <c r="K22" t="s">
        <v>416</v>
      </c>
      <c r="L22">
        <v>1348</v>
      </c>
      <c r="N22">
        <v>1009</v>
      </c>
      <c r="O22" t="s">
        <v>101</v>
      </c>
      <c r="P22" t="s">
        <v>101</v>
      </c>
      <c r="Q22">
        <v>1000</v>
      </c>
      <c r="W22">
        <v>0</v>
      </c>
      <c r="X22">
        <v>2062870502</v>
      </c>
      <c r="Y22">
        <v>7.14</v>
      </c>
      <c r="AA22">
        <v>2652.04</v>
      </c>
      <c r="AB22">
        <v>0</v>
      </c>
      <c r="AC22">
        <v>0</v>
      </c>
      <c r="AD22">
        <v>0</v>
      </c>
      <c r="AE22">
        <v>2652.04</v>
      </c>
      <c r="AF22">
        <v>0</v>
      </c>
      <c r="AG22">
        <v>0</v>
      </c>
      <c r="AH22">
        <v>0</v>
      </c>
      <c r="AI22">
        <v>1</v>
      </c>
      <c r="AJ22">
        <v>1</v>
      </c>
      <c r="AK22">
        <v>1</v>
      </c>
      <c r="AL22">
        <v>1</v>
      </c>
      <c r="AN22">
        <v>0</v>
      </c>
      <c r="AO22">
        <v>1</v>
      </c>
      <c r="AP22">
        <v>0</v>
      </c>
      <c r="AQ22">
        <v>0</v>
      </c>
      <c r="AR22">
        <v>0</v>
      </c>
      <c r="AS22" t="s">
        <v>3</v>
      </c>
      <c r="AT22">
        <v>7.14</v>
      </c>
      <c r="AU22" t="s">
        <v>3</v>
      </c>
      <c r="AV22">
        <v>0</v>
      </c>
      <c r="AW22">
        <v>2</v>
      </c>
      <c r="AX22">
        <v>52431438</v>
      </c>
      <c r="AY22">
        <v>1</v>
      </c>
      <c r="AZ22">
        <v>0</v>
      </c>
      <c r="BA22">
        <v>21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CX22">
        <f>Y22*Source!I38</f>
        <v>9.5676000000000005</v>
      </c>
      <c r="CY22">
        <f>AA22</f>
        <v>2652.04</v>
      </c>
      <c r="CZ22">
        <f>AE22</f>
        <v>2652.04</v>
      </c>
      <c r="DA22">
        <f>AI22</f>
        <v>1</v>
      </c>
      <c r="DB22">
        <f t="shared" si="0"/>
        <v>18935.57</v>
      </c>
      <c r="DC22">
        <f t="shared" si="1"/>
        <v>0</v>
      </c>
    </row>
    <row r="23" spans="1:107" x14ac:dyDescent="0.2">
      <c r="A23">
        <f>ROW(Source!A39)</f>
        <v>39</v>
      </c>
      <c r="B23">
        <v>52430918</v>
      </c>
      <c r="C23">
        <v>52431439</v>
      </c>
      <c r="D23">
        <v>51848379</v>
      </c>
      <c r="E23">
        <v>27</v>
      </c>
      <c r="F23">
        <v>1</v>
      </c>
      <c r="G23">
        <v>27</v>
      </c>
      <c r="H23">
        <v>1</v>
      </c>
      <c r="I23" t="s">
        <v>378</v>
      </c>
      <c r="J23" t="s">
        <v>3</v>
      </c>
      <c r="K23" t="s">
        <v>379</v>
      </c>
      <c r="L23">
        <v>1191</v>
      </c>
      <c r="N23">
        <v>1013</v>
      </c>
      <c r="O23" t="s">
        <v>380</v>
      </c>
      <c r="P23" t="s">
        <v>380</v>
      </c>
      <c r="Q23">
        <v>1</v>
      </c>
      <c r="W23">
        <v>0</v>
      </c>
      <c r="X23">
        <v>476480486</v>
      </c>
      <c r="Y23">
        <v>18.440000000000001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1</v>
      </c>
      <c r="AJ23">
        <v>1</v>
      </c>
      <c r="AK23">
        <v>1</v>
      </c>
      <c r="AL23">
        <v>1</v>
      </c>
      <c r="AN23">
        <v>0</v>
      </c>
      <c r="AO23">
        <v>1</v>
      </c>
      <c r="AP23">
        <v>0</v>
      </c>
      <c r="AQ23">
        <v>0</v>
      </c>
      <c r="AR23">
        <v>0</v>
      </c>
      <c r="AS23" t="s">
        <v>3</v>
      </c>
      <c r="AT23">
        <v>18.440000000000001</v>
      </c>
      <c r="AU23" t="s">
        <v>3</v>
      </c>
      <c r="AV23">
        <v>1</v>
      </c>
      <c r="AW23">
        <v>2</v>
      </c>
      <c r="AX23">
        <v>52431450</v>
      </c>
      <c r="AY23">
        <v>1</v>
      </c>
      <c r="AZ23">
        <v>0</v>
      </c>
      <c r="BA23">
        <v>22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CX23">
        <f>Y23*Source!I39</f>
        <v>24.709600000000002</v>
      </c>
      <c r="CY23">
        <f>AD23</f>
        <v>0</v>
      </c>
      <c r="CZ23">
        <f>AH23</f>
        <v>0</v>
      </c>
      <c r="DA23">
        <f>AL23</f>
        <v>1</v>
      </c>
      <c r="DB23">
        <f t="shared" si="0"/>
        <v>0</v>
      </c>
      <c r="DC23">
        <f t="shared" si="1"/>
        <v>0</v>
      </c>
    </row>
    <row r="24" spans="1:107" x14ac:dyDescent="0.2">
      <c r="A24">
        <f>ROW(Source!A39)</f>
        <v>39</v>
      </c>
      <c r="B24">
        <v>52430918</v>
      </c>
      <c r="C24">
        <v>52431439</v>
      </c>
      <c r="D24">
        <v>51865492</v>
      </c>
      <c r="E24">
        <v>1</v>
      </c>
      <c r="F24">
        <v>1</v>
      </c>
      <c r="G24">
        <v>27</v>
      </c>
      <c r="H24">
        <v>2</v>
      </c>
      <c r="I24" t="s">
        <v>417</v>
      </c>
      <c r="J24" t="s">
        <v>418</v>
      </c>
      <c r="K24" t="s">
        <v>419</v>
      </c>
      <c r="L24">
        <v>1368</v>
      </c>
      <c r="N24">
        <v>1011</v>
      </c>
      <c r="O24" t="s">
        <v>84</v>
      </c>
      <c r="P24" t="s">
        <v>84</v>
      </c>
      <c r="Q24">
        <v>1</v>
      </c>
      <c r="W24">
        <v>0</v>
      </c>
      <c r="X24">
        <v>72422803</v>
      </c>
      <c r="Y24">
        <v>2.64</v>
      </c>
      <c r="AA24">
        <v>0</v>
      </c>
      <c r="AB24">
        <v>531.41</v>
      </c>
      <c r="AC24">
        <v>373.56</v>
      </c>
      <c r="AD24">
        <v>0</v>
      </c>
      <c r="AE24">
        <v>0</v>
      </c>
      <c r="AF24">
        <v>531.41</v>
      </c>
      <c r="AG24">
        <v>373.56</v>
      </c>
      <c r="AH24">
        <v>0</v>
      </c>
      <c r="AI24">
        <v>1</v>
      </c>
      <c r="AJ24">
        <v>1</v>
      </c>
      <c r="AK24">
        <v>1</v>
      </c>
      <c r="AL24">
        <v>1</v>
      </c>
      <c r="AN24">
        <v>0</v>
      </c>
      <c r="AO24">
        <v>1</v>
      </c>
      <c r="AP24">
        <v>0</v>
      </c>
      <c r="AQ24">
        <v>0</v>
      </c>
      <c r="AR24">
        <v>0</v>
      </c>
      <c r="AS24" t="s">
        <v>3</v>
      </c>
      <c r="AT24">
        <v>2.64</v>
      </c>
      <c r="AU24" t="s">
        <v>3</v>
      </c>
      <c r="AV24">
        <v>0</v>
      </c>
      <c r="AW24">
        <v>2</v>
      </c>
      <c r="AX24">
        <v>52431451</v>
      </c>
      <c r="AY24">
        <v>1</v>
      </c>
      <c r="AZ24">
        <v>0</v>
      </c>
      <c r="BA24">
        <v>23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CX24">
        <f>Y24*Source!I39</f>
        <v>3.5376000000000003</v>
      </c>
      <c r="CY24">
        <f>AB24</f>
        <v>531.41</v>
      </c>
      <c r="CZ24">
        <f>AF24</f>
        <v>531.41</v>
      </c>
      <c r="DA24">
        <f>AJ24</f>
        <v>1</v>
      </c>
      <c r="DB24">
        <f t="shared" si="0"/>
        <v>1402.92</v>
      </c>
      <c r="DC24">
        <f t="shared" si="1"/>
        <v>986.2</v>
      </c>
    </row>
    <row r="25" spans="1:107" x14ac:dyDescent="0.2">
      <c r="A25">
        <f>ROW(Source!A39)</f>
        <v>39</v>
      </c>
      <c r="B25">
        <v>52430918</v>
      </c>
      <c r="C25">
        <v>52431439</v>
      </c>
      <c r="D25">
        <v>51865715</v>
      </c>
      <c r="E25">
        <v>1</v>
      </c>
      <c r="F25">
        <v>1</v>
      </c>
      <c r="G25">
        <v>27</v>
      </c>
      <c r="H25">
        <v>2</v>
      </c>
      <c r="I25" t="s">
        <v>420</v>
      </c>
      <c r="J25" t="s">
        <v>421</v>
      </c>
      <c r="K25" t="s">
        <v>422</v>
      </c>
      <c r="L25">
        <v>1368</v>
      </c>
      <c r="N25">
        <v>1011</v>
      </c>
      <c r="O25" t="s">
        <v>84</v>
      </c>
      <c r="P25" t="s">
        <v>84</v>
      </c>
      <c r="Q25">
        <v>1</v>
      </c>
      <c r="W25">
        <v>0</v>
      </c>
      <c r="X25">
        <v>592514182</v>
      </c>
      <c r="Y25">
        <v>1.18</v>
      </c>
      <c r="AA25">
        <v>0</v>
      </c>
      <c r="AB25">
        <v>7.44</v>
      </c>
      <c r="AC25">
        <v>0.98</v>
      </c>
      <c r="AD25">
        <v>0</v>
      </c>
      <c r="AE25">
        <v>0</v>
      </c>
      <c r="AF25">
        <v>7.44</v>
      </c>
      <c r="AG25">
        <v>0.98</v>
      </c>
      <c r="AH25">
        <v>0</v>
      </c>
      <c r="AI25">
        <v>1</v>
      </c>
      <c r="AJ25">
        <v>1</v>
      </c>
      <c r="AK25">
        <v>1</v>
      </c>
      <c r="AL25">
        <v>1</v>
      </c>
      <c r="AN25">
        <v>0</v>
      </c>
      <c r="AO25">
        <v>1</v>
      </c>
      <c r="AP25">
        <v>0</v>
      </c>
      <c r="AQ25">
        <v>0</v>
      </c>
      <c r="AR25">
        <v>0</v>
      </c>
      <c r="AS25" t="s">
        <v>3</v>
      </c>
      <c r="AT25">
        <v>1.18</v>
      </c>
      <c r="AU25" t="s">
        <v>3</v>
      </c>
      <c r="AV25">
        <v>0</v>
      </c>
      <c r="AW25">
        <v>2</v>
      </c>
      <c r="AX25">
        <v>52431452</v>
      </c>
      <c r="AY25">
        <v>1</v>
      </c>
      <c r="AZ25">
        <v>0</v>
      </c>
      <c r="BA25">
        <v>24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CX25">
        <f>Y25*Source!I39</f>
        <v>1.5811999999999999</v>
      </c>
      <c r="CY25">
        <f>AB25</f>
        <v>7.44</v>
      </c>
      <c r="CZ25">
        <f>AF25</f>
        <v>7.44</v>
      </c>
      <c r="DA25">
        <f>AJ25</f>
        <v>1</v>
      </c>
      <c r="DB25">
        <f t="shared" si="0"/>
        <v>8.7799999999999994</v>
      </c>
      <c r="DC25">
        <f t="shared" si="1"/>
        <v>1.1599999999999999</v>
      </c>
    </row>
    <row r="26" spans="1:107" x14ac:dyDescent="0.2">
      <c r="A26">
        <f>ROW(Source!A39)</f>
        <v>39</v>
      </c>
      <c r="B26">
        <v>52430918</v>
      </c>
      <c r="C26">
        <v>52431439</v>
      </c>
      <c r="D26">
        <v>51864917</v>
      </c>
      <c r="E26">
        <v>1</v>
      </c>
      <c r="F26">
        <v>1</v>
      </c>
      <c r="G26">
        <v>27</v>
      </c>
      <c r="H26">
        <v>2</v>
      </c>
      <c r="I26" t="s">
        <v>423</v>
      </c>
      <c r="J26" t="s">
        <v>424</v>
      </c>
      <c r="K26" t="s">
        <v>425</v>
      </c>
      <c r="L26">
        <v>1368</v>
      </c>
      <c r="N26">
        <v>1011</v>
      </c>
      <c r="O26" t="s">
        <v>84</v>
      </c>
      <c r="P26" t="s">
        <v>84</v>
      </c>
      <c r="Q26">
        <v>1</v>
      </c>
      <c r="W26">
        <v>0</v>
      </c>
      <c r="X26">
        <v>-2052459773</v>
      </c>
      <c r="Y26">
        <v>0.01</v>
      </c>
      <c r="AA26">
        <v>0</v>
      </c>
      <c r="AB26">
        <v>616.73</v>
      </c>
      <c r="AC26">
        <v>511.29</v>
      </c>
      <c r="AD26">
        <v>0</v>
      </c>
      <c r="AE26">
        <v>0</v>
      </c>
      <c r="AF26">
        <v>616.73</v>
      </c>
      <c r="AG26">
        <v>511.29</v>
      </c>
      <c r="AH26">
        <v>0</v>
      </c>
      <c r="AI26">
        <v>1</v>
      </c>
      <c r="AJ26">
        <v>1</v>
      </c>
      <c r="AK26">
        <v>1</v>
      </c>
      <c r="AL26">
        <v>1</v>
      </c>
      <c r="AN26">
        <v>0</v>
      </c>
      <c r="AO26">
        <v>1</v>
      </c>
      <c r="AP26">
        <v>0</v>
      </c>
      <c r="AQ26">
        <v>0</v>
      </c>
      <c r="AR26">
        <v>0</v>
      </c>
      <c r="AS26" t="s">
        <v>3</v>
      </c>
      <c r="AT26">
        <v>0.01</v>
      </c>
      <c r="AU26" t="s">
        <v>3</v>
      </c>
      <c r="AV26">
        <v>0</v>
      </c>
      <c r="AW26">
        <v>2</v>
      </c>
      <c r="AX26">
        <v>52431453</v>
      </c>
      <c r="AY26">
        <v>1</v>
      </c>
      <c r="AZ26">
        <v>0</v>
      </c>
      <c r="BA26">
        <v>25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CX26">
        <f>Y26*Source!I39</f>
        <v>1.34E-2</v>
      </c>
      <c r="CY26">
        <f>AB26</f>
        <v>616.73</v>
      </c>
      <c r="CZ26">
        <f>AF26</f>
        <v>616.73</v>
      </c>
      <c r="DA26">
        <f>AJ26</f>
        <v>1</v>
      </c>
      <c r="DB26">
        <f t="shared" si="0"/>
        <v>6.17</v>
      </c>
      <c r="DC26">
        <f t="shared" si="1"/>
        <v>5.1100000000000003</v>
      </c>
    </row>
    <row r="27" spans="1:107" x14ac:dyDescent="0.2">
      <c r="A27">
        <f>ROW(Source!A39)</f>
        <v>39</v>
      </c>
      <c r="B27">
        <v>52430918</v>
      </c>
      <c r="C27">
        <v>52431439</v>
      </c>
      <c r="D27">
        <v>51865101</v>
      </c>
      <c r="E27">
        <v>1</v>
      </c>
      <c r="F27">
        <v>1</v>
      </c>
      <c r="G27">
        <v>27</v>
      </c>
      <c r="H27">
        <v>2</v>
      </c>
      <c r="I27" t="s">
        <v>426</v>
      </c>
      <c r="J27" t="s">
        <v>427</v>
      </c>
      <c r="K27" t="s">
        <v>428</v>
      </c>
      <c r="L27">
        <v>1368</v>
      </c>
      <c r="N27">
        <v>1011</v>
      </c>
      <c r="O27" t="s">
        <v>84</v>
      </c>
      <c r="P27" t="s">
        <v>84</v>
      </c>
      <c r="Q27">
        <v>1</v>
      </c>
      <c r="W27">
        <v>0</v>
      </c>
      <c r="X27">
        <v>1110189246</v>
      </c>
      <c r="Y27">
        <v>2.64</v>
      </c>
      <c r="AA27">
        <v>0</v>
      </c>
      <c r="AB27">
        <v>454.31</v>
      </c>
      <c r="AC27">
        <v>405.68</v>
      </c>
      <c r="AD27">
        <v>0</v>
      </c>
      <c r="AE27">
        <v>0</v>
      </c>
      <c r="AF27">
        <v>454.31</v>
      </c>
      <c r="AG27">
        <v>405.68</v>
      </c>
      <c r="AH27">
        <v>0</v>
      </c>
      <c r="AI27">
        <v>1</v>
      </c>
      <c r="AJ27">
        <v>1</v>
      </c>
      <c r="AK27">
        <v>1</v>
      </c>
      <c r="AL27">
        <v>1</v>
      </c>
      <c r="AN27">
        <v>0</v>
      </c>
      <c r="AO27">
        <v>1</v>
      </c>
      <c r="AP27">
        <v>0</v>
      </c>
      <c r="AQ27">
        <v>0</v>
      </c>
      <c r="AR27">
        <v>0</v>
      </c>
      <c r="AS27" t="s">
        <v>3</v>
      </c>
      <c r="AT27">
        <v>2.64</v>
      </c>
      <c r="AU27" t="s">
        <v>3</v>
      </c>
      <c r="AV27">
        <v>0</v>
      </c>
      <c r="AW27">
        <v>2</v>
      </c>
      <c r="AX27">
        <v>52431454</v>
      </c>
      <c r="AY27">
        <v>1</v>
      </c>
      <c r="AZ27">
        <v>0</v>
      </c>
      <c r="BA27">
        <v>26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CX27">
        <f>Y27*Source!I39</f>
        <v>3.5376000000000003</v>
      </c>
      <c r="CY27">
        <f>AB27</f>
        <v>454.31</v>
      </c>
      <c r="CZ27">
        <f>AF27</f>
        <v>454.31</v>
      </c>
      <c r="DA27">
        <f>AJ27</f>
        <v>1</v>
      </c>
      <c r="DB27">
        <f t="shared" si="0"/>
        <v>1199.3800000000001</v>
      </c>
      <c r="DC27">
        <f t="shared" si="1"/>
        <v>1071</v>
      </c>
    </row>
    <row r="28" spans="1:107" x14ac:dyDescent="0.2">
      <c r="A28">
        <f>ROW(Source!A39)</f>
        <v>39</v>
      </c>
      <c r="B28">
        <v>52430918</v>
      </c>
      <c r="C28">
        <v>52431439</v>
      </c>
      <c r="D28">
        <v>51867926</v>
      </c>
      <c r="E28">
        <v>1</v>
      </c>
      <c r="F28">
        <v>1</v>
      </c>
      <c r="G28">
        <v>27</v>
      </c>
      <c r="H28">
        <v>3</v>
      </c>
      <c r="I28" t="s">
        <v>429</v>
      </c>
      <c r="J28" t="s">
        <v>430</v>
      </c>
      <c r="K28" t="s">
        <v>431</v>
      </c>
      <c r="L28">
        <v>1327</v>
      </c>
      <c r="N28">
        <v>1005</v>
      </c>
      <c r="O28" t="s">
        <v>298</v>
      </c>
      <c r="P28" t="s">
        <v>298</v>
      </c>
      <c r="Q28">
        <v>1</v>
      </c>
      <c r="W28">
        <v>0</v>
      </c>
      <c r="X28">
        <v>-1185010663</v>
      </c>
      <c r="Y28">
        <v>5.6</v>
      </c>
      <c r="AA28">
        <v>12.02</v>
      </c>
      <c r="AB28">
        <v>0</v>
      </c>
      <c r="AC28">
        <v>0</v>
      </c>
      <c r="AD28">
        <v>0</v>
      </c>
      <c r="AE28">
        <v>12.02</v>
      </c>
      <c r="AF28">
        <v>0</v>
      </c>
      <c r="AG28">
        <v>0</v>
      </c>
      <c r="AH28">
        <v>0</v>
      </c>
      <c r="AI28">
        <v>1</v>
      </c>
      <c r="AJ28">
        <v>1</v>
      </c>
      <c r="AK28">
        <v>1</v>
      </c>
      <c r="AL28">
        <v>1</v>
      </c>
      <c r="AN28">
        <v>0</v>
      </c>
      <c r="AO28">
        <v>1</v>
      </c>
      <c r="AP28">
        <v>0</v>
      </c>
      <c r="AQ28">
        <v>0</v>
      </c>
      <c r="AR28">
        <v>0</v>
      </c>
      <c r="AS28" t="s">
        <v>3</v>
      </c>
      <c r="AT28">
        <v>5.6</v>
      </c>
      <c r="AU28" t="s">
        <v>3</v>
      </c>
      <c r="AV28">
        <v>0</v>
      </c>
      <c r="AW28">
        <v>2</v>
      </c>
      <c r="AX28">
        <v>52431455</v>
      </c>
      <c r="AY28">
        <v>1</v>
      </c>
      <c r="AZ28">
        <v>0</v>
      </c>
      <c r="BA28">
        <v>27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CX28">
        <f>Y28*Source!I39</f>
        <v>7.5039999999999996</v>
      </c>
      <c r="CY28">
        <f>AA28</f>
        <v>12.02</v>
      </c>
      <c r="CZ28">
        <f>AE28</f>
        <v>12.02</v>
      </c>
      <c r="DA28">
        <f>AI28</f>
        <v>1</v>
      </c>
      <c r="DB28">
        <f t="shared" si="0"/>
        <v>67.31</v>
      </c>
      <c r="DC28">
        <f t="shared" si="1"/>
        <v>0</v>
      </c>
    </row>
    <row r="29" spans="1:107" x14ac:dyDescent="0.2">
      <c r="A29">
        <f>ROW(Source!A39)</f>
        <v>39</v>
      </c>
      <c r="B29">
        <v>52430918</v>
      </c>
      <c r="C29">
        <v>52431439</v>
      </c>
      <c r="D29">
        <v>51868013</v>
      </c>
      <c r="E29">
        <v>1</v>
      </c>
      <c r="F29">
        <v>1</v>
      </c>
      <c r="G29">
        <v>27</v>
      </c>
      <c r="H29">
        <v>3</v>
      </c>
      <c r="I29" t="s">
        <v>432</v>
      </c>
      <c r="J29" t="s">
        <v>433</v>
      </c>
      <c r="K29" t="s">
        <v>434</v>
      </c>
      <c r="L29">
        <v>1348</v>
      </c>
      <c r="N29">
        <v>1009</v>
      </c>
      <c r="O29" t="s">
        <v>101</v>
      </c>
      <c r="P29" t="s">
        <v>101</v>
      </c>
      <c r="Q29">
        <v>1000</v>
      </c>
      <c r="W29">
        <v>0</v>
      </c>
      <c r="X29">
        <v>1287476064</v>
      </c>
      <c r="Y29">
        <v>3.15E-3</v>
      </c>
      <c r="AA29">
        <v>343020.03</v>
      </c>
      <c r="AB29">
        <v>0</v>
      </c>
      <c r="AC29">
        <v>0</v>
      </c>
      <c r="AD29">
        <v>0</v>
      </c>
      <c r="AE29">
        <v>343020.03</v>
      </c>
      <c r="AF29">
        <v>0</v>
      </c>
      <c r="AG29">
        <v>0</v>
      </c>
      <c r="AH29">
        <v>0</v>
      </c>
      <c r="AI29">
        <v>1</v>
      </c>
      <c r="AJ29">
        <v>1</v>
      </c>
      <c r="AK29">
        <v>1</v>
      </c>
      <c r="AL29">
        <v>1</v>
      </c>
      <c r="AN29">
        <v>0</v>
      </c>
      <c r="AO29">
        <v>1</v>
      </c>
      <c r="AP29">
        <v>0</v>
      </c>
      <c r="AQ29">
        <v>0</v>
      </c>
      <c r="AR29">
        <v>0</v>
      </c>
      <c r="AS29" t="s">
        <v>3</v>
      </c>
      <c r="AT29">
        <v>3.15E-3</v>
      </c>
      <c r="AU29" t="s">
        <v>3</v>
      </c>
      <c r="AV29">
        <v>0</v>
      </c>
      <c r="AW29">
        <v>2</v>
      </c>
      <c r="AX29">
        <v>52431456</v>
      </c>
      <c r="AY29">
        <v>1</v>
      </c>
      <c r="AZ29">
        <v>0</v>
      </c>
      <c r="BA29">
        <v>28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CX29">
        <f>Y29*Source!I39</f>
        <v>4.2209999999999999E-3</v>
      </c>
      <c r="CY29">
        <f>AA29</f>
        <v>343020.03</v>
      </c>
      <c r="CZ29">
        <f>AE29</f>
        <v>343020.03</v>
      </c>
      <c r="DA29">
        <f>AI29</f>
        <v>1</v>
      </c>
      <c r="DB29">
        <f t="shared" si="0"/>
        <v>1080.51</v>
      </c>
      <c r="DC29">
        <f t="shared" si="1"/>
        <v>0</v>
      </c>
    </row>
    <row r="30" spans="1:107" x14ac:dyDescent="0.2">
      <c r="A30">
        <f>ROW(Source!A39)</f>
        <v>39</v>
      </c>
      <c r="B30">
        <v>52430918</v>
      </c>
      <c r="C30">
        <v>52431439</v>
      </c>
      <c r="D30">
        <v>51868230</v>
      </c>
      <c r="E30">
        <v>1</v>
      </c>
      <c r="F30">
        <v>1</v>
      </c>
      <c r="G30">
        <v>27</v>
      </c>
      <c r="H30">
        <v>3</v>
      </c>
      <c r="I30" t="s">
        <v>435</v>
      </c>
      <c r="J30" t="s">
        <v>436</v>
      </c>
      <c r="K30" t="s">
        <v>437</v>
      </c>
      <c r="L30">
        <v>1346</v>
      </c>
      <c r="N30">
        <v>1009</v>
      </c>
      <c r="O30" t="s">
        <v>438</v>
      </c>
      <c r="P30" t="s">
        <v>438</v>
      </c>
      <c r="Q30">
        <v>1</v>
      </c>
      <c r="W30">
        <v>0</v>
      </c>
      <c r="X30">
        <v>1696686191</v>
      </c>
      <c r="Y30">
        <v>735</v>
      </c>
      <c r="AA30">
        <v>17.77</v>
      </c>
      <c r="AB30">
        <v>0</v>
      </c>
      <c r="AC30">
        <v>0</v>
      </c>
      <c r="AD30">
        <v>0</v>
      </c>
      <c r="AE30">
        <v>17.77</v>
      </c>
      <c r="AF30">
        <v>0</v>
      </c>
      <c r="AG30">
        <v>0</v>
      </c>
      <c r="AH30">
        <v>0</v>
      </c>
      <c r="AI30">
        <v>1</v>
      </c>
      <c r="AJ30">
        <v>1</v>
      </c>
      <c r="AK30">
        <v>1</v>
      </c>
      <c r="AL30">
        <v>1</v>
      </c>
      <c r="AN30">
        <v>0</v>
      </c>
      <c r="AO30">
        <v>1</v>
      </c>
      <c r="AP30">
        <v>0</v>
      </c>
      <c r="AQ30">
        <v>0</v>
      </c>
      <c r="AR30">
        <v>0</v>
      </c>
      <c r="AS30" t="s">
        <v>3</v>
      </c>
      <c r="AT30">
        <v>735</v>
      </c>
      <c r="AU30" t="s">
        <v>3</v>
      </c>
      <c r="AV30">
        <v>0</v>
      </c>
      <c r="AW30">
        <v>2</v>
      </c>
      <c r="AX30">
        <v>52431457</v>
      </c>
      <c r="AY30">
        <v>1</v>
      </c>
      <c r="AZ30">
        <v>0</v>
      </c>
      <c r="BA30">
        <v>29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CX30">
        <f>Y30*Source!I39</f>
        <v>984.90000000000009</v>
      </c>
      <c r="CY30">
        <f>AA30</f>
        <v>17.77</v>
      </c>
      <c r="CZ30">
        <f>AE30</f>
        <v>17.77</v>
      </c>
      <c r="DA30">
        <f>AI30</f>
        <v>1</v>
      </c>
      <c r="DB30">
        <f t="shared" si="0"/>
        <v>13060.95</v>
      </c>
      <c r="DC30">
        <f t="shared" si="1"/>
        <v>0</v>
      </c>
    </row>
    <row r="31" spans="1:107" x14ac:dyDescent="0.2">
      <c r="A31">
        <f>ROW(Source!A39)</f>
        <v>39</v>
      </c>
      <c r="B31">
        <v>52430918</v>
      </c>
      <c r="C31">
        <v>52431439</v>
      </c>
      <c r="D31">
        <v>51868237</v>
      </c>
      <c r="E31">
        <v>1</v>
      </c>
      <c r="F31">
        <v>1</v>
      </c>
      <c r="G31">
        <v>27</v>
      </c>
      <c r="H31">
        <v>3</v>
      </c>
      <c r="I31" t="s">
        <v>439</v>
      </c>
      <c r="J31" t="s">
        <v>440</v>
      </c>
      <c r="K31" t="s">
        <v>441</v>
      </c>
      <c r="L31">
        <v>1346</v>
      </c>
      <c r="N31">
        <v>1009</v>
      </c>
      <c r="O31" t="s">
        <v>438</v>
      </c>
      <c r="P31" t="s">
        <v>438</v>
      </c>
      <c r="Q31">
        <v>1</v>
      </c>
      <c r="W31">
        <v>0</v>
      </c>
      <c r="X31">
        <v>-319511878</v>
      </c>
      <c r="Y31">
        <v>241.5</v>
      </c>
      <c r="AA31">
        <v>202.34</v>
      </c>
      <c r="AB31">
        <v>0</v>
      </c>
      <c r="AC31">
        <v>0</v>
      </c>
      <c r="AD31">
        <v>0</v>
      </c>
      <c r="AE31">
        <v>202.34</v>
      </c>
      <c r="AF31">
        <v>0</v>
      </c>
      <c r="AG31">
        <v>0</v>
      </c>
      <c r="AH31">
        <v>0</v>
      </c>
      <c r="AI31">
        <v>1</v>
      </c>
      <c r="AJ31">
        <v>1</v>
      </c>
      <c r="AK31">
        <v>1</v>
      </c>
      <c r="AL31">
        <v>1</v>
      </c>
      <c r="AN31">
        <v>0</v>
      </c>
      <c r="AO31">
        <v>1</v>
      </c>
      <c r="AP31">
        <v>0</v>
      </c>
      <c r="AQ31">
        <v>0</v>
      </c>
      <c r="AR31">
        <v>0</v>
      </c>
      <c r="AS31" t="s">
        <v>3</v>
      </c>
      <c r="AT31">
        <v>241.5</v>
      </c>
      <c r="AU31" t="s">
        <v>3</v>
      </c>
      <c r="AV31">
        <v>0</v>
      </c>
      <c r="AW31">
        <v>2</v>
      </c>
      <c r="AX31">
        <v>52431458</v>
      </c>
      <c r="AY31">
        <v>1</v>
      </c>
      <c r="AZ31">
        <v>0</v>
      </c>
      <c r="BA31">
        <v>30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CX31">
        <f>Y31*Source!I39</f>
        <v>323.61</v>
      </c>
      <c r="CY31">
        <f>AA31</f>
        <v>202.34</v>
      </c>
      <c r="CZ31">
        <f>AE31</f>
        <v>202.34</v>
      </c>
      <c r="DA31">
        <f>AI31</f>
        <v>1</v>
      </c>
      <c r="DB31">
        <f t="shared" si="0"/>
        <v>48865.11</v>
      </c>
      <c r="DC31">
        <f t="shared" si="1"/>
        <v>0</v>
      </c>
    </row>
    <row r="32" spans="1:107" x14ac:dyDescent="0.2">
      <c r="A32">
        <f>ROW(Source!A39)</f>
        <v>39</v>
      </c>
      <c r="B32">
        <v>52430918</v>
      </c>
      <c r="C32">
        <v>52431439</v>
      </c>
      <c r="D32">
        <v>51866204</v>
      </c>
      <c r="E32">
        <v>1</v>
      </c>
      <c r="F32">
        <v>1</v>
      </c>
      <c r="G32">
        <v>27</v>
      </c>
      <c r="H32">
        <v>3</v>
      </c>
      <c r="I32" t="s">
        <v>442</v>
      </c>
      <c r="J32" t="s">
        <v>443</v>
      </c>
      <c r="K32" t="s">
        <v>444</v>
      </c>
      <c r="L32">
        <v>1348</v>
      </c>
      <c r="N32">
        <v>1009</v>
      </c>
      <c r="O32" t="s">
        <v>101</v>
      </c>
      <c r="P32" t="s">
        <v>101</v>
      </c>
      <c r="Q32">
        <v>1000</v>
      </c>
      <c r="W32">
        <v>0</v>
      </c>
      <c r="X32">
        <v>-1600259051</v>
      </c>
      <c r="Y32">
        <v>5.2499999999999998E-2</v>
      </c>
      <c r="AA32">
        <v>748299.67</v>
      </c>
      <c r="AB32">
        <v>0</v>
      </c>
      <c r="AC32">
        <v>0</v>
      </c>
      <c r="AD32">
        <v>0</v>
      </c>
      <c r="AE32">
        <v>748299.67</v>
      </c>
      <c r="AF32">
        <v>0</v>
      </c>
      <c r="AG32">
        <v>0</v>
      </c>
      <c r="AH32">
        <v>0</v>
      </c>
      <c r="AI32">
        <v>1</v>
      </c>
      <c r="AJ32">
        <v>1</v>
      </c>
      <c r="AK32">
        <v>1</v>
      </c>
      <c r="AL32">
        <v>1</v>
      </c>
      <c r="AN32">
        <v>0</v>
      </c>
      <c r="AO32">
        <v>1</v>
      </c>
      <c r="AP32">
        <v>0</v>
      </c>
      <c r="AQ32">
        <v>0</v>
      </c>
      <c r="AR32">
        <v>0</v>
      </c>
      <c r="AS32" t="s">
        <v>3</v>
      </c>
      <c r="AT32">
        <v>5.2499999999999998E-2</v>
      </c>
      <c r="AU32" t="s">
        <v>3</v>
      </c>
      <c r="AV32">
        <v>0</v>
      </c>
      <c r="AW32">
        <v>2</v>
      </c>
      <c r="AX32">
        <v>52431459</v>
      </c>
      <c r="AY32">
        <v>1</v>
      </c>
      <c r="AZ32">
        <v>0</v>
      </c>
      <c r="BA32">
        <v>31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CX32">
        <f>Y32*Source!I39</f>
        <v>7.0349999999999996E-2</v>
      </c>
      <c r="CY32">
        <f>AA32</f>
        <v>748299.67</v>
      </c>
      <c r="CZ32">
        <f>AE32</f>
        <v>748299.67</v>
      </c>
      <c r="DA32">
        <f>AI32</f>
        <v>1</v>
      </c>
      <c r="DB32">
        <f t="shared" si="0"/>
        <v>39285.730000000003</v>
      </c>
      <c r="DC32">
        <f t="shared" si="1"/>
        <v>0</v>
      </c>
    </row>
    <row r="33" spans="1:107" x14ac:dyDescent="0.2">
      <c r="A33">
        <f>ROW(Source!A40)</f>
        <v>40</v>
      </c>
      <c r="B33">
        <v>52430918</v>
      </c>
      <c r="C33">
        <v>52431460</v>
      </c>
      <c r="D33">
        <v>51848379</v>
      </c>
      <c r="E33">
        <v>27</v>
      </c>
      <c r="F33">
        <v>1</v>
      </c>
      <c r="G33">
        <v>27</v>
      </c>
      <c r="H33">
        <v>1</v>
      </c>
      <c r="I33" t="s">
        <v>378</v>
      </c>
      <c r="J33" t="s">
        <v>3</v>
      </c>
      <c r="K33" t="s">
        <v>379</v>
      </c>
      <c r="L33">
        <v>1191</v>
      </c>
      <c r="N33">
        <v>1013</v>
      </c>
      <c r="O33" t="s">
        <v>380</v>
      </c>
      <c r="P33" t="s">
        <v>380</v>
      </c>
      <c r="Q33">
        <v>1</v>
      </c>
      <c r="W33">
        <v>0</v>
      </c>
      <c r="X33">
        <v>476480486</v>
      </c>
      <c r="Y33">
        <v>2.65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1</v>
      </c>
      <c r="AJ33">
        <v>1</v>
      </c>
      <c r="AK33">
        <v>1</v>
      </c>
      <c r="AL33">
        <v>1</v>
      </c>
      <c r="AN33">
        <v>0</v>
      </c>
      <c r="AO33">
        <v>1</v>
      </c>
      <c r="AP33">
        <v>0</v>
      </c>
      <c r="AQ33">
        <v>0</v>
      </c>
      <c r="AR33">
        <v>0</v>
      </c>
      <c r="AS33" t="s">
        <v>3</v>
      </c>
      <c r="AT33">
        <v>2.65</v>
      </c>
      <c r="AU33" t="s">
        <v>3</v>
      </c>
      <c r="AV33">
        <v>1</v>
      </c>
      <c r="AW33">
        <v>2</v>
      </c>
      <c r="AX33">
        <v>52431467</v>
      </c>
      <c r="AY33">
        <v>1</v>
      </c>
      <c r="AZ33">
        <v>0</v>
      </c>
      <c r="BA33">
        <v>32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CX33">
        <f>Y33*Source!I40</f>
        <v>3.5510000000000002</v>
      </c>
      <c r="CY33">
        <f>AD33</f>
        <v>0</v>
      </c>
      <c r="CZ33">
        <f>AH33</f>
        <v>0</v>
      </c>
      <c r="DA33">
        <f>AL33</f>
        <v>1</v>
      </c>
      <c r="DB33">
        <f t="shared" si="0"/>
        <v>0</v>
      </c>
      <c r="DC33">
        <f t="shared" si="1"/>
        <v>0</v>
      </c>
    </row>
    <row r="34" spans="1:107" x14ac:dyDescent="0.2">
      <c r="A34">
        <f>ROW(Source!A40)</f>
        <v>40</v>
      </c>
      <c r="B34">
        <v>52430918</v>
      </c>
      <c r="C34">
        <v>52431460</v>
      </c>
      <c r="D34">
        <v>51865492</v>
      </c>
      <c r="E34">
        <v>1</v>
      </c>
      <c r="F34">
        <v>1</v>
      </c>
      <c r="G34">
        <v>27</v>
      </c>
      <c r="H34">
        <v>2</v>
      </c>
      <c r="I34" t="s">
        <v>417</v>
      </c>
      <c r="J34" t="s">
        <v>418</v>
      </c>
      <c r="K34" t="s">
        <v>419</v>
      </c>
      <c r="L34">
        <v>1368</v>
      </c>
      <c r="N34">
        <v>1011</v>
      </c>
      <c r="O34" t="s">
        <v>84</v>
      </c>
      <c r="P34" t="s">
        <v>84</v>
      </c>
      <c r="Q34">
        <v>1</v>
      </c>
      <c r="W34">
        <v>0</v>
      </c>
      <c r="X34">
        <v>72422803</v>
      </c>
      <c r="Y34">
        <v>0.5</v>
      </c>
      <c r="AA34">
        <v>0</v>
      </c>
      <c r="AB34">
        <v>531.41</v>
      </c>
      <c r="AC34">
        <v>373.56</v>
      </c>
      <c r="AD34">
        <v>0</v>
      </c>
      <c r="AE34">
        <v>0</v>
      </c>
      <c r="AF34">
        <v>531.41</v>
      </c>
      <c r="AG34">
        <v>373.56</v>
      </c>
      <c r="AH34">
        <v>0</v>
      </c>
      <c r="AI34">
        <v>1</v>
      </c>
      <c r="AJ34">
        <v>1</v>
      </c>
      <c r="AK34">
        <v>1</v>
      </c>
      <c r="AL34">
        <v>1</v>
      </c>
      <c r="AN34">
        <v>0</v>
      </c>
      <c r="AO34">
        <v>1</v>
      </c>
      <c r="AP34">
        <v>0</v>
      </c>
      <c r="AQ34">
        <v>0</v>
      </c>
      <c r="AR34">
        <v>0</v>
      </c>
      <c r="AS34" t="s">
        <v>3</v>
      </c>
      <c r="AT34">
        <v>0.5</v>
      </c>
      <c r="AU34" t="s">
        <v>3</v>
      </c>
      <c r="AV34">
        <v>0</v>
      </c>
      <c r="AW34">
        <v>2</v>
      </c>
      <c r="AX34">
        <v>52431468</v>
      </c>
      <c r="AY34">
        <v>1</v>
      </c>
      <c r="AZ34">
        <v>0</v>
      </c>
      <c r="BA34">
        <v>33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CX34">
        <f>Y34*Source!I40</f>
        <v>0.67</v>
      </c>
      <c r="CY34">
        <f>AB34</f>
        <v>531.41</v>
      </c>
      <c r="CZ34">
        <f>AF34</f>
        <v>531.41</v>
      </c>
      <c r="DA34">
        <f>AJ34</f>
        <v>1</v>
      </c>
      <c r="DB34">
        <f t="shared" si="0"/>
        <v>265.70999999999998</v>
      </c>
      <c r="DC34">
        <f t="shared" si="1"/>
        <v>186.78</v>
      </c>
    </row>
    <row r="35" spans="1:107" x14ac:dyDescent="0.2">
      <c r="A35">
        <f>ROW(Source!A40)</f>
        <v>40</v>
      </c>
      <c r="B35">
        <v>52430918</v>
      </c>
      <c r="C35">
        <v>52431460</v>
      </c>
      <c r="D35">
        <v>51865101</v>
      </c>
      <c r="E35">
        <v>1</v>
      </c>
      <c r="F35">
        <v>1</v>
      </c>
      <c r="G35">
        <v>27</v>
      </c>
      <c r="H35">
        <v>2</v>
      </c>
      <c r="I35" t="s">
        <v>426</v>
      </c>
      <c r="J35" t="s">
        <v>427</v>
      </c>
      <c r="K35" t="s">
        <v>428</v>
      </c>
      <c r="L35">
        <v>1368</v>
      </c>
      <c r="N35">
        <v>1011</v>
      </c>
      <c r="O35" t="s">
        <v>84</v>
      </c>
      <c r="P35" t="s">
        <v>84</v>
      </c>
      <c r="Q35">
        <v>1</v>
      </c>
      <c r="W35">
        <v>0</v>
      </c>
      <c r="X35">
        <v>1110189246</v>
      </c>
      <c r="Y35">
        <v>0.5</v>
      </c>
      <c r="AA35">
        <v>0</v>
      </c>
      <c r="AB35">
        <v>454.31</v>
      </c>
      <c r="AC35">
        <v>405.68</v>
      </c>
      <c r="AD35">
        <v>0</v>
      </c>
      <c r="AE35">
        <v>0</v>
      </c>
      <c r="AF35">
        <v>454.31</v>
      </c>
      <c r="AG35">
        <v>405.68</v>
      </c>
      <c r="AH35">
        <v>0</v>
      </c>
      <c r="AI35">
        <v>1</v>
      </c>
      <c r="AJ35">
        <v>1</v>
      </c>
      <c r="AK35">
        <v>1</v>
      </c>
      <c r="AL35">
        <v>1</v>
      </c>
      <c r="AN35">
        <v>0</v>
      </c>
      <c r="AO35">
        <v>1</v>
      </c>
      <c r="AP35">
        <v>0</v>
      </c>
      <c r="AQ35">
        <v>0</v>
      </c>
      <c r="AR35">
        <v>0</v>
      </c>
      <c r="AS35" t="s">
        <v>3</v>
      </c>
      <c r="AT35">
        <v>0.5</v>
      </c>
      <c r="AU35" t="s">
        <v>3</v>
      </c>
      <c r="AV35">
        <v>0</v>
      </c>
      <c r="AW35">
        <v>2</v>
      </c>
      <c r="AX35">
        <v>52431469</v>
      </c>
      <c r="AY35">
        <v>1</v>
      </c>
      <c r="AZ35">
        <v>0</v>
      </c>
      <c r="BA35">
        <v>34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CX35">
        <f>Y35*Source!I40</f>
        <v>0.67</v>
      </c>
      <c r="CY35">
        <f>AB35</f>
        <v>454.31</v>
      </c>
      <c r="CZ35">
        <f>AF35</f>
        <v>454.31</v>
      </c>
      <c r="DA35">
        <f>AJ35</f>
        <v>1</v>
      </c>
      <c r="DB35">
        <f t="shared" si="0"/>
        <v>227.16</v>
      </c>
      <c r="DC35">
        <f t="shared" si="1"/>
        <v>202.84</v>
      </c>
    </row>
    <row r="36" spans="1:107" x14ac:dyDescent="0.2">
      <c r="A36">
        <f>ROW(Source!A40)</f>
        <v>40</v>
      </c>
      <c r="B36">
        <v>52430918</v>
      </c>
      <c r="C36">
        <v>52431460</v>
      </c>
      <c r="D36">
        <v>51868230</v>
      </c>
      <c r="E36">
        <v>1</v>
      </c>
      <c r="F36">
        <v>1</v>
      </c>
      <c r="G36">
        <v>27</v>
      </c>
      <c r="H36">
        <v>3</v>
      </c>
      <c r="I36" t="s">
        <v>435</v>
      </c>
      <c r="J36" t="s">
        <v>436</v>
      </c>
      <c r="K36" t="s">
        <v>437</v>
      </c>
      <c r="L36">
        <v>1346</v>
      </c>
      <c r="N36">
        <v>1009</v>
      </c>
      <c r="O36" t="s">
        <v>438</v>
      </c>
      <c r="P36" t="s">
        <v>438</v>
      </c>
      <c r="Q36">
        <v>1</v>
      </c>
      <c r="W36">
        <v>0</v>
      </c>
      <c r="X36">
        <v>1696686191</v>
      </c>
      <c r="Y36">
        <v>147</v>
      </c>
      <c r="AA36">
        <v>17.77</v>
      </c>
      <c r="AB36">
        <v>0</v>
      </c>
      <c r="AC36">
        <v>0</v>
      </c>
      <c r="AD36">
        <v>0</v>
      </c>
      <c r="AE36">
        <v>17.77</v>
      </c>
      <c r="AF36">
        <v>0</v>
      </c>
      <c r="AG36">
        <v>0</v>
      </c>
      <c r="AH36">
        <v>0</v>
      </c>
      <c r="AI36">
        <v>1</v>
      </c>
      <c r="AJ36">
        <v>1</v>
      </c>
      <c r="AK36">
        <v>1</v>
      </c>
      <c r="AL36">
        <v>1</v>
      </c>
      <c r="AN36">
        <v>0</v>
      </c>
      <c r="AO36">
        <v>1</v>
      </c>
      <c r="AP36">
        <v>0</v>
      </c>
      <c r="AQ36">
        <v>0</v>
      </c>
      <c r="AR36">
        <v>0</v>
      </c>
      <c r="AS36" t="s">
        <v>3</v>
      </c>
      <c r="AT36">
        <v>147</v>
      </c>
      <c r="AU36" t="s">
        <v>3</v>
      </c>
      <c r="AV36">
        <v>0</v>
      </c>
      <c r="AW36">
        <v>2</v>
      </c>
      <c r="AX36">
        <v>52431470</v>
      </c>
      <c r="AY36">
        <v>1</v>
      </c>
      <c r="AZ36">
        <v>0</v>
      </c>
      <c r="BA36">
        <v>35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CX36">
        <f>Y36*Source!I40</f>
        <v>196.98000000000002</v>
      </c>
      <c r="CY36">
        <f>AA36</f>
        <v>17.77</v>
      </c>
      <c r="CZ36">
        <f>AE36</f>
        <v>17.77</v>
      </c>
      <c r="DA36">
        <f>AI36</f>
        <v>1</v>
      </c>
      <c r="DB36">
        <f t="shared" si="0"/>
        <v>2612.19</v>
      </c>
      <c r="DC36">
        <f t="shared" si="1"/>
        <v>0</v>
      </c>
    </row>
    <row r="37" spans="1:107" x14ac:dyDescent="0.2">
      <c r="A37">
        <f>ROW(Source!A40)</f>
        <v>40</v>
      </c>
      <c r="B37">
        <v>52430918</v>
      </c>
      <c r="C37">
        <v>52431460</v>
      </c>
      <c r="D37">
        <v>51868237</v>
      </c>
      <c r="E37">
        <v>1</v>
      </c>
      <c r="F37">
        <v>1</v>
      </c>
      <c r="G37">
        <v>27</v>
      </c>
      <c r="H37">
        <v>3</v>
      </c>
      <c r="I37" t="s">
        <v>439</v>
      </c>
      <c r="J37" t="s">
        <v>440</v>
      </c>
      <c r="K37" t="s">
        <v>441</v>
      </c>
      <c r="L37">
        <v>1346</v>
      </c>
      <c r="N37">
        <v>1009</v>
      </c>
      <c r="O37" t="s">
        <v>438</v>
      </c>
      <c r="P37" t="s">
        <v>438</v>
      </c>
      <c r="Q37">
        <v>1</v>
      </c>
      <c r="W37">
        <v>0</v>
      </c>
      <c r="X37">
        <v>-319511878</v>
      </c>
      <c r="Y37">
        <v>42</v>
      </c>
      <c r="AA37">
        <v>202.34</v>
      </c>
      <c r="AB37">
        <v>0</v>
      </c>
      <c r="AC37">
        <v>0</v>
      </c>
      <c r="AD37">
        <v>0</v>
      </c>
      <c r="AE37">
        <v>202.34</v>
      </c>
      <c r="AF37">
        <v>0</v>
      </c>
      <c r="AG37">
        <v>0</v>
      </c>
      <c r="AH37">
        <v>0</v>
      </c>
      <c r="AI37">
        <v>1</v>
      </c>
      <c r="AJ37">
        <v>1</v>
      </c>
      <c r="AK37">
        <v>1</v>
      </c>
      <c r="AL37">
        <v>1</v>
      </c>
      <c r="AN37">
        <v>0</v>
      </c>
      <c r="AO37">
        <v>1</v>
      </c>
      <c r="AP37">
        <v>0</v>
      </c>
      <c r="AQ37">
        <v>0</v>
      </c>
      <c r="AR37">
        <v>0</v>
      </c>
      <c r="AS37" t="s">
        <v>3</v>
      </c>
      <c r="AT37">
        <v>42</v>
      </c>
      <c r="AU37" t="s">
        <v>3</v>
      </c>
      <c r="AV37">
        <v>0</v>
      </c>
      <c r="AW37">
        <v>2</v>
      </c>
      <c r="AX37">
        <v>52431471</v>
      </c>
      <c r="AY37">
        <v>1</v>
      </c>
      <c r="AZ37">
        <v>0</v>
      </c>
      <c r="BA37">
        <v>36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CX37">
        <f>Y37*Source!I40</f>
        <v>56.28</v>
      </c>
      <c r="CY37">
        <f>AA37</f>
        <v>202.34</v>
      </c>
      <c r="CZ37">
        <f>AE37</f>
        <v>202.34</v>
      </c>
      <c r="DA37">
        <f>AI37</f>
        <v>1</v>
      </c>
      <c r="DB37">
        <f t="shared" si="0"/>
        <v>8498.2800000000007</v>
      </c>
      <c r="DC37">
        <f t="shared" si="1"/>
        <v>0</v>
      </c>
    </row>
    <row r="38" spans="1:107" x14ac:dyDescent="0.2">
      <c r="A38">
        <f>ROW(Source!A40)</f>
        <v>40</v>
      </c>
      <c r="B38">
        <v>52430918</v>
      </c>
      <c r="C38">
        <v>52431460</v>
      </c>
      <c r="D38">
        <v>51866204</v>
      </c>
      <c r="E38">
        <v>1</v>
      </c>
      <c r="F38">
        <v>1</v>
      </c>
      <c r="G38">
        <v>27</v>
      </c>
      <c r="H38">
        <v>3</v>
      </c>
      <c r="I38" t="s">
        <v>442</v>
      </c>
      <c r="J38" t="s">
        <v>443</v>
      </c>
      <c r="K38" t="s">
        <v>444</v>
      </c>
      <c r="L38">
        <v>1348</v>
      </c>
      <c r="N38">
        <v>1009</v>
      </c>
      <c r="O38" t="s">
        <v>101</v>
      </c>
      <c r="P38" t="s">
        <v>101</v>
      </c>
      <c r="Q38">
        <v>1000</v>
      </c>
      <c r="W38">
        <v>0</v>
      </c>
      <c r="X38">
        <v>-1600259051</v>
      </c>
      <c r="Y38">
        <v>1.0500000000000001E-2</v>
      </c>
      <c r="AA38">
        <v>748299.67</v>
      </c>
      <c r="AB38">
        <v>0</v>
      </c>
      <c r="AC38">
        <v>0</v>
      </c>
      <c r="AD38">
        <v>0</v>
      </c>
      <c r="AE38">
        <v>748299.67</v>
      </c>
      <c r="AF38">
        <v>0</v>
      </c>
      <c r="AG38">
        <v>0</v>
      </c>
      <c r="AH38">
        <v>0</v>
      </c>
      <c r="AI38">
        <v>1</v>
      </c>
      <c r="AJ38">
        <v>1</v>
      </c>
      <c r="AK38">
        <v>1</v>
      </c>
      <c r="AL38">
        <v>1</v>
      </c>
      <c r="AN38">
        <v>0</v>
      </c>
      <c r="AO38">
        <v>1</v>
      </c>
      <c r="AP38">
        <v>0</v>
      </c>
      <c r="AQ38">
        <v>0</v>
      </c>
      <c r="AR38">
        <v>0</v>
      </c>
      <c r="AS38" t="s">
        <v>3</v>
      </c>
      <c r="AT38">
        <v>1.0500000000000001E-2</v>
      </c>
      <c r="AU38" t="s">
        <v>3</v>
      </c>
      <c r="AV38">
        <v>0</v>
      </c>
      <c r="AW38">
        <v>2</v>
      </c>
      <c r="AX38">
        <v>52431472</v>
      </c>
      <c r="AY38">
        <v>1</v>
      </c>
      <c r="AZ38">
        <v>0</v>
      </c>
      <c r="BA38">
        <v>37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CX38">
        <f>Y38*Source!I40</f>
        <v>1.4070000000000001E-2</v>
      </c>
      <c r="CY38">
        <f>AA38</f>
        <v>748299.67</v>
      </c>
      <c r="CZ38">
        <f>AE38</f>
        <v>748299.67</v>
      </c>
      <c r="DA38">
        <f>AI38</f>
        <v>1</v>
      </c>
      <c r="DB38">
        <f t="shared" si="0"/>
        <v>7857.15</v>
      </c>
      <c r="DC38">
        <f t="shared" si="1"/>
        <v>0</v>
      </c>
    </row>
    <row r="39" spans="1:107" x14ac:dyDescent="0.2">
      <c r="A39">
        <f>ROW(Source!A41)</f>
        <v>41</v>
      </c>
      <c r="B39">
        <v>52430918</v>
      </c>
      <c r="C39">
        <v>52431473</v>
      </c>
      <c r="D39">
        <v>51848379</v>
      </c>
      <c r="E39">
        <v>27</v>
      </c>
      <c r="F39">
        <v>1</v>
      </c>
      <c r="G39">
        <v>27</v>
      </c>
      <c r="H39">
        <v>1</v>
      </c>
      <c r="I39" t="s">
        <v>378</v>
      </c>
      <c r="J39" t="s">
        <v>3</v>
      </c>
      <c r="K39" t="s">
        <v>379</v>
      </c>
      <c r="L39">
        <v>1191</v>
      </c>
      <c r="N39">
        <v>1013</v>
      </c>
      <c r="O39" t="s">
        <v>380</v>
      </c>
      <c r="P39" t="s">
        <v>380</v>
      </c>
      <c r="Q39">
        <v>1</v>
      </c>
      <c r="W39">
        <v>0</v>
      </c>
      <c r="X39">
        <v>476480486</v>
      </c>
      <c r="Y39">
        <v>221.6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1</v>
      </c>
      <c r="AJ39">
        <v>1</v>
      </c>
      <c r="AK39">
        <v>1</v>
      </c>
      <c r="AL39">
        <v>1</v>
      </c>
      <c r="AN39">
        <v>0</v>
      </c>
      <c r="AO39">
        <v>1</v>
      </c>
      <c r="AP39">
        <v>0</v>
      </c>
      <c r="AQ39">
        <v>0</v>
      </c>
      <c r="AR39">
        <v>0</v>
      </c>
      <c r="AS39" t="s">
        <v>3</v>
      </c>
      <c r="AT39">
        <v>221.6</v>
      </c>
      <c r="AU39" t="s">
        <v>3</v>
      </c>
      <c r="AV39">
        <v>1</v>
      </c>
      <c r="AW39">
        <v>2</v>
      </c>
      <c r="AX39">
        <v>52431475</v>
      </c>
      <c r="AY39">
        <v>1</v>
      </c>
      <c r="AZ39">
        <v>0</v>
      </c>
      <c r="BA39">
        <v>38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CX39">
        <f>Y39*Source!I41</f>
        <v>0</v>
      </c>
      <c r="CY39">
        <f>AD39</f>
        <v>0</v>
      </c>
      <c r="CZ39">
        <f>AH39</f>
        <v>0</v>
      </c>
      <c r="DA39">
        <f>AL39</f>
        <v>1</v>
      </c>
      <c r="DB39">
        <f t="shared" si="0"/>
        <v>0</v>
      </c>
      <c r="DC39">
        <f t="shared" si="1"/>
        <v>0</v>
      </c>
    </row>
    <row r="40" spans="1:107" x14ac:dyDescent="0.2">
      <c r="A40">
        <f>ROW(Source!A42)</f>
        <v>42</v>
      </c>
      <c r="B40">
        <v>52430918</v>
      </c>
      <c r="C40">
        <v>52431476</v>
      </c>
      <c r="D40">
        <v>51848379</v>
      </c>
      <c r="E40">
        <v>27</v>
      </c>
      <c r="F40">
        <v>1</v>
      </c>
      <c r="G40">
        <v>27</v>
      </c>
      <c r="H40">
        <v>1</v>
      </c>
      <c r="I40" t="s">
        <v>378</v>
      </c>
      <c r="J40" t="s">
        <v>3</v>
      </c>
      <c r="K40" t="s">
        <v>379</v>
      </c>
      <c r="L40">
        <v>1191</v>
      </c>
      <c r="N40">
        <v>1013</v>
      </c>
      <c r="O40" t="s">
        <v>380</v>
      </c>
      <c r="P40" t="s">
        <v>380</v>
      </c>
      <c r="Q40">
        <v>1</v>
      </c>
      <c r="W40">
        <v>0</v>
      </c>
      <c r="X40">
        <v>476480486</v>
      </c>
      <c r="Y40">
        <v>16.559999999999999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1</v>
      </c>
      <c r="AJ40">
        <v>1</v>
      </c>
      <c r="AK40">
        <v>1</v>
      </c>
      <c r="AL40">
        <v>1</v>
      </c>
      <c r="AN40">
        <v>0</v>
      </c>
      <c r="AO40">
        <v>1</v>
      </c>
      <c r="AP40">
        <v>0</v>
      </c>
      <c r="AQ40">
        <v>0</v>
      </c>
      <c r="AR40">
        <v>0</v>
      </c>
      <c r="AS40" t="s">
        <v>3</v>
      </c>
      <c r="AT40">
        <v>16.559999999999999</v>
      </c>
      <c r="AU40" t="s">
        <v>3</v>
      </c>
      <c r="AV40">
        <v>1</v>
      </c>
      <c r="AW40">
        <v>2</v>
      </c>
      <c r="AX40">
        <v>52431485</v>
      </c>
      <c r="AY40">
        <v>1</v>
      </c>
      <c r="AZ40">
        <v>0</v>
      </c>
      <c r="BA40">
        <v>39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CX40">
        <f>Y40*Source!I42</f>
        <v>0</v>
      </c>
      <c r="CY40">
        <f>AD40</f>
        <v>0</v>
      </c>
      <c r="CZ40">
        <f>AH40</f>
        <v>0</v>
      </c>
      <c r="DA40">
        <f>AL40</f>
        <v>1</v>
      </c>
      <c r="DB40">
        <f t="shared" si="0"/>
        <v>0</v>
      </c>
      <c r="DC40">
        <f t="shared" si="1"/>
        <v>0</v>
      </c>
    </row>
    <row r="41" spans="1:107" x14ac:dyDescent="0.2">
      <c r="A41">
        <f>ROW(Source!A42)</f>
        <v>42</v>
      </c>
      <c r="B41">
        <v>52430918</v>
      </c>
      <c r="C41">
        <v>52431476</v>
      </c>
      <c r="D41">
        <v>51864848</v>
      </c>
      <c r="E41">
        <v>1</v>
      </c>
      <c r="F41">
        <v>1</v>
      </c>
      <c r="G41">
        <v>27</v>
      </c>
      <c r="H41">
        <v>2</v>
      </c>
      <c r="I41" t="s">
        <v>387</v>
      </c>
      <c r="J41" t="s">
        <v>388</v>
      </c>
      <c r="K41" t="s">
        <v>389</v>
      </c>
      <c r="L41">
        <v>1368</v>
      </c>
      <c r="N41">
        <v>1011</v>
      </c>
      <c r="O41" t="s">
        <v>84</v>
      </c>
      <c r="P41" t="s">
        <v>84</v>
      </c>
      <c r="Q41">
        <v>1</v>
      </c>
      <c r="W41">
        <v>0</v>
      </c>
      <c r="X41">
        <v>2108619810</v>
      </c>
      <c r="Y41">
        <v>2.08</v>
      </c>
      <c r="AA41">
        <v>0</v>
      </c>
      <c r="AB41">
        <v>740.94</v>
      </c>
      <c r="AC41">
        <v>413.22</v>
      </c>
      <c r="AD41">
        <v>0</v>
      </c>
      <c r="AE41">
        <v>0</v>
      </c>
      <c r="AF41">
        <v>740.94</v>
      </c>
      <c r="AG41">
        <v>413.22</v>
      </c>
      <c r="AH41">
        <v>0</v>
      </c>
      <c r="AI41">
        <v>1</v>
      </c>
      <c r="AJ41">
        <v>1</v>
      </c>
      <c r="AK41">
        <v>1</v>
      </c>
      <c r="AL41">
        <v>1</v>
      </c>
      <c r="AN41">
        <v>0</v>
      </c>
      <c r="AO41">
        <v>1</v>
      </c>
      <c r="AP41">
        <v>0</v>
      </c>
      <c r="AQ41">
        <v>0</v>
      </c>
      <c r="AR41">
        <v>0</v>
      </c>
      <c r="AS41" t="s">
        <v>3</v>
      </c>
      <c r="AT41">
        <v>2.08</v>
      </c>
      <c r="AU41" t="s">
        <v>3</v>
      </c>
      <c r="AV41">
        <v>0</v>
      </c>
      <c r="AW41">
        <v>2</v>
      </c>
      <c r="AX41">
        <v>52431486</v>
      </c>
      <c r="AY41">
        <v>1</v>
      </c>
      <c r="AZ41">
        <v>0</v>
      </c>
      <c r="BA41">
        <v>40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CX41">
        <f>Y41*Source!I42</f>
        <v>0</v>
      </c>
      <c r="CY41">
        <f>AB41</f>
        <v>740.94</v>
      </c>
      <c r="CZ41">
        <f>AF41</f>
        <v>740.94</v>
      </c>
      <c r="DA41">
        <f>AJ41</f>
        <v>1</v>
      </c>
      <c r="DB41">
        <f t="shared" si="0"/>
        <v>1541.16</v>
      </c>
      <c r="DC41">
        <f t="shared" si="1"/>
        <v>859.5</v>
      </c>
    </row>
    <row r="42" spans="1:107" x14ac:dyDescent="0.2">
      <c r="A42">
        <f>ROW(Source!A42)</f>
        <v>42</v>
      </c>
      <c r="B42">
        <v>52430918</v>
      </c>
      <c r="C42">
        <v>52431476</v>
      </c>
      <c r="D42">
        <v>51865003</v>
      </c>
      <c r="E42">
        <v>1</v>
      </c>
      <c r="F42">
        <v>1</v>
      </c>
      <c r="G42">
        <v>27</v>
      </c>
      <c r="H42">
        <v>2</v>
      </c>
      <c r="I42" t="s">
        <v>390</v>
      </c>
      <c r="J42" t="s">
        <v>391</v>
      </c>
      <c r="K42" t="s">
        <v>392</v>
      </c>
      <c r="L42">
        <v>1368</v>
      </c>
      <c r="N42">
        <v>1011</v>
      </c>
      <c r="O42" t="s">
        <v>84</v>
      </c>
      <c r="P42" t="s">
        <v>84</v>
      </c>
      <c r="Q42">
        <v>1</v>
      </c>
      <c r="W42">
        <v>0</v>
      </c>
      <c r="X42">
        <v>-1512295274</v>
      </c>
      <c r="Y42">
        <v>2.08</v>
      </c>
      <c r="AA42">
        <v>0</v>
      </c>
      <c r="AB42">
        <v>430.32</v>
      </c>
      <c r="AC42">
        <v>215.31</v>
      </c>
      <c r="AD42">
        <v>0</v>
      </c>
      <c r="AE42">
        <v>0</v>
      </c>
      <c r="AF42">
        <v>430.32</v>
      </c>
      <c r="AG42">
        <v>215.31</v>
      </c>
      <c r="AH42">
        <v>0</v>
      </c>
      <c r="AI42">
        <v>1</v>
      </c>
      <c r="AJ42">
        <v>1</v>
      </c>
      <c r="AK42">
        <v>1</v>
      </c>
      <c r="AL42">
        <v>1</v>
      </c>
      <c r="AN42">
        <v>0</v>
      </c>
      <c r="AO42">
        <v>1</v>
      </c>
      <c r="AP42">
        <v>0</v>
      </c>
      <c r="AQ42">
        <v>0</v>
      </c>
      <c r="AR42">
        <v>0</v>
      </c>
      <c r="AS42" t="s">
        <v>3</v>
      </c>
      <c r="AT42">
        <v>2.08</v>
      </c>
      <c r="AU42" t="s">
        <v>3</v>
      </c>
      <c r="AV42">
        <v>0</v>
      </c>
      <c r="AW42">
        <v>2</v>
      </c>
      <c r="AX42">
        <v>52431487</v>
      </c>
      <c r="AY42">
        <v>1</v>
      </c>
      <c r="AZ42">
        <v>0</v>
      </c>
      <c r="BA42">
        <v>41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CX42">
        <f>Y42*Source!I42</f>
        <v>0</v>
      </c>
      <c r="CY42">
        <f>AB42</f>
        <v>430.32</v>
      </c>
      <c r="CZ42">
        <f>AF42</f>
        <v>430.32</v>
      </c>
      <c r="DA42">
        <f>AJ42</f>
        <v>1</v>
      </c>
      <c r="DB42">
        <f t="shared" si="0"/>
        <v>895.07</v>
      </c>
      <c r="DC42">
        <f t="shared" si="1"/>
        <v>447.84</v>
      </c>
    </row>
    <row r="43" spans="1:107" x14ac:dyDescent="0.2">
      <c r="A43">
        <f>ROW(Source!A42)</f>
        <v>42</v>
      </c>
      <c r="B43">
        <v>52430918</v>
      </c>
      <c r="C43">
        <v>52431476</v>
      </c>
      <c r="D43">
        <v>51865006</v>
      </c>
      <c r="E43">
        <v>1</v>
      </c>
      <c r="F43">
        <v>1</v>
      </c>
      <c r="G43">
        <v>27</v>
      </c>
      <c r="H43">
        <v>2</v>
      </c>
      <c r="I43" t="s">
        <v>393</v>
      </c>
      <c r="J43" t="s">
        <v>394</v>
      </c>
      <c r="K43" t="s">
        <v>395</v>
      </c>
      <c r="L43">
        <v>1368</v>
      </c>
      <c r="N43">
        <v>1011</v>
      </c>
      <c r="O43" t="s">
        <v>84</v>
      </c>
      <c r="P43" t="s">
        <v>84</v>
      </c>
      <c r="Q43">
        <v>1</v>
      </c>
      <c r="W43">
        <v>0</v>
      </c>
      <c r="X43">
        <v>2042885981</v>
      </c>
      <c r="Y43">
        <v>0.81</v>
      </c>
      <c r="AA43">
        <v>0</v>
      </c>
      <c r="AB43">
        <v>2020.59</v>
      </c>
      <c r="AC43">
        <v>458.56</v>
      </c>
      <c r="AD43">
        <v>0</v>
      </c>
      <c r="AE43">
        <v>0</v>
      </c>
      <c r="AF43">
        <v>2020.59</v>
      </c>
      <c r="AG43">
        <v>458.56</v>
      </c>
      <c r="AH43">
        <v>0</v>
      </c>
      <c r="AI43">
        <v>1</v>
      </c>
      <c r="AJ43">
        <v>1</v>
      </c>
      <c r="AK43">
        <v>1</v>
      </c>
      <c r="AL43">
        <v>1</v>
      </c>
      <c r="AN43">
        <v>0</v>
      </c>
      <c r="AO43">
        <v>1</v>
      </c>
      <c r="AP43">
        <v>0</v>
      </c>
      <c r="AQ43">
        <v>0</v>
      </c>
      <c r="AR43">
        <v>0</v>
      </c>
      <c r="AS43" t="s">
        <v>3</v>
      </c>
      <c r="AT43">
        <v>0.81</v>
      </c>
      <c r="AU43" t="s">
        <v>3</v>
      </c>
      <c r="AV43">
        <v>0</v>
      </c>
      <c r="AW43">
        <v>2</v>
      </c>
      <c r="AX43">
        <v>52431488</v>
      </c>
      <c r="AY43">
        <v>1</v>
      </c>
      <c r="AZ43">
        <v>0</v>
      </c>
      <c r="BA43">
        <v>42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CX43">
        <f>Y43*Source!I42</f>
        <v>0</v>
      </c>
      <c r="CY43">
        <f>AB43</f>
        <v>2020.59</v>
      </c>
      <c r="CZ43">
        <f>AF43</f>
        <v>2020.59</v>
      </c>
      <c r="DA43">
        <f>AJ43</f>
        <v>1</v>
      </c>
      <c r="DB43">
        <f t="shared" si="0"/>
        <v>1636.68</v>
      </c>
      <c r="DC43">
        <f t="shared" si="1"/>
        <v>371.43</v>
      </c>
    </row>
    <row r="44" spans="1:107" x14ac:dyDescent="0.2">
      <c r="A44">
        <f>ROW(Source!A42)</f>
        <v>42</v>
      </c>
      <c r="B44">
        <v>52430918</v>
      </c>
      <c r="C44">
        <v>52431476</v>
      </c>
      <c r="D44">
        <v>51865030</v>
      </c>
      <c r="E44">
        <v>1</v>
      </c>
      <c r="F44">
        <v>1</v>
      </c>
      <c r="G44">
        <v>27</v>
      </c>
      <c r="H44">
        <v>2</v>
      </c>
      <c r="I44" t="s">
        <v>396</v>
      </c>
      <c r="J44" t="s">
        <v>397</v>
      </c>
      <c r="K44" t="s">
        <v>398</v>
      </c>
      <c r="L44">
        <v>1368</v>
      </c>
      <c r="N44">
        <v>1011</v>
      </c>
      <c r="O44" t="s">
        <v>84</v>
      </c>
      <c r="P44" t="s">
        <v>84</v>
      </c>
      <c r="Q44">
        <v>1</v>
      </c>
      <c r="W44">
        <v>0</v>
      </c>
      <c r="X44">
        <v>1116182101</v>
      </c>
      <c r="Y44">
        <v>1.94</v>
      </c>
      <c r="AA44">
        <v>0</v>
      </c>
      <c r="AB44">
        <v>1412.71</v>
      </c>
      <c r="AC44">
        <v>641.32000000000005</v>
      </c>
      <c r="AD44">
        <v>0</v>
      </c>
      <c r="AE44">
        <v>0</v>
      </c>
      <c r="AF44">
        <v>1412.71</v>
      </c>
      <c r="AG44">
        <v>641.32000000000005</v>
      </c>
      <c r="AH44">
        <v>0</v>
      </c>
      <c r="AI44">
        <v>1</v>
      </c>
      <c r="AJ44">
        <v>1</v>
      </c>
      <c r="AK44">
        <v>1</v>
      </c>
      <c r="AL44">
        <v>1</v>
      </c>
      <c r="AN44">
        <v>0</v>
      </c>
      <c r="AO44">
        <v>1</v>
      </c>
      <c r="AP44">
        <v>0</v>
      </c>
      <c r="AQ44">
        <v>0</v>
      </c>
      <c r="AR44">
        <v>0</v>
      </c>
      <c r="AS44" t="s">
        <v>3</v>
      </c>
      <c r="AT44">
        <v>1.94</v>
      </c>
      <c r="AU44" t="s">
        <v>3</v>
      </c>
      <c r="AV44">
        <v>0</v>
      </c>
      <c r="AW44">
        <v>2</v>
      </c>
      <c r="AX44">
        <v>52431489</v>
      </c>
      <c r="AY44">
        <v>1</v>
      </c>
      <c r="AZ44">
        <v>0</v>
      </c>
      <c r="BA44">
        <v>43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CX44">
        <f>Y44*Source!I42</f>
        <v>0</v>
      </c>
      <c r="CY44">
        <f>AB44</f>
        <v>1412.71</v>
      </c>
      <c r="CZ44">
        <f>AF44</f>
        <v>1412.71</v>
      </c>
      <c r="DA44">
        <f>AJ44</f>
        <v>1</v>
      </c>
      <c r="DB44">
        <f t="shared" si="0"/>
        <v>2740.66</v>
      </c>
      <c r="DC44">
        <f t="shared" si="1"/>
        <v>1244.1600000000001</v>
      </c>
    </row>
    <row r="45" spans="1:107" x14ac:dyDescent="0.2">
      <c r="A45">
        <f>ROW(Source!A42)</f>
        <v>42</v>
      </c>
      <c r="B45">
        <v>52430918</v>
      </c>
      <c r="C45">
        <v>52431476</v>
      </c>
      <c r="D45">
        <v>51864996</v>
      </c>
      <c r="E45">
        <v>1</v>
      </c>
      <c r="F45">
        <v>1</v>
      </c>
      <c r="G45">
        <v>27</v>
      </c>
      <c r="H45">
        <v>2</v>
      </c>
      <c r="I45" t="s">
        <v>399</v>
      </c>
      <c r="J45" t="s">
        <v>400</v>
      </c>
      <c r="K45" t="s">
        <v>401</v>
      </c>
      <c r="L45">
        <v>1368</v>
      </c>
      <c r="N45">
        <v>1011</v>
      </c>
      <c r="O45" t="s">
        <v>84</v>
      </c>
      <c r="P45" t="s">
        <v>84</v>
      </c>
      <c r="Q45">
        <v>1</v>
      </c>
      <c r="W45">
        <v>0</v>
      </c>
      <c r="X45">
        <v>2142121434</v>
      </c>
      <c r="Y45">
        <v>0.65</v>
      </c>
      <c r="AA45">
        <v>0</v>
      </c>
      <c r="AB45">
        <v>1213.3399999999999</v>
      </c>
      <c r="AC45">
        <v>461.6</v>
      </c>
      <c r="AD45">
        <v>0</v>
      </c>
      <c r="AE45">
        <v>0</v>
      </c>
      <c r="AF45">
        <v>1213.3399999999999</v>
      </c>
      <c r="AG45">
        <v>461.6</v>
      </c>
      <c r="AH45">
        <v>0</v>
      </c>
      <c r="AI45">
        <v>1</v>
      </c>
      <c r="AJ45">
        <v>1</v>
      </c>
      <c r="AK45">
        <v>1</v>
      </c>
      <c r="AL45">
        <v>1</v>
      </c>
      <c r="AN45">
        <v>0</v>
      </c>
      <c r="AO45">
        <v>1</v>
      </c>
      <c r="AP45">
        <v>0</v>
      </c>
      <c r="AQ45">
        <v>0</v>
      </c>
      <c r="AR45">
        <v>0</v>
      </c>
      <c r="AS45" t="s">
        <v>3</v>
      </c>
      <c r="AT45">
        <v>0.65</v>
      </c>
      <c r="AU45" t="s">
        <v>3</v>
      </c>
      <c r="AV45">
        <v>0</v>
      </c>
      <c r="AW45">
        <v>2</v>
      </c>
      <c r="AX45">
        <v>52431490</v>
      </c>
      <c r="AY45">
        <v>1</v>
      </c>
      <c r="AZ45">
        <v>0</v>
      </c>
      <c r="BA45">
        <v>44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CX45">
        <f>Y45*Source!I42</f>
        <v>0</v>
      </c>
      <c r="CY45">
        <f>AB45</f>
        <v>1213.3399999999999</v>
      </c>
      <c r="CZ45">
        <f>AF45</f>
        <v>1213.3399999999999</v>
      </c>
      <c r="DA45">
        <f>AJ45</f>
        <v>1</v>
      </c>
      <c r="DB45">
        <f t="shared" si="0"/>
        <v>788.67</v>
      </c>
      <c r="DC45">
        <f t="shared" si="1"/>
        <v>300.04000000000002</v>
      </c>
    </row>
    <row r="46" spans="1:107" x14ac:dyDescent="0.2">
      <c r="A46">
        <f>ROW(Source!A42)</f>
        <v>42</v>
      </c>
      <c r="B46">
        <v>52430918</v>
      </c>
      <c r="C46">
        <v>52431476</v>
      </c>
      <c r="D46">
        <v>51866959</v>
      </c>
      <c r="E46">
        <v>1</v>
      </c>
      <c r="F46">
        <v>1</v>
      </c>
      <c r="G46">
        <v>27</v>
      </c>
      <c r="H46">
        <v>3</v>
      </c>
      <c r="I46" t="s">
        <v>402</v>
      </c>
      <c r="J46" t="s">
        <v>403</v>
      </c>
      <c r="K46" t="s">
        <v>404</v>
      </c>
      <c r="L46">
        <v>1339</v>
      </c>
      <c r="N46">
        <v>1007</v>
      </c>
      <c r="O46" t="s">
        <v>28</v>
      </c>
      <c r="P46" t="s">
        <v>28</v>
      </c>
      <c r="Q46">
        <v>1</v>
      </c>
      <c r="W46">
        <v>0</v>
      </c>
      <c r="X46">
        <v>1152750853</v>
      </c>
      <c r="Y46">
        <v>110</v>
      </c>
      <c r="AA46">
        <v>590.78</v>
      </c>
      <c r="AB46">
        <v>0</v>
      </c>
      <c r="AC46">
        <v>0</v>
      </c>
      <c r="AD46">
        <v>0</v>
      </c>
      <c r="AE46">
        <v>590.78</v>
      </c>
      <c r="AF46">
        <v>0</v>
      </c>
      <c r="AG46">
        <v>0</v>
      </c>
      <c r="AH46">
        <v>0</v>
      </c>
      <c r="AI46">
        <v>1</v>
      </c>
      <c r="AJ46">
        <v>1</v>
      </c>
      <c r="AK46">
        <v>1</v>
      </c>
      <c r="AL46">
        <v>1</v>
      </c>
      <c r="AN46">
        <v>0</v>
      </c>
      <c r="AO46">
        <v>1</v>
      </c>
      <c r="AP46">
        <v>0</v>
      </c>
      <c r="AQ46">
        <v>0</v>
      </c>
      <c r="AR46">
        <v>0</v>
      </c>
      <c r="AS46" t="s">
        <v>3</v>
      </c>
      <c r="AT46">
        <v>110</v>
      </c>
      <c r="AU46" t="s">
        <v>3</v>
      </c>
      <c r="AV46">
        <v>0</v>
      </c>
      <c r="AW46">
        <v>2</v>
      </c>
      <c r="AX46">
        <v>52431491</v>
      </c>
      <c r="AY46">
        <v>1</v>
      </c>
      <c r="AZ46">
        <v>0</v>
      </c>
      <c r="BA46">
        <v>45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CX46">
        <f>Y46*Source!I42</f>
        <v>0</v>
      </c>
      <c r="CY46">
        <f>AA46</f>
        <v>590.78</v>
      </c>
      <c r="CZ46">
        <f>AE46</f>
        <v>590.78</v>
      </c>
      <c r="DA46">
        <f>AI46</f>
        <v>1</v>
      </c>
      <c r="DB46">
        <f t="shared" si="0"/>
        <v>64985.8</v>
      </c>
      <c r="DC46">
        <f t="shared" si="1"/>
        <v>0</v>
      </c>
    </row>
    <row r="47" spans="1:107" x14ac:dyDescent="0.2">
      <c r="A47">
        <f>ROW(Source!A42)</f>
        <v>42</v>
      </c>
      <c r="B47">
        <v>52430918</v>
      </c>
      <c r="C47">
        <v>52431476</v>
      </c>
      <c r="D47">
        <v>51867705</v>
      </c>
      <c r="E47">
        <v>1</v>
      </c>
      <c r="F47">
        <v>1</v>
      </c>
      <c r="G47">
        <v>27</v>
      </c>
      <c r="H47">
        <v>3</v>
      </c>
      <c r="I47" t="s">
        <v>405</v>
      </c>
      <c r="J47" t="s">
        <v>406</v>
      </c>
      <c r="K47" t="s">
        <v>407</v>
      </c>
      <c r="L47">
        <v>1339</v>
      </c>
      <c r="N47">
        <v>1007</v>
      </c>
      <c r="O47" t="s">
        <v>28</v>
      </c>
      <c r="P47" t="s">
        <v>28</v>
      </c>
      <c r="Q47">
        <v>1</v>
      </c>
      <c r="W47">
        <v>0</v>
      </c>
      <c r="X47">
        <v>1927597627</v>
      </c>
      <c r="Y47">
        <v>5</v>
      </c>
      <c r="AA47">
        <v>35.25</v>
      </c>
      <c r="AB47">
        <v>0</v>
      </c>
      <c r="AC47">
        <v>0</v>
      </c>
      <c r="AD47">
        <v>0</v>
      </c>
      <c r="AE47">
        <v>35.25</v>
      </c>
      <c r="AF47">
        <v>0</v>
      </c>
      <c r="AG47">
        <v>0</v>
      </c>
      <c r="AH47">
        <v>0</v>
      </c>
      <c r="AI47">
        <v>1</v>
      </c>
      <c r="AJ47">
        <v>1</v>
      </c>
      <c r="AK47">
        <v>1</v>
      </c>
      <c r="AL47">
        <v>1</v>
      </c>
      <c r="AN47">
        <v>0</v>
      </c>
      <c r="AO47">
        <v>1</v>
      </c>
      <c r="AP47">
        <v>0</v>
      </c>
      <c r="AQ47">
        <v>0</v>
      </c>
      <c r="AR47">
        <v>0</v>
      </c>
      <c r="AS47" t="s">
        <v>3</v>
      </c>
      <c r="AT47">
        <v>5</v>
      </c>
      <c r="AU47" t="s">
        <v>3</v>
      </c>
      <c r="AV47">
        <v>0</v>
      </c>
      <c r="AW47">
        <v>2</v>
      </c>
      <c r="AX47">
        <v>52431492</v>
      </c>
      <c r="AY47">
        <v>1</v>
      </c>
      <c r="AZ47">
        <v>0</v>
      </c>
      <c r="BA47">
        <v>46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CX47">
        <f>Y47*Source!I42</f>
        <v>0</v>
      </c>
      <c r="CY47">
        <f>AA47</f>
        <v>35.25</v>
      </c>
      <c r="CZ47">
        <f>AE47</f>
        <v>35.25</v>
      </c>
      <c r="DA47">
        <f>AI47</f>
        <v>1</v>
      </c>
      <c r="DB47">
        <f t="shared" si="0"/>
        <v>176.25</v>
      </c>
      <c r="DC47">
        <f t="shared" si="1"/>
        <v>0</v>
      </c>
    </row>
    <row r="48" spans="1:107" x14ac:dyDescent="0.2">
      <c r="A48">
        <f>ROW(Source!A43)</f>
        <v>43</v>
      </c>
      <c r="B48">
        <v>52430918</v>
      </c>
      <c r="C48">
        <v>52431493</v>
      </c>
      <c r="D48">
        <v>51848379</v>
      </c>
      <c r="E48">
        <v>27</v>
      </c>
      <c r="F48">
        <v>1</v>
      </c>
      <c r="G48">
        <v>27</v>
      </c>
      <c r="H48">
        <v>1</v>
      </c>
      <c r="I48" t="s">
        <v>378</v>
      </c>
      <c r="J48" t="s">
        <v>3</v>
      </c>
      <c r="K48" t="s">
        <v>379</v>
      </c>
      <c r="L48">
        <v>1191</v>
      </c>
      <c r="N48">
        <v>1013</v>
      </c>
      <c r="O48" t="s">
        <v>380</v>
      </c>
      <c r="P48" t="s">
        <v>380</v>
      </c>
      <c r="Q48">
        <v>1</v>
      </c>
      <c r="W48">
        <v>0</v>
      </c>
      <c r="X48">
        <v>476480486</v>
      </c>
      <c r="Y48">
        <v>72.95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1</v>
      </c>
      <c r="AJ48">
        <v>1</v>
      </c>
      <c r="AK48">
        <v>1</v>
      </c>
      <c r="AL48">
        <v>1</v>
      </c>
      <c r="AN48">
        <v>0</v>
      </c>
      <c r="AO48">
        <v>1</v>
      </c>
      <c r="AP48">
        <v>0</v>
      </c>
      <c r="AQ48">
        <v>0</v>
      </c>
      <c r="AR48">
        <v>0</v>
      </c>
      <c r="AS48" t="s">
        <v>3</v>
      </c>
      <c r="AT48">
        <v>72.95</v>
      </c>
      <c r="AU48" t="s">
        <v>3</v>
      </c>
      <c r="AV48">
        <v>1</v>
      </c>
      <c r="AW48">
        <v>2</v>
      </c>
      <c r="AX48">
        <v>52431499</v>
      </c>
      <c r="AY48">
        <v>1</v>
      </c>
      <c r="AZ48">
        <v>0</v>
      </c>
      <c r="BA48">
        <v>47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CX48">
        <f>Y48*Source!I43</f>
        <v>37.934000000000005</v>
      </c>
      <c r="CY48">
        <f>AD48</f>
        <v>0</v>
      </c>
      <c r="CZ48">
        <f>AH48</f>
        <v>0</v>
      </c>
      <c r="DA48">
        <f>AL48</f>
        <v>1</v>
      </c>
      <c r="DB48">
        <f t="shared" si="0"/>
        <v>0</v>
      </c>
      <c r="DC48">
        <f t="shared" si="1"/>
        <v>0</v>
      </c>
    </row>
    <row r="49" spans="1:107" x14ac:dyDescent="0.2">
      <c r="A49">
        <f>ROW(Source!A43)</f>
        <v>43</v>
      </c>
      <c r="B49">
        <v>52430918</v>
      </c>
      <c r="C49">
        <v>52431493</v>
      </c>
      <c r="D49">
        <v>51864920</v>
      </c>
      <c r="E49">
        <v>1</v>
      </c>
      <c r="F49">
        <v>1</v>
      </c>
      <c r="G49">
        <v>27</v>
      </c>
      <c r="H49">
        <v>2</v>
      </c>
      <c r="I49" t="s">
        <v>445</v>
      </c>
      <c r="J49" t="s">
        <v>446</v>
      </c>
      <c r="K49" t="s">
        <v>447</v>
      </c>
      <c r="L49">
        <v>1368</v>
      </c>
      <c r="N49">
        <v>1011</v>
      </c>
      <c r="O49" t="s">
        <v>84</v>
      </c>
      <c r="P49" t="s">
        <v>84</v>
      </c>
      <c r="Q49">
        <v>1</v>
      </c>
      <c r="W49">
        <v>0</v>
      </c>
      <c r="X49">
        <v>-1323805330</v>
      </c>
      <c r="Y49">
        <v>0.26</v>
      </c>
      <c r="AA49">
        <v>0</v>
      </c>
      <c r="AB49">
        <v>683.9</v>
      </c>
      <c r="AC49">
        <v>371.27</v>
      </c>
      <c r="AD49">
        <v>0</v>
      </c>
      <c r="AE49">
        <v>0</v>
      </c>
      <c r="AF49">
        <v>683.9</v>
      </c>
      <c r="AG49">
        <v>371.27</v>
      </c>
      <c r="AH49">
        <v>0</v>
      </c>
      <c r="AI49">
        <v>1</v>
      </c>
      <c r="AJ49">
        <v>1</v>
      </c>
      <c r="AK49">
        <v>1</v>
      </c>
      <c r="AL49">
        <v>1</v>
      </c>
      <c r="AN49">
        <v>0</v>
      </c>
      <c r="AO49">
        <v>1</v>
      </c>
      <c r="AP49">
        <v>0</v>
      </c>
      <c r="AQ49">
        <v>0</v>
      </c>
      <c r="AR49">
        <v>0</v>
      </c>
      <c r="AS49" t="s">
        <v>3</v>
      </c>
      <c r="AT49">
        <v>0.26</v>
      </c>
      <c r="AU49" t="s">
        <v>3</v>
      </c>
      <c r="AV49">
        <v>0</v>
      </c>
      <c r="AW49">
        <v>2</v>
      </c>
      <c r="AX49">
        <v>52431500</v>
      </c>
      <c r="AY49">
        <v>1</v>
      </c>
      <c r="AZ49">
        <v>0</v>
      </c>
      <c r="BA49">
        <v>48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CX49">
        <f>Y49*Source!I43</f>
        <v>0.13520000000000001</v>
      </c>
      <c r="CY49">
        <f>AB49</f>
        <v>683.9</v>
      </c>
      <c r="CZ49">
        <f>AF49</f>
        <v>683.9</v>
      </c>
      <c r="DA49">
        <f>AJ49</f>
        <v>1</v>
      </c>
      <c r="DB49">
        <f t="shared" si="0"/>
        <v>177.81</v>
      </c>
      <c r="DC49">
        <f t="shared" si="1"/>
        <v>96.53</v>
      </c>
    </row>
    <row r="50" spans="1:107" x14ac:dyDescent="0.2">
      <c r="A50">
        <f>ROW(Source!A43)</f>
        <v>43</v>
      </c>
      <c r="B50">
        <v>52430918</v>
      </c>
      <c r="C50">
        <v>52431493</v>
      </c>
      <c r="D50">
        <v>51868676</v>
      </c>
      <c r="E50">
        <v>1</v>
      </c>
      <c r="F50">
        <v>1</v>
      </c>
      <c r="G50">
        <v>27</v>
      </c>
      <c r="H50">
        <v>3</v>
      </c>
      <c r="I50" t="s">
        <v>448</v>
      </c>
      <c r="J50" t="s">
        <v>449</v>
      </c>
      <c r="K50" t="s">
        <v>450</v>
      </c>
      <c r="L50">
        <v>1339</v>
      </c>
      <c r="N50">
        <v>1007</v>
      </c>
      <c r="O50" t="s">
        <v>28</v>
      </c>
      <c r="P50" t="s">
        <v>28</v>
      </c>
      <c r="Q50">
        <v>1</v>
      </c>
      <c r="W50">
        <v>0</v>
      </c>
      <c r="X50">
        <v>426331755</v>
      </c>
      <c r="Y50">
        <v>4.3</v>
      </c>
      <c r="AA50">
        <v>3714.73</v>
      </c>
      <c r="AB50">
        <v>0</v>
      </c>
      <c r="AC50">
        <v>0</v>
      </c>
      <c r="AD50">
        <v>0</v>
      </c>
      <c r="AE50">
        <v>3714.73</v>
      </c>
      <c r="AF50">
        <v>0</v>
      </c>
      <c r="AG50">
        <v>0</v>
      </c>
      <c r="AH50">
        <v>0</v>
      </c>
      <c r="AI50">
        <v>1</v>
      </c>
      <c r="AJ50">
        <v>1</v>
      </c>
      <c r="AK50">
        <v>1</v>
      </c>
      <c r="AL50">
        <v>1</v>
      </c>
      <c r="AN50">
        <v>0</v>
      </c>
      <c r="AO50">
        <v>1</v>
      </c>
      <c r="AP50">
        <v>0</v>
      </c>
      <c r="AQ50">
        <v>0</v>
      </c>
      <c r="AR50">
        <v>0</v>
      </c>
      <c r="AS50" t="s">
        <v>3</v>
      </c>
      <c r="AT50">
        <v>4.3</v>
      </c>
      <c r="AU50" t="s">
        <v>3</v>
      </c>
      <c r="AV50">
        <v>0</v>
      </c>
      <c r="AW50">
        <v>2</v>
      </c>
      <c r="AX50">
        <v>52431501</v>
      </c>
      <c r="AY50">
        <v>1</v>
      </c>
      <c r="AZ50">
        <v>0</v>
      </c>
      <c r="BA50">
        <v>49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CX50">
        <f>Y50*Source!I43</f>
        <v>2.2359999999999998</v>
      </c>
      <c r="CY50">
        <f>AA50</f>
        <v>3714.73</v>
      </c>
      <c r="CZ50">
        <f>AE50</f>
        <v>3714.73</v>
      </c>
      <c r="DA50">
        <f>AI50</f>
        <v>1</v>
      </c>
      <c r="DB50">
        <f t="shared" si="0"/>
        <v>15973.34</v>
      </c>
      <c r="DC50">
        <f t="shared" si="1"/>
        <v>0</v>
      </c>
    </row>
    <row r="51" spans="1:107" x14ac:dyDescent="0.2">
      <c r="A51">
        <f>ROW(Source!A43)</f>
        <v>43</v>
      </c>
      <c r="B51">
        <v>52430918</v>
      </c>
      <c r="C51">
        <v>52431493</v>
      </c>
      <c r="D51">
        <v>51868752</v>
      </c>
      <c r="E51">
        <v>1</v>
      </c>
      <c r="F51">
        <v>1</v>
      </c>
      <c r="G51">
        <v>27</v>
      </c>
      <c r="H51">
        <v>3</v>
      </c>
      <c r="I51" t="s">
        <v>451</v>
      </c>
      <c r="J51" t="s">
        <v>452</v>
      </c>
      <c r="K51" t="s">
        <v>453</v>
      </c>
      <c r="L51">
        <v>1339</v>
      </c>
      <c r="N51">
        <v>1007</v>
      </c>
      <c r="O51" t="s">
        <v>28</v>
      </c>
      <c r="P51" t="s">
        <v>28</v>
      </c>
      <c r="Q51">
        <v>1</v>
      </c>
      <c r="W51">
        <v>0</v>
      </c>
      <c r="X51">
        <v>853860812</v>
      </c>
      <c r="Y51">
        <v>0.02</v>
      </c>
      <c r="AA51">
        <v>3392.59</v>
      </c>
      <c r="AB51">
        <v>0</v>
      </c>
      <c r="AC51">
        <v>0</v>
      </c>
      <c r="AD51">
        <v>0</v>
      </c>
      <c r="AE51">
        <v>3392.59</v>
      </c>
      <c r="AF51">
        <v>0</v>
      </c>
      <c r="AG51">
        <v>0</v>
      </c>
      <c r="AH51">
        <v>0</v>
      </c>
      <c r="AI51">
        <v>1</v>
      </c>
      <c r="AJ51">
        <v>1</v>
      </c>
      <c r="AK51">
        <v>1</v>
      </c>
      <c r="AL51">
        <v>1</v>
      </c>
      <c r="AN51">
        <v>0</v>
      </c>
      <c r="AO51">
        <v>1</v>
      </c>
      <c r="AP51">
        <v>0</v>
      </c>
      <c r="AQ51">
        <v>0</v>
      </c>
      <c r="AR51">
        <v>0</v>
      </c>
      <c r="AS51" t="s">
        <v>3</v>
      </c>
      <c r="AT51">
        <v>0.02</v>
      </c>
      <c r="AU51" t="s">
        <v>3</v>
      </c>
      <c r="AV51">
        <v>0</v>
      </c>
      <c r="AW51">
        <v>2</v>
      </c>
      <c r="AX51">
        <v>52431502</v>
      </c>
      <c r="AY51">
        <v>1</v>
      </c>
      <c r="AZ51">
        <v>0</v>
      </c>
      <c r="BA51">
        <v>50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CX51">
        <f>Y51*Source!I43</f>
        <v>1.0400000000000001E-2</v>
      </c>
      <c r="CY51">
        <f>AA51</f>
        <v>3392.59</v>
      </c>
      <c r="CZ51">
        <f>AE51</f>
        <v>3392.59</v>
      </c>
      <c r="DA51">
        <f>AI51</f>
        <v>1</v>
      </c>
      <c r="DB51">
        <f t="shared" si="0"/>
        <v>67.849999999999994</v>
      </c>
      <c r="DC51">
        <f t="shared" si="1"/>
        <v>0</v>
      </c>
    </row>
    <row r="52" spans="1:107" x14ac:dyDescent="0.2">
      <c r="A52">
        <f>ROW(Source!A43)</f>
        <v>43</v>
      </c>
      <c r="B52">
        <v>52430918</v>
      </c>
      <c r="C52">
        <v>52431493</v>
      </c>
      <c r="D52">
        <v>51869488</v>
      </c>
      <c r="E52">
        <v>1</v>
      </c>
      <c r="F52">
        <v>1</v>
      </c>
      <c r="G52">
        <v>27</v>
      </c>
      <c r="H52">
        <v>3</v>
      </c>
      <c r="I52" t="s">
        <v>454</v>
      </c>
      <c r="J52" t="s">
        <v>455</v>
      </c>
      <c r="K52" t="s">
        <v>456</v>
      </c>
      <c r="L52">
        <v>1339</v>
      </c>
      <c r="N52">
        <v>1007</v>
      </c>
      <c r="O52" t="s">
        <v>28</v>
      </c>
      <c r="P52" t="s">
        <v>28</v>
      </c>
      <c r="Q52">
        <v>1</v>
      </c>
      <c r="W52">
        <v>0</v>
      </c>
      <c r="X52">
        <v>892889602</v>
      </c>
      <c r="Y52">
        <v>1.6</v>
      </c>
      <c r="AA52">
        <v>11566.57</v>
      </c>
      <c r="AB52">
        <v>0</v>
      </c>
      <c r="AC52">
        <v>0</v>
      </c>
      <c r="AD52">
        <v>0</v>
      </c>
      <c r="AE52">
        <v>11566.57</v>
      </c>
      <c r="AF52">
        <v>0</v>
      </c>
      <c r="AG52">
        <v>0</v>
      </c>
      <c r="AH52">
        <v>0</v>
      </c>
      <c r="AI52">
        <v>1</v>
      </c>
      <c r="AJ52">
        <v>1</v>
      </c>
      <c r="AK52">
        <v>1</v>
      </c>
      <c r="AL52">
        <v>1</v>
      </c>
      <c r="AN52">
        <v>0</v>
      </c>
      <c r="AO52">
        <v>1</v>
      </c>
      <c r="AP52">
        <v>0</v>
      </c>
      <c r="AQ52">
        <v>0</v>
      </c>
      <c r="AR52">
        <v>0</v>
      </c>
      <c r="AS52" t="s">
        <v>3</v>
      </c>
      <c r="AT52">
        <v>1.6</v>
      </c>
      <c r="AU52" t="s">
        <v>3</v>
      </c>
      <c r="AV52">
        <v>0</v>
      </c>
      <c r="AW52">
        <v>2</v>
      </c>
      <c r="AX52">
        <v>52431503</v>
      </c>
      <c r="AY52">
        <v>1</v>
      </c>
      <c r="AZ52">
        <v>0</v>
      </c>
      <c r="BA52">
        <v>51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CX52">
        <f>Y52*Source!I43</f>
        <v>0.83200000000000007</v>
      </c>
      <c r="CY52">
        <f>AA52</f>
        <v>11566.57</v>
      </c>
      <c r="CZ52">
        <f>AE52</f>
        <v>11566.57</v>
      </c>
      <c r="DA52">
        <f>AI52</f>
        <v>1</v>
      </c>
      <c r="DB52">
        <f t="shared" si="0"/>
        <v>18506.509999999998</v>
      </c>
      <c r="DC52">
        <f t="shared" si="1"/>
        <v>0</v>
      </c>
    </row>
    <row r="53" spans="1:107" x14ac:dyDescent="0.2">
      <c r="A53">
        <f>ROW(Source!A44)</f>
        <v>44</v>
      </c>
      <c r="B53">
        <v>52430918</v>
      </c>
      <c r="C53">
        <v>52431504</v>
      </c>
      <c r="D53">
        <v>51848379</v>
      </c>
      <c r="E53">
        <v>27</v>
      </c>
      <c r="F53">
        <v>1</v>
      </c>
      <c r="G53">
        <v>27</v>
      </c>
      <c r="H53">
        <v>1</v>
      </c>
      <c r="I53" t="s">
        <v>378</v>
      </c>
      <c r="J53" t="s">
        <v>3</v>
      </c>
      <c r="K53" t="s">
        <v>379</v>
      </c>
      <c r="L53">
        <v>1191</v>
      </c>
      <c r="N53">
        <v>1013</v>
      </c>
      <c r="O53" t="s">
        <v>380</v>
      </c>
      <c r="P53" t="s">
        <v>380</v>
      </c>
      <c r="Q53">
        <v>1</v>
      </c>
      <c r="W53">
        <v>0</v>
      </c>
      <c r="X53">
        <v>476480486</v>
      </c>
      <c r="Y53">
        <v>902.75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1</v>
      </c>
      <c r="AJ53">
        <v>1</v>
      </c>
      <c r="AK53">
        <v>1</v>
      </c>
      <c r="AL53">
        <v>1</v>
      </c>
      <c r="AN53">
        <v>0</v>
      </c>
      <c r="AO53">
        <v>1</v>
      </c>
      <c r="AP53">
        <v>0</v>
      </c>
      <c r="AQ53">
        <v>0</v>
      </c>
      <c r="AR53">
        <v>0</v>
      </c>
      <c r="AS53" t="s">
        <v>3</v>
      </c>
      <c r="AT53">
        <v>902.75</v>
      </c>
      <c r="AU53" t="s">
        <v>3</v>
      </c>
      <c r="AV53">
        <v>1</v>
      </c>
      <c r="AW53">
        <v>2</v>
      </c>
      <c r="AX53">
        <v>52431517</v>
      </c>
      <c r="AY53">
        <v>1</v>
      </c>
      <c r="AZ53">
        <v>0</v>
      </c>
      <c r="BA53">
        <v>52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CX53">
        <f>Y53*Source!I44</f>
        <v>36.11</v>
      </c>
      <c r="CY53">
        <f>AD53</f>
        <v>0</v>
      </c>
      <c r="CZ53">
        <f>AH53</f>
        <v>0</v>
      </c>
      <c r="DA53">
        <f>AL53</f>
        <v>1</v>
      </c>
      <c r="DB53">
        <f t="shared" si="0"/>
        <v>0</v>
      </c>
      <c r="DC53">
        <f t="shared" si="1"/>
        <v>0</v>
      </c>
    </row>
    <row r="54" spans="1:107" x14ac:dyDescent="0.2">
      <c r="A54">
        <f>ROW(Source!A44)</f>
        <v>44</v>
      </c>
      <c r="B54">
        <v>52430918</v>
      </c>
      <c r="C54">
        <v>52431504</v>
      </c>
      <c r="D54">
        <v>51864800</v>
      </c>
      <c r="E54">
        <v>1</v>
      </c>
      <c r="F54">
        <v>1</v>
      </c>
      <c r="G54">
        <v>27</v>
      </c>
      <c r="H54">
        <v>2</v>
      </c>
      <c r="I54" t="s">
        <v>91</v>
      </c>
      <c r="J54" t="s">
        <v>93</v>
      </c>
      <c r="K54" t="s">
        <v>92</v>
      </c>
      <c r="L54">
        <v>1368</v>
      </c>
      <c r="N54">
        <v>1011</v>
      </c>
      <c r="O54" t="s">
        <v>84</v>
      </c>
      <c r="P54" t="s">
        <v>84</v>
      </c>
      <c r="Q54">
        <v>1</v>
      </c>
      <c r="W54">
        <v>1</v>
      </c>
      <c r="X54">
        <v>-1957514721</v>
      </c>
      <c r="Y54">
        <v>-0.09</v>
      </c>
      <c r="AA54">
        <v>0</v>
      </c>
      <c r="AB54">
        <v>1009.65</v>
      </c>
      <c r="AC54">
        <v>554.42999999999995</v>
      </c>
      <c r="AD54">
        <v>0</v>
      </c>
      <c r="AE54">
        <v>0</v>
      </c>
      <c r="AF54">
        <v>1009.65</v>
      </c>
      <c r="AG54">
        <v>554.42999999999995</v>
      </c>
      <c r="AH54">
        <v>0</v>
      </c>
      <c r="AI54">
        <v>1</v>
      </c>
      <c r="AJ54">
        <v>1</v>
      </c>
      <c r="AK54">
        <v>1</v>
      </c>
      <c r="AL54">
        <v>1</v>
      </c>
      <c r="AN54">
        <v>0</v>
      </c>
      <c r="AO54">
        <v>1</v>
      </c>
      <c r="AP54">
        <v>0</v>
      </c>
      <c r="AQ54">
        <v>0</v>
      </c>
      <c r="AR54">
        <v>0</v>
      </c>
      <c r="AS54" t="s">
        <v>3</v>
      </c>
      <c r="AT54">
        <v>-0.09</v>
      </c>
      <c r="AU54" t="s">
        <v>3</v>
      </c>
      <c r="AV54">
        <v>0</v>
      </c>
      <c r="AW54">
        <v>2</v>
      </c>
      <c r="AX54">
        <v>52431518</v>
      </c>
      <c r="AY54">
        <v>1</v>
      </c>
      <c r="AZ54">
        <v>6144</v>
      </c>
      <c r="BA54">
        <v>53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CX54">
        <f>Y54*Source!I44</f>
        <v>-3.5999999999999999E-3</v>
      </c>
      <c r="CY54">
        <f>AB54</f>
        <v>1009.65</v>
      </c>
      <c r="CZ54">
        <f>AF54</f>
        <v>1009.65</v>
      </c>
      <c r="DA54">
        <f>AJ54</f>
        <v>1</v>
      </c>
      <c r="DB54">
        <f t="shared" si="0"/>
        <v>-90.87</v>
      </c>
      <c r="DC54">
        <f t="shared" si="1"/>
        <v>-49.9</v>
      </c>
    </row>
    <row r="55" spans="1:107" x14ac:dyDescent="0.2">
      <c r="A55">
        <f>ROW(Source!A44)</f>
        <v>44</v>
      </c>
      <c r="B55">
        <v>52430918</v>
      </c>
      <c r="C55">
        <v>52431504</v>
      </c>
      <c r="D55">
        <v>51865257</v>
      </c>
      <c r="E55">
        <v>1</v>
      </c>
      <c r="F55">
        <v>1</v>
      </c>
      <c r="G55">
        <v>27</v>
      </c>
      <c r="H55">
        <v>2</v>
      </c>
      <c r="I55" t="s">
        <v>87</v>
      </c>
      <c r="J55" t="s">
        <v>89</v>
      </c>
      <c r="K55" t="s">
        <v>88</v>
      </c>
      <c r="L55">
        <v>1368</v>
      </c>
      <c r="N55">
        <v>1011</v>
      </c>
      <c r="O55" t="s">
        <v>84</v>
      </c>
      <c r="P55" t="s">
        <v>84</v>
      </c>
      <c r="Q55">
        <v>1</v>
      </c>
      <c r="W55">
        <v>1</v>
      </c>
      <c r="X55">
        <v>-1757825014</v>
      </c>
      <c r="Y55">
        <v>-14.5</v>
      </c>
      <c r="AA55">
        <v>0</v>
      </c>
      <c r="AB55">
        <v>27.21</v>
      </c>
      <c r="AC55">
        <v>0.13</v>
      </c>
      <c r="AD55">
        <v>0</v>
      </c>
      <c r="AE55">
        <v>0</v>
      </c>
      <c r="AF55">
        <v>27.21</v>
      </c>
      <c r="AG55">
        <v>0.13</v>
      </c>
      <c r="AH55">
        <v>0</v>
      </c>
      <c r="AI55">
        <v>1</v>
      </c>
      <c r="AJ55">
        <v>1</v>
      </c>
      <c r="AK55">
        <v>1</v>
      </c>
      <c r="AL55">
        <v>1</v>
      </c>
      <c r="AN55">
        <v>0</v>
      </c>
      <c r="AO55">
        <v>1</v>
      </c>
      <c r="AP55">
        <v>0</v>
      </c>
      <c r="AQ55">
        <v>0</v>
      </c>
      <c r="AR55">
        <v>0</v>
      </c>
      <c r="AS55" t="s">
        <v>3</v>
      </c>
      <c r="AT55">
        <v>-14.5</v>
      </c>
      <c r="AU55" t="s">
        <v>3</v>
      </c>
      <c r="AV55">
        <v>0</v>
      </c>
      <c r="AW55">
        <v>2</v>
      </c>
      <c r="AX55">
        <v>52431519</v>
      </c>
      <c r="AY55">
        <v>1</v>
      </c>
      <c r="AZ55">
        <v>6144</v>
      </c>
      <c r="BA55">
        <v>54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CX55">
        <f>Y55*Source!I44</f>
        <v>-0.57999999999999996</v>
      </c>
      <c r="CY55">
        <f>AB55</f>
        <v>27.21</v>
      </c>
      <c r="CZ55">
        <f>AF55</f>
        <v>27.21</v>
      </c>
      <c r="DA55">
        <f>AJ55</f>
        <v>1</v>
      </c>
      <c r="DB55">
        <f t="shared" si="0"/>
        <v>-394.55</v>
      </c>
      <c r="DC55">
        <f t="shared" si="1"/>
        <v>-1.89</v>
      </c>
    </row>
    <row r="56" spans="1:107" x14ac:dyDescent="0.2">
      <c r="A56">
        <f>ROW(Source!A44)</f>
        <v>44</v>
      </c>
      <c r="B56">
        <v>52430918</v>
      </c>
      <c r="C56">
        <v>52431504</v>
      </c>
      <c r="D56">
        <v>51865090</v>
      </c>
      <c r="E56">
        <v>1</v>
      </c>
      <c r="F56">
        <v>1</v>
      </c>
      <c r="G56">
        <v>27</v>
      </c>
      <c r="H56">
        <v>2</v>
      </c>
      <c r="I56" t="s">
        <v>82</v>
      </c>
      <c r="J56" t="s">
        <v>85</v>
      </c>
      <c r="K56" t="s">
        <v>83</v>
      </c>
      <c r="L56">
        <v>1368</v>
      </c>
      <c r="N56">
        <v>1011</v>
      </c>
      <c r="O56" t="s">
        <v>84</v>
      </c>
      <c r="P56" t="s">
        <v>84</v>
      </c>
      <c r="Q56">
        <v>1</v>
      </c>
      <c r="W56">
        <v>1</v>
      </c>
      <c r="X56">
        <v>1349119844</v>
      </c>
      <c r="Y56">
        <v>-5.44</v>
      </c>
      <c r="AA56">
        <v>0</v>
      </c>
      <c r="AB56">
        <v>10.82</v>
      </c>
      <c r="AC56">
        <v>2.97</v>
      </c>
      <c r="AD56">
        <v>0</v>
      </c>
      <c r="AE56">
        <v>0</v>
      </c>
      <c r="AF56">
        <v>10.82</v>
      </c>
      <c r="AG56">
        <v>2.97</v>
      </c>
      <c r="AH56">
        <v>0</v>
      </c>
      <c r="AI56">
        <v>1</v>
      </c>
      <c r="AJ56">
        <v>1</v>
      </c>
      <c r="AK56">
        <v>1</v>
      </c>
      <c r="AL56">
        <v>1</v>
      </c>
      <c r="AN56">
        <v>0</v>
      </c>
      <c r="AO56">
        <v>1</v>
      </c>
      <c r="AP56">
        <v>0</v>
      </c>
      <c r="AQ56">
        <v>0</v>
      </c>
      <c r="AR56">
        <v>0</v>
      </c>
      <c r="AS56" t="s">
        <v>3</v>
      </c>
      <c r="AT56">
        <v>-5.44</v>
      </c>
      <c r="AU56" t="s">
        <v>3</v>
      </c>
      <c r="AV56">
        <v>0</v>
      </c>
      <c r="AW56">
        <v>2</v>
      </c>
      <c r="AX56">
        <v>52431520</v>
      </c>
      <c r="AY56">
        <v>1</v>
      </c>
      <c r="AZ56">
        <v>6144</v>
      </c>
      <c r="BA56">
        <v>55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CX56">
        <f>Y56*Source!I44</f>
        <v>-0.21760000000000002</v>
      </c>
      <c r="CY56">
        <f>AB56</f>
        <v>10.82</v>
      </c>
      <c r="CZ56">
        <f>AF56</f>
        <v>10.82</v>
      </c>
      <c r="DA56">
        <f>AJ56</f>
        <v>1</v>
      </c>
      <c r="DB56">
        <f t="shared" si="0"/>
        <v>-58.86</v>
      </c>
      <c r="DC56">
        <f t="shared" si="1"/>
        <v>-16.16</v>
      </c>
    </row>
    <row r="57" spans="1:107" x14ac:dyDescent="0.2">
      <c r="A57">
        <f>ROW(Source!A44)</f>
        <v>44</v>
      </c>
      <c r="B57">
        <v>52430918</v>
      </c>
      <c r="C57">
        <v>52431504</v>
      </c>
      <c r="D57">
        <v>51867612</v>
      </c>
      <c r="E57">
        <v>1</v>
      </c>
      <c r="F57">
        <v>1</v>
      </c>
      <c r="G57">
        <v>27</v>
      </c>
      <c r="H57">
        <v>3</v>
      </c>
      <c r="I57" t="s">
        <v>99</v>
      </c>
      <c r="J57" t="s">
        <v>102</v>
      </c>
      <c r="K57" t="s">
        <v>100</v>
      </c>
      <c r="L57">
        <v>1348</v>
      </c>
      <c r="N57">
        <v>1009</v>
      </c>
      <c r="O57" t="s">
        <v>101</v>
      </c>
      <c r="P57" t="s">
        <v>101</v>
      </c>
      <c r="Q57">
        <v>1000</v>
      </c>
      <c r="W57">
        <v>1</v>
      </c>
      <c r="X57">
        <v>-672771621</v>
      </c>
      <c r="Y57">
        <v>-0.02</v>
      </c>
      <c r="AA57">
        <v>110781.14</v>
      </c>
      <c r="AB57">
        <v>0</v>
      </c>
      <c r="AC57">
        <v>0</v>
      </c>
      <c r="AD57">
        <v>0</v>
      </c>
      <c r="AE57">
        <v>110781.14</v>
      </c>
      <c r="AF57">
        <v>0</v>
      </c>
      <c r="AG57">
        <v>0</v>
      </c>
      <c r="AH57">
        <v>0</v>
      </c>
      <c r="AI57">
        <v>1</v>
      </c>
      <c r="AJ57">
        <v>1</v>
      </c>
      <c r="AK57">
        <v>1</v>
      </c>
      <c r="AL57">
        <v>1</v>
      </c>
      <c r="AN57">
        <v>0</v>
      </c>
      <c r="AO57">
        <v>1</v>
      </c>
      <c r="AP57">
        <v>0</v>
      </c>
      <c r="AQ57">
        <v>0</v>
      </c>
      <c r="AR57">
        <v>0</v>
      </c>
      <c r="AS57" t="s">
        <v>3</v>
      </c>
      <c r="AT57">
        <v>-0.02</v>
      </c>
      <c r="AU57" t="s">
        <v>3</v>
      </c>
      <c r="AV57">
        <v>0</v>
      </c>
      <c r="AW57">
        <v>2</v>
      </c>
      <c r="AX57">
        <v>52431521</v>
      </c>
      <c r="AY57">
        <v>1</v>
      </c>
      <c r="AZ57">
        <v>6144</v>
      </c>
      <c r="BA57">
        <v>56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CX57">
        <f>Y57*Source!I44</f>
        <v>-8.0000000000000004E-4</v>
      </c>
      <c r="CY57">
        <f t="shared" ref="CY57:CY64" si="2">AA57</f>
        <v>110781.14</v>
      </c>
      <c r="CZ57">
        <f t="shared" ref="CZ57:CZ64" si="3">AE57</f>
        <v>110781.14</v>
      </c>
      <c r="DA57">
        <f t="shared" ref="DA57:DA64" si="4">AI57</f>
        <v>1</v>
      </c>
      <c r="DB57">
        <f t="shared" si="0"/>
        <v>-2215.62</v>
      </c>
      <c r="DC57">
        <f t="shared" si="1"/>
        <v>0</v>
      </c>
    </row>
    <row r="58" spans="1:107" x14ac:dyDescent="0.2">
      <c r="A58">
        <f>ROW(Source!A44)</f>
        <v>44</v>
      </c>
      <c r="B58">
        <v>52430918</v>
      </c>
      <c r="C58">
        <v>52431504</v>
      </c>
      <c r="D58">
        <v>51866048</v>
      </c>
      <c r="E58">
        <v>1</v>
      </c>
      <c r="F58">
        <v>1</v>
      </c>
      <c r="G58">
        <v>27</v>
      </c>
      <c r="H58">
        <v>3</v>
      </c>
      <c r="I58" t="s">
        <v>77</v>
      </c>
      <c r="J58" t="s">
        <v>80</v>
      </c>
      <c r="K58" t="s">
        <v>78</v>
      </c>
      <c r="L58">
        <v>1356</v>
      </c>
      <c r="N58">
        <v>1010</v>
      </c>
      <c r="O58" t="s">
        <v>79</v>
      </c>
      <c r="P58" t="s">
        <v>79</v>
      </c>
      <c r="Q58">
        <v>1000</v>
      </c>
      <c r="W58">
        <v>1</v>
      </c>
      <c r="X58">
        <v>-477329452</v>
      </c>
      <c r="Y58">
        <v>-3.6999999999999998E-2</v>
      </c>
      <c r="AA58">
        <v>10419.43</v>
      </c>
      <c r="AB58">
        <v>0</v>
      </c>
      <c r="AC58">
        <v>0</v>
      </c>
      <c r="AD58">
        <v>0</v>
      </c>
      <c r="AE58">
        <v>10419.43</v>
      </c>
      <c r="AF58">
        <v>0</v>
      </c>
      <c r="AG58">
        <v>0</v>
      </c>
      <c r="AH58">
        <v>0</v>
      </c>
      <c r="AI58">
        <v>1</v>
      </c>
      <c r="AJ58">
        <v>1</v>
      </c>
      <c r="AK58">
        <v>1</v>
      </c>
      <c r="AL58">
        <v>1</v>
      </c>
      <c r="AN58">
        <v>0</v>
      </c>
      <c r="AO58">
        <v>1</v>
      </c>
      <c r="AP58">
        <v>0</v>
      </c>
      <c r="AQ58">
        <v>0</v>
      </c>
      <c r="AR58">
        <v>0</v>
      </c>
      <c r="AS58" t="s">
        <v>3</v>
      </c>
      <c r="AT58">
        <v>-3.6999999999999998E-2</v>
      </c>
      <c r="AU58" t="s">
        <v>3</v>
      </c>
      <c r="AV58">
        <v>0</v>
      </c>
      <c r="AW58">
        <v>2</v>
      </c>
      <c r="AX58">
        <v>52431522</v>
      </c>
      <c r="AY58">
        <v>1</v>
      </c>
      <c r="AZ58">
        <v>6144</v>
      </c>
      <c r="BA58">
        <v>57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CX58">
        <f>Y58*Source!I44</f>
        <v>-1.48E-3</v>
      </c>
      <c r="CY58">
        <f t="shared" si="2"/>
        <v>10419.43</v>
      </c>
      <c r="CZ58">
        <f t="shared" si="3"/>
        <v>10419.43</v>
      </c>
      <c r="DA58">
        <f t="shared" si="4"/>
        <v>1</v>
      </c>
      <c r="DB58">
        <f t="shared" si="0"/>
        <v>-385.52</v>
      </c>
      <c r="DC58">
        <f t="shared" si="1"/>
        <v>0</v>
      </c>
    </row>
    <row r="59" spans="1:107" x14ac:dyDescent="0.2">
      <c r="A59">
        <f>ROW(Source!A44)</f>
        <v>44</v>
      </c>
      <c r="B59">
        <v>52430918</v>
      </c>
      <c r="C59">
        <v>52431504</v>
      </c>
      <c r="D59">
        <v>51868609</v>
      </c>
      <c r="E59">
        <v>1</v>
      </c>
      <c r="F59">
        <v>1</v>
      </c>
      <c r="G59">
        <v>27</v>
      </c>
      <c r="H59">
        <v>3</v>
      </c>
      <c r="I59" t="s">
        <v>95</v>
      </c>
      <c r="J59" t="s">
        <v>97</v>
      </c>
      <c r="K59" t="s">
        <v>96</v>
      </c>
      <c r="L59">
        <v>1339</v>
      </c>
      <c r="N59">
        <v>1007</v>
      </c>
      <c r="O59" t="s">
        <v>28</v>
      </c>
      <c r="P59" t="s">
        <v>28</v>
      </c>
      <c r="Q59">
        <v>1</v>
      </c>
      <c r="W59">
        <v>1</v>
      </c>
      <c r="X59">
        <v>395141172</v>
      </c>
      <c r="Y59">
        <v>-5</v>
      </c>
      <c r="AA59">
        <v>3040.38</v>
      </c>
      <c r="AB59">
        <v>0</v>
      </c>
      <c r="AC59">
        <v>0</v>
      </c>
      <c r="AD59">
        <v>0</v>
      </c>
      <c r="AE59">
        <v>3040.38</v>
      </c>
      <c r="AF59">
        <v>0</v>
      </c>
      <c r="AG59">
        <v>0</v>
      </c>
      <c r="AH59">
        <v>0</v>
      </c>
      <c r="AI59">
        <v>1</v>
      </c>
      <c r="AJ59">
        <v>1</v>
      </c>
      <c r="AK59">
        <v>1</v>
      </c>
      <c r="AL59">
        <v>1</v>
      </c>
      <c r="AN59">
        <v>0</v>
      </c>
      <c r="AO59">
        <v>1</v>
      </c>
      <c r="AP59">
        <v>0</v>
      </c>
      <c r="AQ59">
        <v>0</v>
      </c>
      <c r="AR59">
        <v>0</v>
      </c>
      <c r="AS59" t="s">
        <v>3</v>
      </c>
      <c r="AT59">
        <v>-5</v>
      </c>
      <c r="AU59" t="s">
        <v>3</v>
      </c>
      <c r="AV59">
        <v>0</v>
      </c>
      <c r="AW59">
        <v>2</v>
      </c>
      <c r="AX59">
        <v>52431523</v>
      </c>
      <c r="AY59">
        <v>1</v>
      </c>
      <c r="AZ59">
        <v>6144</v>
      </c>
      <c r="BA59">
        <v>58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CX59">
        <f>Y59*Source!I44</f>
        <v>-0.2</v>
      </c>
      <c r="CY59">
        <f t="shared" si="2"/>
        <v>3040.38</v>
      </c>
      <c r="CZ59">
        <f t="shared" si="3"/>
        <v>3040.38</v>
      </c>
      <c r="DA59">
        <f t="shared" si="4"/>
        <v>1</v>
      </c>
      <c r="DB59">
        <f t="shared" si="0"/>
        <v>-15201.9</v>
      </c>
      <c r="DC59">
        <f t="shared" si="1"/>
        <v>0</v>
      </c>
    </row>
    <row r="60" spans="1:107" x14ac:dyDescent="0.2">
      <c r="A60">
        <f>ROW(Source!A44)</f>
        <v>44</v>
      </c>
      <c r="B60">
        <v>52430918</v>
      </c>
      <c r="C60">
        <v>52431504</v>
      </c>
      <c r="D60">
        <v>51868749</v>
      </c>
      <c r="E60">
        <v>1</v>
      </c>
      <c r="F60">
        <v>1</v>
      </c>
      <c r="G60">
        <v>27</v>
      </c>
      <c r="H60">
        <v>3</v>
      </c>
      <c r="I60" t="s">
        <v>457</v>
      </c>
      <c r="J60" t="s">
        <v>458</v>
      </c>
      <c r="K60" t="s">
        <v>459</v>
      </c>
      <c r="L60">
        <v>1339</v>
      </c>
      <c r="N60">
        <v>1007</v>
      </c>
      <c r="O60" t="s">
        <v>28</v>
      </c>
      <c r="P60" t="s">
        <v>28</v>
      </c>
      <c r="Q60">
        <v>1</v>
      </c>
      <c r="W60">
        <v>0</v>
      </c>
      <c r="X60">
        <v>416525707</v>
      </c>
      <c r="Y60">
        <v>1.4999999999999999E-2</v>
      </c>
      <c r="AA60">
        <v>3323.4</v>
      </c>
      <c r="AB60">
        <v>0</v>
      </c>
      <c r="AC60">
        <v>0</v>
      </c>
      <c r="AD60">
        <v>0</v>
      </c>
      <c r="AE60">
        <v>3323.4</v>
      </c>
      <c r="AF60">
        <v>0</v>
      </c>
      <c r="AG60">
        <v>0</v>
      </c>
      <c r="AH60">
        <v>0</v>
      </c>
      <c r="AI60">
        <v>1</v>
      </c>
      <c r="AJ60">
        <v>1</v>
      </c>
      <c r="AK60">
        <v>1</v>
      </c>
      <c r="AL60">
        <v>1</v>
      </c>
      <c r="AN60">
        <v>0</v>
      </c>
      <c r="AO60">
        <v>1</v>
      </c>
      <c r="AP60">
        <v>0</v>
      </c>
      <c r="AQ60">
        <v>0</v>
      </c>
      <c r="AR60">
        <v>0</v>
      </c>
      <c r="AS60" t="s">
        <v>3</v>
      </c>
      <c r="AT60">
        <v>1.4999999999999999E-2</v>
      </c>
      <c r="AU60" t="s">
        <v>3</v>
      </c>
      <c r="AV60">
        <v>0</v>
      </c>
      <c r="AW60">
        <v>2</v>
      </c>
      <c r="AX60">
        <v>52431524</v>
      </c>
      <c r="AY60">
        <v>1</v>
      </c>
      <c r="AZ60">
        <v>0</v>
      </c>
      <c r="BA60">
        <v>59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CX60">
        <f>Y60*Source!I44</f>
        <v>5.9999999999999995E-4</v>
      </c>
      <c r="CY60">
        <f t="shared" si="2"/>
        <v>3323.4</v>
      </c>
      <c r="CZ60">
        <f t="shared" si="3"/>
        <v>3323.4</v>
      </c>
      <c r="DA60">
        <f t="shared" si="4"/>
        <v>1</v>
      </c>
      <c r="DB60">
        <f t="shared" si="0"/>
        <v>49.85</v>
      </c>
      <c r="DC60">
        <f t="shared" si="1"/>
        <v>0</v>
      </c>
    </row>
    <row r="61" spans="1:107" x14ac:dyDescent="0.2">
      <c r="A61">
        <f>ROW(Source!A44)</f>
        <v>44</v>
      </c>
      <c r="B61">
        <v>52430918</v>
      </c>
      <c r="C61">
        <v>52431504</v>
      </c>
      <c r="D61">
        <v>0</v>
      </c>
      <c r="E61">
        <v>0</v>
      </c>
      <c r="F61">
        <v>1</v>
      </c>
      <c r="G61">
        <v>27</v>
      </c>
      <c r="H61">
        <v>3</v>
      </c>
      <c r="I61" t="s">
        <v>104</v>
      </c>
      <c r="J61" t="s">
        <v>3</v>
      </c>
      <c r="K61" t="s">
        <v>105</v>
      </c>
      <c r="L61">
        <v>1354</v>
      </c>
      <c r="N61">
        <v>1010</v>
      </c>
      <c r="O61" t="s">
        <v>106</v>
      </c>
      <c r="P61" t="s">
        <v>106</v>
      </c>
      <c r="Q61">
        <v>1</v>
      </c>
      <c r="W61">
        <v>0</v>
      </c>
      <c r="X61">
        <v>-292158938</v>
      </c>
      <c r="Y61">
        <v>25</v>
      </c>
      <c r="AA61">
        <v>17250</v>
      </c>
      <c r="AB61">
        <v>0</v>
      </c>
      <c r="AC61">
        <v>0</v>
      </c>
      <c r="AD61">
        <v>0</v>
      </c>
      <c r="AE61">
        <v>17250</v>
      </c>
      <c r="AF61">
        <v>0</v>
      </c>
      <c r="AG61">
        <v>0</v>
      </c>
      <c r="AH61">
        <v>0</v>
      </c>
      <c r="AI61">
        <v>1</v>
      </c>
      <c r="AJ61">
        <v>1</v>
      </c>
      <c r="AK61">
        <v>1</v>
      </c>
      <c r="AL61">
        <v>1</v>
      </c>
      <c r="AN61">
        <v>0</v>
      </c>
      <c r="AO61">
        <v>0</v>
      </c>
      <c r="AP61">
        <v>0</v>
      </c>
      <c r="AQ61">
        <v>0</v>
      </c>
      <c r="AR61">
        <v>0</v>
      </c>
      <c r="AS61" t="s">
        <v>3</v>
      </c>
      <c r="AT61">
        <v>25</v>
      </c>
      <c r="AU61" t="s">
        <v>3</v>
      </c>
      <c r="AV61">
        <v>0</v>
      </c>
      <c r="AW61">
        <v>1</v>
      </c>
      <c r="AX61">
        <v>-1</v>
      </c>
      <c r="AY61">
        <v>0</v>
      </c>
      <c r="AZ61">
        <v>0</v>
      </c>
      <c r="BA61" t="s">
        <v>3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CX61">
        <f>Y61*Source!I44</f>
        <v>1</v>
      </c>
      <c r="CY61">
        <f t="shared" si="2"/>
        <v>17250</v>
      </c>
      <c r="CZ61">
        <f t="shared" si="3"/>
        <v>17250</v>
      </c>
      <c r="DA61">
        <f t="shared" si="4"/>
        <v>1</v>
      </c>
      <c r="DB61">
        <f t="shared" si="0"/>
        <v>431250</v>
      </c>
      <c r="DC61">
        <f t="shared" si="1"/>
        <v>0</v>
      </c>
    </row>
    <row r="62" spans="1:107" x14ac:dyDescent="0.2">
      <c r="A62">
        <f>ROW(Source!A44)</f>
        <v>44</v>
      </c>
      <c r="B62">
        <v>52430918</v>
      </c>
      <c r="C62">
        <v>52431504</v>
      </c>
      <c r="D62">
        <v>0</v>
      </c>
      <c r="E62">
        <v>0</v>
      </c>
      <c r="F62">
        <v>1</v>
      </c>
      <c r="G62">
        <v>27</v>
      </c>
      <c r="H62">
        <v>3</v>
      </c>
      <c r="I62" t="s">
        <v>104</v>
      </c>
      <c r="J62" t="s">
        <v>3</v>
      </c>
      <c r="K62" t="s">
        <v>110</v>
      </c>
      <c r="L62">
        <v>1354</v>
      </c>
      <c r="N62">
        <v>1010</v>
      </c>
      <c r="O62" t="s">
        <v>106</v>
      </c>
      <c r="P62" t="s">
        <v>106</v>
      </c>
      <c r="Q62">
        <v>1</v>
      </c>
      <c r="W62">
        <v>0</v>
      </c>
      <c r="X62">
        <v>774189156</v>
      </c>
      <c r="Y62">
        <v>25</v>
      </c>
      <c r="AA62">
        <v>44166.67</v>
      </c>
      <c r="AB62">
        <v>0</v>
      </c>
      <c r="AC62">
        <v>0</v>
      </c>
      <c r="AD62">
        <v>0</v>
      </c>
      <c r="AE62">
        <v>44166.67</v>
      </c>
      <c r="AF62">
        <v>0</v>
      </c>
      <c r="AG62">
        <v>0</v>
      </c>
      <c r="AH62">
        <v>0</v>
      </c>
      <c r="AI62">
        <v>1</v>
      </c>
      <c r="AJ62">
        <v>1</v>
      </c>
      <c r="AK62">
        <v>1</v>
      </c>
      <c r="AL62">
        <v>1</v>
      </c>
      <c r="AN62">
        <v>0</v>
      </c>
      <c r="AO62">
        <v>0</v>
      </c>
      <c r="AP62">
        <v>0</v>
      </c>
      <c r="AQ62">
        <v>0</v>
      </c>
      <c r="AR62">
        <v>0</v>
      </c>
      <c r="AS62" t="s">
        <v>3</v>
      </c>
      <c r="AT62">
        <v>25</v>
      </c>
      <c r="AU62" t="s">
        <v>3</v>
      </c>
      <c r="AV62">
        <v>0</v>
      </c>
      <c r="AW62">
        <v>1</v>
      </c>
      <c r="AX62">
        <v>-1</v>
      </c>
      <c r="AY62">
        <v>0</v>
      </c>
      <c r="AZ62">
        <v>0</v>
      </c>
      <c r="BA62" t="s">
        <v>3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CX62">
        <f>Y62*Source!I44</f>
        <v>1</v>
      </c>
      <c r="CY62">
        <f t="shared" si="2"/>
        <v>44166.67</v>
      </c>
      <c r="CZ62">
        <f t="shared" si="3"/>
        <v>44166.67</v>
      </c>
      <c r="DA62">
        <f t="shared" si="4"/>
        <v>1</v>
      </c>
      <c r="DB62">
        <f t="shared" si="0"/>
        <v>1104166.75</v>
      </c>
      <c r="DC62">
        <f t="shared" si="1"/>
        <v>0</v>
      </c>
    </row>
    <row r="63" spans="1:107" x14ac:dyDescent="0.2">
      <c r="A63">
        <f>ROW(Source!A44)</f>
        <v>44</v>
      </c>
      <c r="B63">
        <v>52430918</v>
      </c>
      <c r="C63">
        <v>52431504</v>
      </c>
      <c r="D63">
        <v>0</v>
      </c>
      <c r="E63">
        <v>0</v>
      </c>
      <c r="F63">
        <v>1</v>
      </c>
      <c r="G63">
        <v>27</v>
      </c>
      <c r="H63">
        <v>3</v>
      </c>
      <c r="I63" t="s">
        <v>104</v>
      </c>
      <c r="J63" t="s">
        <v>3</v>
      </c>
      <c r="K63" t="s">
        <v>113</v>
      </c>
      <c r="L63">
        <v>1354</v>
      </c>
      <c r="N63">
        <v>1010</v>
      </c>
      <c r="O63" t="s">
        <v>106</v>
      </c>
      <c r="P63" t="s">
        <v>106</v>
      </c>
      <c r="Q63">
        <v>1</v>
      </c>
      <c r="W63">
        <v>0</v>
      </c>
      <c r="X63">
        <v>1794000053</v>
      </c>
      <c r="Y63">
        <v>25</v>
      </c>
      <c r="AA63">
        <v>62333.33</v>
      </c>
      <c r="AB63">
        <v>0</v>
      </c>
      <c r="AC63">
        <v>0</v>
      </c>
      <c r="AD63">
        <v>0</v>
      </c>
      <c r="AE63">
        <v>62333.33</v>
      </c>
      <c r="AF63">
        <v>0</v>
      </c>
      <c r="AG63">
        <v>0</v>
      </c>
      <c r="AH63">
        <v>0</v>
      </c>
      <c r="AI63">
        <v>1</v>
      </c>
      <c r="AJ63">
        <v>1</v>
      </c>
      <c r="AK63">
        <v>1</v>
      </c>
      <c r="AL63">
        <v>1</v>
      </c>
      <c r="AN63">
        <v>0</v>
      </c>
      <c r="AO63">
        <v>0</v>
      </c>
      <c r="AP63">
        <v>0</v>
      </c>
      <c r="AQ63">
        <v>0</v>
      </c>
      <c r="AR63">
        <v>0</v>
      </c>
      <c r="AS63" t="s">
        <v>3</v>
      </c>
      <c r="AT63">
        <v>25</v>
      </c>
      <c r="AU63" t="s">
        <v>3</v>
      </c>
      <c r="AV63">
        <v>0</v>
      </c>
      <c r="AW63">
        <v>1</v>
      </c>
      <c r="AX63">
        <v>-1</v>
      </c>
      <c r="AY63">
        <v>0</v>
      </c>
      <c r="AZ63">
        <v>0</v>
      </c>
      <c r="BA63" t="s">
        <v>3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CX63">
        <f>Y63*Source!I44</f>
        <v>1</v>
      </c>
      <c r="CY63">
        <f t="shared" si="2"/>
        <v>62333.33</v>
      </c>
      <c r="CZ63">
        <f t="shared" si="3"/>
        <v>62333.33</v>
      </c>
      <c r="DA63">
        <f t="shared" si="4"/>
        <v>1</v>
      </c>
      <c r="DB63">
        <f t="shared" si="0"/>
        <v>1558333.25</v>
      </c>
      <c r="DC63">
        <f t="shared" si="1"/>
        <v>0</v>
      </c>
    </row>
    <row r="64" spans="1:107" x14ac:dyDescent="0.2">
      <c r="A64">
        <f>ROW(Source!A44)</f>
        <v>44</v>
      </c>
      <c r="B64">
        <v>52430918</v>
      </c>
      <c r="C64">
        <v>52431504</v>
      </c>
      <c r="D64">
        <v>0</v>
      </c>
      <c r="E64">
        <v>0</v>
      </c>
      <c r="F64">
        <v>1</v>
      </c>
      <c r="G64">
        <v>27</v>
      </c>
      <c r="H64">
        <v>3</v>
      </c>
      <c r="I64" t="s">
        <v>104</v>
      </c>
      <c r="J64" t="s">
        <v>3</v>
      </c>
      <c r="K64" t="s">
        <v>116</v>
      </c>
      <c r="L64">
        <v>1354</v>
      </c>
      <c r="N64">
        <v>1010</v>
      </c>
      <c r="O64" t="s">
        <v>106</v>
      </c>
      <c r="P64" t="s">
        <v>106</v>
      </c>
      <c r="Q64">
        <v>1</v>
      </c>
      <c r="W64">
        <v>0</v>
      </c>
      <c r="X64">
        <v>-106681237</v>
      </c>
      <c r="Y64">
        <v>25</v>
      </c>
      <c r="AA64">
        <v>12391.67</v>
      </c>
      <c r="AB64">
        <v>0</v>
      </c>
      <c r="AC64">
        <v>0</v>
      </c>
      <c r="AD64">
        <v>0</v>
      </c>
      <c r="AE64">
        <v>12391.67</v>
      </c>
      <c r="AF64">
        <v>0</v>
      </c>
      <c r="AG64">
        <v>0</v>
      </c>
      <c r="AH64">
        <v>0</v>
      </c>
      <c r="AI64">
        <v>1</v>
      </c>
      <c r="AJ64">
        <v>1</v>
      </c>
      <c r="AK64">
        <v>1</v>
      </c>
      <c r="AL64">
        <v>1</v>
      </c>
      <c r="AN64">
        <v>0</v>
      </c>
      <c r="AO64">
        <v>0</v>
      </c>
      <c r="AP64">
        <v>0</v>
      </c>
      <c r="AQ64">
        <v>0</v>
      </c>
      <c r="AR64">
        <v>0</v>
      </c>
      <c r="AS64" t="s">
        <v>3</v>
      </c>
      <c r="AT64">
        <v>25</v>
      </c>
      <c r="AU64" t="s">
        <v>3</v>
      </c>
      <c r="AV64">
        <v>0</v>
      </c>
      <c r="AW64">
        <v>1</v>
      </c>
      <c r="AX64">
        <v>-1</v>
      </c>
      <c r="AY64">
        <v>0</v>
      </c>
      <c r="AZ64">
        <v>0</v>
      </c>
      <c r="BA64" t="s">
        <v>3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CX64">
        <f>Y64*Source!I44</f>
        <v>1</v>
      </c>
      <c r="CY64">
        <f t="shared" si="2"/>
        <v>12391.67</v>
      </c>
      <c r="CZ64">
        <f t="shared" si="3"/>
        <v>12391.67</v>
      </c>
      <c r="DA64">
        <f t="shared" si="4"/>
        <v>1</v>
      </c>
      <c r="DB64">
        <f t="shared" si="0"/>
        <v>309791.75</v>
      </c>
      <c r="DC64">
        <f t="shared" si="1"/>
        <v>0</v>
      </c>
    </row>
    <row r="65" spans="1:107" x14ac:dyDescent="0.2">
      <c r="A65">
        <f>ROW(Source!A93)</f>
        <v>93</v>
      </c>
      <c r="B65">
        <v>52430918</v>
      </c>
      <c r="C65">
        <v>52431537</v>
      </c>
      <c r="D65">
        <v>51848379</v>
      </c>
      <c r="E65">
        <v>27</v>
      </c>
      <c r="F65">
        <v>1</v>
      </c>
      <c r="G65">
        <v>27</v>
      </c>
      <c r="H65">
        <v>1</v>
      </c>
      <c r="I65" t="s">
        <v>378</v>
      </c>
      <c r="J65" t="s">
        <v>3</v>
      </c>
      <c r="K65" t="s">
        <v>379</v>
      </c>
      <c r="L65">
        <v>1191</v>
      </c>
      <c r="N65">
        <v>1013</v>
      </c>
      <c r="O65" t="s">
        <v>380</v>
      </c>
      <c r="P65" t="s">
        <v>380</v>
      </c>
      <c r="Q65">
        <v>1</v>
      </c>
      <c r="W65">
        <v>0</v>
      </c>
      <c r="X65">
        <v>476480486</v>
      </c>
      <c r="Y65">
        <v>2.66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1</v>
      </c>
      <c r="AJ65">
        <v>1</v>
      </c>
      <c r="AK65">
        <v>1</v>
      </c>
      <c r="AL65">
        <v>1</v>
      </c>
      <c r="AN65">
        <v>0</v>
      </c>
      <c r="AO65">
        <v>1</v>
      </c>
      <c r="AP65">
        <v>0</v>
      </c>
      <c r="AQ65">
        <v>0</v>
      </c>
      <c r="AR65">
        <v>0</v>
      </c>
      <c r="AS65" t="s">
        <v>3</v>
      </c>
      <c r="AT65">
        <v>2.66</v>
      </c>
      <c r="AU65" t="s">
        <v>3</v>
      </c>
      <c r="AV65">
        <v>1</v>
      </c>
      <c r="AW65">
        <v>2</v>
      </c>
      <c r="AX65">
        <v>52431539</v>
      </c>
      <c r="AY65">
        <v>1</v>
      </c>
      <c r="AZ65">
        <v>0</v>
      </c>
      <c r="BA65">
        <v>62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CX65">
        <f>Y65*Source!I93</f>
        <v>62.563200000000002</v>
      </c>
      <c r="CY65">
        <f>AD65</f>
        <v>0</v>
      </c>
      <c r="CZ65">
        <f>AH65</f>
        <v>0</v>
      </c>
      <c r="DA65">
        <f>AL65</f>
        <v>1</v>
      </c>
      <c r="DB65">
        <f t="shared" ref="DB65:DB128" si="5">ROUND(ROUND(AT65*CZ65,2),6)</f>
        <v>0</v>
      </c>
      <c r="DC65">
        <f t="shared" ref="DC65:DC128" si="6">ROUND(ROUND(AT65*AG65,2),6)</f>
        <v>0</v>
      </c>
    </row>
    <row r="66" spans="1:107" x14ac:dyDescent="0.2">
      <c r="A66">
        <f>ROW(Source!A94)</f>
        <v>94</v>
      </c>
      <c r="B66">
        <v>52430918</v>
      </c>
      <c r="C66">
        <v>52431540</v>
      </c>
      <c r="D66">
        <v>51848379</v>
      </c>
      <c r="E66">
        <v>27</v>
      </c>
      <c r="F66">
        <v>1</v>
      </c>
      <c r="G66">
        <v>27</v>
      </c>
      <c r="H66">
        <v>1</v>
      </c>
      <c r="I66" t="s">
        <v>378</v>
      </c>
      <c r="J66" t="s">
        <v>3</v>
      </c>
      <c r="K66" t="s">
        <v>379</v>
      </c>
      <c r="L66">
        <v>1191</v>
      </c>
      <c r="N66">
        <v>1013</v>
      </c>
      <c r="O66" t="s">
        <v>380</v>
      </c>
      <c r="P66" t="s">
        <v>380</v>
      </c>
      <c r="Q66">
        <v>1</v>
      </c>
      <c r="W66">
        <v>0</v>
      </c>
      <c r="X66">
        <v>476480486</v>
      </c>
      <c r="Y66">
        <v>16.559999999999999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1</v>
      </c>
      <c r="AJ66">
        <v>1</v>
      </c>
      <c r="AK66">
        <v>1</v>
      </c>
      <c r="AL66">
        <v>1</v>
      </c>
      <c r="AN66">
        <v>0</v>
      </c>
      <c r="AO66">
        <v>1</v>
      </c>
      <c r="AP66">
        <v>0</v>
      </c>
      <c r="AQ66">
        <v>0</v>
      </c>
      <c r="AR66">
        <v>0</v>
      </c>
      <c r="AS66" t="s">
        <v>3</v>
      </c>
      <c r="AT66">
        <v>16.559999999999999</v>
      </c>
      <c r="AU66" t="s">
        <v>3</v>
      </c>
      <c r="AV66">
        <v>1</v>
      </c>
      <c r="AW66">
        <v>2</v>
      </c>
      <c r="AX66">
        <v>52431549</v>
      </c>
      <c r="AY66">
        <v>1</v>
      </c>
      <c r="AZ66">
        <v>0</v>
      </c>
      <c r="BA66">
        <v>63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CX66">
        <f>Y66*Source!I94</f>
        <v>1.3910400000000001</v>
      </c>
      <c r="CY66">
        <f>AD66</f>
        <v>0</v>
      </c>
      <c r="CZ66">
        <f>AH66</f>
        <v>0</v>
      </c>
      <c r="DA66">
        <f>AL66</f>
        <v>1</v>
      </c>
      <c r="DB66">
        <f t="shared" si="5"/>
        <v>0</v>
      </c>
      <c r="DC66">
        <f t="shared" si="6"/>
        <v>0</v>
      </c>
    </row>
    <row r="67" spans="1:107" x14ac:dyDescent="0.2">
      <c r="A67">
        <f>ROW(Source!A94)</f>
        <v>94</v>
      </c>
      <c r="B67">
        <v>52430918</v>
      </c>
      <c r="C67">
        <v>52431540</v>
      </c>
      <c r="D67">
        <v>51864848</v>
      </c>
      <c r="E67">
        <v>1</v>
      </c>
      <c r="F67">
        <v>1</v>
      </c>
      <c r="G67">
        <v>27</v>
      </c>
      <c r="H67">
        <v>2</v>
      </c>
      <c r="I67" t="s">
        <v>387</v>
      </c>
      <c r="J67" t="s">
        <v>388</v>
      </c>
      <c r="K67" t="s">
        <v>389</v>
      </c>
      <c r="L67">
        <v>1368</v>
      </c>
      <c r="N67">
        <v>1011</v>
      </c>
      <c r="O67" t="s">
        <v>84</v>
      </c>
      <c r="P67" t="s">
        <v>84</v>
      </c>
      <c r="Q67">
        <v>1</v>
      </c>
      <c r="W67">
        <v>0</v>
      </c>
      <c r="X67">
        <v>2108619810</v>
      </c>
      <c r="Y67">
        <v>2.08</v>
      </c>
      <c r="AA67">
        <v>0</v>
      </c>
      <c r="AB67">
        <v>740.94</v>
      </c>
      <c r="AC67">
        <v>413.22</v>
      </c>
      <c r="AD67">
        <v>0</v>
      </c>
      <c r="AE67">
        <v>0</v>
      </c>
      <c r="AF67">
        <v>740.94</v>
      </c>
      <c r="AG67">
        <v>413.22</v>
      </c>
      <c r="AH67">
        <v>0</v>
      </c>
      <c r="AI67">
        <v>1</v>
      </c>
      <c r="AJ67">
        <v>1</v>
      </c>
      <c r="AK67">
        <v>1</v>
      </c>
      <c r="AL67">
        <v>1</v>
      </c>
      <c r="AN67">
        <v>0</v>
      </c>
      <c r="AO67">
        <v>1</v>
      </c>
      <c r="AP67">
        <v>0</v>
      </c>
      <c r="AQ67">
        <v>0</v>
      </c>
      <c r="AR67">
        <v>0</v>
      </c>
      <c r="AS67" t="s">
        <v>3</v>
      </c>
      <c r="AT67">
        <v>2.08</v>
      </c>
      <c r="AU67" t="s">
        <v>3</v>
      </c>
      <c r="AV67">
        <v>0</v>
      </c>
      <c r="AW67">
        <v>2</v>
      </c>
      <c r="AX67">
        <v>52431550</v>
      </c>
      <c r="AY67">
        <v>1</v>
      </c>
      <c r="AZ67">
        <v>0</v>
      </c>
      <c r="BA67">
        <v>64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CX67">
        <f>Y67*Source!I94</f>
        <v>0.17472000000000001</v>
      </c>
      <c r="CY67">
        <f>AB67</f>
        <v>740.94</v>
      </c>
      <c r="CZ67">
        <f>AF67</f>
        <v>740.94</v>
      </c>
      <c r="DA67">
        <f>AJ67</f>
        <v>1</v>
      </c>
      <c r="DB67">
        <f t="shared" si="5"/>
        <v>1541.16</v>
      </c>
      <c r="DC67">
        <f t="shared" si="6"/>
        <v>859.5</v>
      </c>
    </row>
    <row r="68" spans="1:107" x14ac:dyDescent="0.2">
      <c r="A68">
        <f>ROW(Source!A94)</f>
        <v>94</v>
      </c>
      <c r="B68">
        <v>52430918</v>
      </c>
      <c r="C68">
        <v>52431540</v>
      </c>
      <c r="D68">
        <v>51865003</v>
      </c>
      <c r="E68">
        <v>1</v>
      </c>
      <c r="F68">
        <v>1</v>
      </c>
      <c r="G68">
        <v>27</v>
      </c>
      <c r="H68">
        <v>2</v>
      </c>
      <c r="I68" t="s">
        <v>390</v>
      </c>
      <c r="J68" t="s">
        <v>391</v>
      </c>
      <c r="K68" t="s">
        <v>392</v>
      </c>
      <c r="L68">
        <v>1368</v>
      </c>
      <c r="N68">
        <v>1011</v>
      </c>
      <c r="O68" t="s">
        <v>84</v>
      </c>
      <c r="P68" t="s">
        <v>84</v>
      </c>
      <c r="Q68">
        <v>1</v>
      </c>
      <c r="W68">
        <v>0</v>
      </c>
      <c r="X68">
        <v>-1512295274</v>
      </c>
      <c r="Y68">
        <v>2.08</v>
      </c>
      <c r="AA68">
        <v>0</v>
      </c>
      <c r="AB68">
        <v>430.32</v>
      </c>
      <c r="AC68">
        <v>215.31</v>
      </c>
      <c r="AD68">
        <v>0</v>
      </c>
      <c r="AE68">
        <v>0</v>
      </c>
      <c r="AF68">
        <v>430.32</v>
      </c>
      <c r="AG68">
        <v>215.31</v>
      </c>
      <c r="AH68">
        <v>0</v>
      </c>
      <c r="AI68">
        <v>1</v>
      </c>
      <c r="AJ68">
        <v>1</v>
      </c>
      <c r="AK68">
        <v>1</v>
      </c>
      <c r="AL68">
        <v>1</v>
      </c>
      <c r="AN68">
        <v>0</v>
      </c>
      <c r="AO68">
        <v>1</v>
      </c>
      <c r="AP68">
        <v>0</v>
      </c>
      <c r="AQ68">
        <v>0</v>
      </c>
      <c r="AR68">
        <v>0</v>
      </c>
      <c r="AS68" t="s">
        <v>3</v>
      </c>
      <c r="AT68">
        <v>2.08</v>
      </c>
      <c r="AU68" t="s">
        <v>3</v>
      </c>
      <c r="AV68">
        <v>0</v>
      </c>
      <c r="AW68">
        <v>2</v>
      </c>
      <c r="AX68">
        <v>52431551</v>
      </c>
      <c r="AY68">
        <v>1</v>
      </c>
      <c r="AZ68">
        <v>0</v>
      </c>
      <c r="BA68">
        <v>65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CX68">
        <f>Y68*Source!I94</f>
        <v>0.17472000000000001</v>
      </c>
      <c r="CY68">
        <f>AB68</f>
        <v>430.32</v>
      </c>
      <c r="CZ68">
        <f>AF68</f>
        <v>430.32</v>
      </c>
      <c r="DA68">
        <f>AJ68</f>
        <v>1</v>
      </c>
      <c r="DB68">
        <f t="shared" si="5"/>
        <v>895.07</v>
      </c>
      <c r="DC68">
        <f t="shared" si="6"/>
        <v>447.84</v>
      </c>
    </row>
    <row r="69" spans="1:107" x14ac:dyDescent="0.2">
      <c r="A69">
        <f>ROW(Source!A94)</f>
        <v>94</v>
      </c>
      <c r="B69">
        <v>52430918</v>
      </c>
      <c r="C69">
        <v>52431540</v>
      </c>
      <c r="D69">
        <v>51865006</v>
      </c>
      <c r="E69">
        <v>1</v>
      </c>
      <c r="F69">
        <v>1</v>
      </c>
      <c r="G69">
        <v>27</v>
      </c>
      <c r="H69">
        <v>2</v>
      </c>
      <c r="I69" t="s">
        <v>393</v>
      </c>
      <c r="J69" t="s">
        <v>394</v>
      </c>
      <c r="K69" t="s">
        <v>395</v>
      </c>
      <c r="L69">
        <v>1368</v>
      </c>
      <c r="N69">
        <v>1011</v>
      </c>
      <c r="O69" t="s">
        <v>84</v>
      </c>
      <c r="P69" t="s">
        <v>84</v>
      </c>
      <c r="Q69">
        <v>1</v>
      </c>
      <c r="W69">
        <v>0</v>
      </c>
      <c r="X69">
        <v>2042885981</v>
      </c>
      <c r="Y69">
        <v>0.81</v>
      </c>
      <c r="AA69">
        <v>0</v>
      </c>
      <c r="AB69">
        <v>2020.59</v>
      </c>
      <c r="AC69">
        <v>458.56</v>
      </c>
      <c r="AD69">
        <v>0</v>
      </c>
      <c r="AE69">
        <v>0</v>
      </c>
      <c r="AF69">
        <v>2020.59</v>
      </c>
      <c r="AG69">
        <v>458.56</v>
      </c>
      <c r="AH69">
        <v>0</v>
      </c>
      <c r="AI69">
        <v>1</v>
      </c>
      <c r="AJ69">
        <v>1</v>
      </c>
      <c r="AK69">
        <v>1</v>
      </c>
      <c r="AL69">
        <v>1</v>
      </c>
      <c r="AN69">
        <v>0</v>
      </c>
      <c r="AO69">
        <v>1</v>
      </c>
      <c r="AP69">
        <v>0</v>
      </c>
      <c r="AQ69">
        <v>0</v>
      </c>
      <c r="AR69">
        <v>0</v>
      </c>
      <c r="AS69" t="s">
        <v>3</v>
      </c>
      <c r="AT69">
        <v>0.81</v>
      </c>
      <c r="AU69" t="s">
        <v>3</v>
      </c>
      <c r="AV69">
        <v>0</v>
      </c>
      <c r="AW69">
        <v>2</v>
      </c>
      <c r="AX69">
        <v>52431552</v>
      </c>
      <c r="AY69">
        <v>1</v>
      </c>
      <c r="AZ69">
        <v>0</v>
      </c>
      <c r="BA69">
        <v>66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CX69">
        <f>Y69*Source!I94</f>
        <v>6.8040000000000003E-2</v>
      </c>
      <c r="CY69">
        <f>AB69</f>
        <v>2020.59</v>
      </c>
      <c r="CZ69">
        <f>AF69</f>
        <v>2020.59</v>
      </c>
      <c r="DA69">
        <f>AJ69</f>
        <v>1</v>
      </c>
      <c r="DB69">
        <f t="shared" si="5"/>
        <v>1636.68</v>
      </c>
      <c r="DC69">
        <f t="shared" si="6"/>
        <v>371.43</v>
      </c>
    </row>
    <row r="70" spans="1:107" x14ac:dyDescent="0.2">
      <c r="A70">
        <f>ROW(Source!A94)</f>
        <v>94</v>
      </c>
      <c r="B70">
        <v>52430918</v>
      </c>
      <c r="C70">
        <v>52431540</v>
      </c>
      <c r="D70">
        <v>51865030</v>
      </c>
      <c r="E70">
        <v>1</v>
      </c>
      <c r="F70">
        <v>1</v>
      </c>
      <c r="G70">
        <v>27</v>
      </c>
      <c r="H70">
        <v>2</v>
      </c>
      <c r="I70" t="s">
        <v>396</v>
      </c>
      <c r="J70" t="s">
        <v>397</v>
      </c>
      <c r="K70" t="s">
        <v>398</v>
      </c>
      <c r="L70">
        <v>1368</v>
      </c>
      <c r="N70">
        <v>1011</v>
      </c>
      <c r="O70" t="s">
        <v>84</v>
      </c>
      <c r="P70" t="s">
        <v>84</v>
      </c>
      <c r="Q70">
        <v>1</v>
      </c>
      <c r="W70">
        <v>0</v>
      </c>
      <c r="X70">
        <v>1116182101</v>
      </c>
      <c r="Y70">
        <v>1.94</v>
      </c>
      <c r="AA70">
        <v>0</v>
      </c>
      <c r="AB70">
        <v>1412.71</v>
      </c>
      <c r="AC70">
        <v>641.32000000000005</v>
      </c>
      <c r="AD70">
        <v>0</v>
      </c>
      <c r="AE70">
        <v>0</v>
      </c>
      <c r="AF70">
        <v>1412.71</v>
      </c>
      <c r="AG70">
        <v>641.32000000000005</v>
      </c>
      <c r="AH70">
        <v>0</v>
      </c>
      <c r="AI70">
        <v>1</v>
      </c>
      <c r="AJ70">
        <v>1</v>
      </c>
      <c r="AK70">
        <v>1</v>
      </c>
      <c r="AL70">
        <v>1</v>
      </c>
      <c r="AN70">
        <v>0</v>
      </c>
      <c r="AO70">
        <v>1</v>
      </c>
      <c r="AP70">
        <v>0</v>
      </c>
      <c r="AQ70">
        <v>0</v>
      </c>
      <c r="AR70">
        <v>0</v>
      </c>
      <c r="AS70" t="s">
        <v>3</v>
      </c>
      <c r="AT70">
        <v>1.94</v>
      </c>
      <c r="AU70" t="s">
        <v>3</v>
      </c>
      <c r="AV70">
        <v>0</v>
      </c>
      <c r="AW70">
        <v>2</v>
      </c>
      <c r="AX70">
        <v>52431553</v>
      </c>
      <c r="AY70">
        <v>1</v>
      </c>
      <c r="AZ70">
        <v>0</v>
      </c>
      <c r="BA70">
        <v>67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CX70">
        <f>Y70*Source!I94</f>
        <v>0.16295999999999999</v>
      </c>
      <c r="CY70">
        <f>AB70</f>
        <v>1412.71</v>
      </c>
      <c r="CZ70">
        <f>AF70</f>
        <v>1412.71</v>
      </c>
      <c r="DA70">
        <f>AJ70</f>
        <v>1</v>
      </c>
      <c r="DB70">
        <f t="shared" si="5"/>
        <v>2740.66</v>
      </c>
      <c r="DC70">
        <f t="shared" si="6"/>
        <v>1244.1600000000001</v>
      </c>
    </row>
    <row r="71" spans="1:107" x14ac:dyDescent="0.2">
      <c r="A71">
        <f>ROW(Source!A94)</f>
        <v>94</v>
      </c>
      <c r="B71">
        <v>52430918</v>
      </c>
      <c r="C71">
        <v>52431540</v>
      </c>
      <c r="D71">
        <v>51864996</v>
      </c>
      <c r="E71">
        <v>1</v>
      </c>
      <c r="F71">
        <v>1</v>
      </c>
      <c r="G71">
        <v>27</v>
      </c>
      <c r="H71">
        <v>2</v>
      </c>
      <c r="I71" t="s">
        <v>399</v>
      </c>
      <c r="J71" t="s">
        <v>400</v>
      </c>
      <c r="K71" t="s">
        <v>401</v>
      </c>
      <c r="L71">
        <v>1368</v>
      </c>
      <c r="N71">
        <v>1011</v>
      </c>
      <c r="O71" t="s">
        <v>84</v>
      </c>
      <c r="P71" t="s">
        <v>84</v>
      </c>
      <c r="Q71">
        <v>1</v>
      </c>
      <c r="W71">
        <v>0</v>
      </c>
      <c r="X71">
        <v>2142121434</v>
      </c>
      <c r="Y71">
        <v>0.65</v>
      </c>
      <c r="AA71">
        <v>0</v>
      </c>
      <c r="AB71">
        <v>1213.3399999999999</v>
      </c>
      <c r="AC71">
        <v>461.6</v>
      </c>
      <c r="AD71">
        <v>0</v>
      </c>
      <c r="AE71">
        <v>0</v>
      </c>
      <c r="AF71">
        <v>1213.3399999999999</v>
      </c>
      <c r="AG71">
        <v>461.6</v>
      </c>
      <c r="AH71">
        <v>0</v>
      </c>
      <c r="AI71">
        <v>1</v>
      </c>
      <c r="AJ71">
        <v>1</v>
      </c>
      <c r="AK71">
        <v>1</v>
      </c>
      <c r="AL71">
        <v>1</v>
      </c>
      <c r="AN71">
        <v>0</v>
      </c>
      <c r="AO71">
        <v>1</v>
      </c>
      <c r="AP71">
        <v>0</v>
      </c>
      <c r="AQ71">
        <v>0</v>
      </c>
      <c r="AR71">
        <v>0</v>
      </c>
      <c r="AS71" t="s">
        <v>3</v>
      </c>
      <c r="AT71">
        <v>0.65</v>
      </c>
      <c r="AU71" t="s">
        <v>3</v>
      </c>
      <c r="AV71">
        <v>0</v>
      </c>
      <c r="AW71">
        <v>2</v>
      </c>
      <c r="AX71">
        <v>52431554</v>
      </c>
      <c r="AY71">
        <v>1</v>
      </c>
      <c r="AZ71">
        <v>0</v>
      </c>
      <c r="BA71">
        <v>68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CX71">
        <f>Y71*Source!I94</f>
        <v>5.4600000000000003E-2</v>
      </c>
      <c r="CY71">
        <f>AB71</f>
        <v>1213.3399999999999</v>
      </c>
      <c r="CZ71">
        <f>AF71</f>
        <v>1213.3399999999999</v>
      </c>
      <c r="DA71">
        <f>AJ71</f>
        <v>1</v>
      </c>
      <c r="DB71">
        <f t="shared" si="5"/>
        <v>788.67</v>
      </c>
      <c r="DC71">
        <f t="shared" si="6"/>
        <v>300.04000000000002</v>
      </c>
    </row>
    <row r="72" spans="1:107" x14ac:dyDescent="0.2">
      <c r="A72">
        <f>ROW(Source!A94)</f>
        <v>94</v>
      </c>
      <c r="B72">
        <v>52430918</v>
      </c>
      <c r="C72">
        <v>52431540</v>
      </c>
      <c r="D72">
        <v>51866959</v>
      </c>
      <c r="E72">
        <v>1</v>
      </c>
      <c r="F72">
        <v>1</v>
      </c>
      <c r="G72">
        <v>27</v>
      </c>
      <c r="H72">
        <v>3</v>
      </c>
      <c r="I72" t="s">
        <v>402</v>
      </c>
      <c r="J72" t="s">
        <v>403</v>
      </c>
      <c r="K72" t="s">
        <v>404</v>
      </c>
      <c r="L72">
        <v>1339</v>
      </c>
      <c r="N72">
        <v>1007</v>
      </c>
      <c r="O72" t="s">
        <v>28</v>
      </c>
      <c r="P72" t="s">
        <v>28</v>
      </c>
      <c r="Q72">
        <v>1</v>
      </c>
      <c r="W72">
        <v>0</v>
      </c>
      <c r="X72">
        <v>1152750853</v>
      </c>
      <c r="Y72">
        <v>110</v>
      </c>
      <c r="AA72">
        <v>590.78</v>
      </c>
      <c r="AB72">
        <v>0</v>
      </c>
      <c r="AC72">
        <v>0</v>
      </c>
      <c r="AD72">
        <v>0</v>
      </c>
      <c r="AE72">
        <v>590.78</v>
      </c>
      <c r="AF72">
        <v>0</v>
      </c>
      <c r="AG72">
        <v>0</v>
      </c>
      <c r="AH72">
        <v>0</v>
      </c>
      <c r="AI72">
        <v>1</v>
      </c>
      <c r="AJ72">
        <v>1</v>
      </c>
      <c r="AK72">
        <v>1</v>
      </c>
      <c r="AL72">
        <v>1</v>
      </c>
      <c r="AN72">
        <v>0</v>
      </c>
      <c r="AO72">
        <v>1</v>
      </c>
      <c r="AP72">
        <v>0</v>
      </c>
      <c r="AQ72">
        <v>0</v>
      </c>
      <c r="AR72">
        <v>0</v>
      </c>
      <c r="AS72" t="s">
        <v>3</v>
      </c>
      <c r="AT72">
        <v>110</v>
      </c>
      <c r="AU72" t="s">
        <v>3</v>
      </c>
      <c r="AV72">
        <v>0</v>
      </c>
      <c r="AW72">
        <v>2</v>
      </c>
      <c r="AX72">
        <v>52431555</v>
      </c>
      <c r="AY72">
        <v>1</v>
      </c>
      <c r="AZ72">
        <v>0</v>
      </c>
      <c r="BA72">
        <v>69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CX72">
        <f>Y72*Source!I94</f>
        <v>9.24</v>
      </c>
      <c r="CY72">
        <f>AA72</f>
        <v>590.78</v>
      </c>
      <c r="CZ72">
        <f>AE72</f>
        <v>590.78</v>
      </c>
      <c r="DA72">
        <f>AI72</f>
        <v>1</v>
      </c>
      <c r="DB72">
        <f t="shared" si="5"/>
        <v>64985.8</v>
      </c>
      <c r="DC72">
        <f t="shared" si="6"/>
        <v>0</v>
      </c>
    </row>
    <row r="73" spans="1:107" x14ac:dyDescent="0.2">
      <c r="A73">
        <f>ROW(Source!A94)</f>
        <v>94</v>
      </c>
      <c r="B73">
        <v>52430918</v>
      </c>
      <c r="C73">
        <v>52431540</v>
      </c>
      <c r="D73">
        <v>51867705</v>
      </c>
      <c r="E73">
        <v>1</v>
      </c>
      <c r="F73">
        <v>1</v>
      </c>
      <c r="G73">
        <v>27</v>
      </c>
      <c r="H73">
        <v>3</v>
      </c>
      <c r="I73" t="s">
        <v>405</v>
      </c>
      <c r="J73" t="s">
        <v>406</v>
      </c>
      <c r="K73" t="s">
        <v>407</v>
      </c>
      <c r="L73">
        <v>1339</v>
      </c>
      <c r="N73">
        <v>1007</v>
      </c>
      <c r="O73" t="s">
        <v>28</v>
      </c>
      <c r="P73" t="s">
        <v>28</v>
      </c>
      <c r="Q73">
        <v>1</v>
      </c>
      <c r="W73">
        <v>0</v>
      </c>
      <c r="X73">
        <v>1927597627</v>
      </c>
      <c r="Y73">
        <v>5</v>
      </c>
      <c r="AA73">
        <v>35.25</v>
      </c>
      <c r="AB73">
        <v>0</v>
      </c>
      <c r="AC73">
        <v>0</v>
      </c>
      <c r="AD73">
        <v>0</v>
      </c>
      <c r="AE73">
        <v>35.25</v>
      </c>
      <c r="AF73">
        <v>0</v>
      </c>
      <c r="AG73">
        <v>0</v>
      </c>
      <c r="AH73">
        <v>0</v>
      </c>
      <c r="AI73">
        <v>1</v>
      </c>
      <c r="AJ73">
        <v>1</v>
      </c>
      <c r="AK73">
        <v>1</v>
      </c>
      <c r="AL73">
        <v>1</v>
      </c>
      <c r="AN73">
        <v>0</v>
      </c>
      <c r="AO73">
        <v>1</v>
      </c>
      <c r="AP73">
        <v>0</v>
      </c>
      <c r="AQ73">
        <v>0</v>
      </c>
      <c r="AR73">
        <v>0</v>
      </c>
      <c r="AS73" t="s">
        <v>3</v>
      </c>
      <c r="AT73">
        <v>5</v>
      </c>
      <c r="AU73" t="s">
        <v>3</v>
      </c>
      <c r="AV73">
        <v>0</v>
      </c>
      <c r="AW73">
        <v>2</v>
      </c>
      <c r="AX73">
        <v>52431556</v>
      </c>
      <c r="AY73">
        <v>1</v>
      </c>
      <c r="AZ73">
        <v>0</v>
      </c>
      <c r="BA73">
        <v>70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CX73">
        <f>Y73*Source!I94</f>
        <v>0.42000000000000004</v>
      </c>
      <c r="CY73">
        <f>AA73</f>
        <v>35.25</v>
      </c>
      <c r="CZ73">
        <f>AE73</f>
        <v>35.25</v>
      </c>
      <c r="DA73">
        <f>AI73</f>
        <v>1</v>
      </c>
      <c r="DB73">
        <f t="shared" si="5"/>
        <v>176.25</v>
      </c>
      <c r="DC73">
        <f t="shared" si="6"/>
        <v>0</v>
      </c>
    </row>
    <row r="74" spans="1:107" x14ac:dyDescent="0.2">
      <c r="A74">
        <f>ROW(Source!A95)</f>
        <v>95</v>
      </c>
      <c r="B74">
        <v>52430918</v>
      </c>
      <c r="C74">
        <v>52431557</v>
      </c>
      <c r="D74">
        <v>51848379</v>
      </c>
      <c r="E74">
        <v>27</v>
      </c>
      <c r="F74">
        <v>1</v>
      </c>
      <c r="G74">
        <v>27</v>
      </c>
      <c r="H74">
        <v>1</v>
      </c>
      <c r="I74" t="s">
        <v>378</v>
      </c>
      <c r="J74" t="s">
        <v>3</v>
      </c>
      <c r="K74" t="s">
        <v>379</v>
      </c>
      <c r="L74">
        <v>1191</v>
      </c>
      <c r="N74">
        <v>1013</v>
      </c>
      <c r="O74" t="s">
        <v>380</v>
      </c>
      <c r="P74" t="s">
        <v>380</v>
      </c>
      <c r="Q74">
        <v>1</v>
      </c>
      <c r="W74">
        <v>0</v>
      </c>
      <c r="X74">
        <v>476480486</v>
      </c>
      <c r="Y74">
        <v>27.94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1</v>
      </c>
      <c r="AJ74">
        <v>1</v>
      </c>
      <c r="AK74">
        <v>1</v>
      </c>
      <c r="AL74">
        <v>1</v>
      </c>
      <c r="AN74">
        <v>0</v>
      </c>
      <c r="AO74">
        <v>1</v>
      </c>
      <c r="AP74">
        <v>0</v>
      </c>
      <c r="AQ74">
        <v>0</v>
      </c>
      <c r="AR74">
        <v>0</v>
      </c>
      <c r="AS74" t="s">
        <v>3</v>
      </c>
      <c r="AT74">
        <v>27.94</v>
      </c>
      <c r="AU74" t="s">
        <v>3</v>
      </c>
      <c r="AV74">
        <v>1</v>
      </c>
      <c r="AW74">
        <v>2</v>
      </c>
      <c r="AX74">
        <v>52431564</v>
      </c>
      <c r="AY74">
        <v>1</v>
      </c>
      <c r="AZ74">
        <v>0</v>
      </c>
      <c r="BA74">
        <v>71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CX74">
        <f>Y74*Source!I95</f>
        <v>23.4696</v>
      </c>
      <c r="CY74">
        <f>AD74</f>
        <v>0</v>
      </c>
      <c r="CZ74">
        <f>AH74</f>
        <v>0</v>
      </c>
      <c r="DA74">
        <f>AL74</f>
        <v>1</v>
      </c>
      <c r="DB74">
        <f t="shared" si="5"/>
        <v>0</v>
      </c>
      <c r="DC74">
        <f t="shared" si="6"/>
        <v>0</v>
      </c>
    </row>
    <row r="75" spans="1:107" x14ac:dyDescent="0.2">
      <c r="A75">
        <f>ROW(Source!A95)</f>
        <v>95</v>
      </c>
      <c r="B75">
        <v>52430918</v>
      </c>
      <c r="C75">
        <v>52431557</v>
      </c>
      <c r="D75">
        <v>51865006</v>
      </c>
      <c r="E75">
        <v>1</v>
      </c>
      <c r="F75">
        <v>1</v>
      </c>
      <c r="G75">
        <v>27</v>
      </c>
      <c r="H75">
        <v>2</v>
      </c>
      <c r="I75" t="s">
        <v>393</v>
      </c>
      <c r="J75" t="s">
        <v>394</v>
      </c>
      <c r="K75" t="s">
        <v>395</v>
      </c>
      <c r="L75">
        <v>1368</v>
      </c>
      <c r="N75">
        <v>1011</v>
      </c>
      <c r="O75" t="s">
        <v>84</v>
      </c>
      <c r="P75" t="s">
        <v>84</v>
      </c>
      <c r="Q75">
        <v>1</v>
      </c>
      <c r="W75">
        <v>0</v>
      </c>
      <c r="X75">
        <v>2042885981</v>
      </c>
      <c r="Y75">
        <v>0.59</v>
      </c>
      <c r="AA75">
        <v>0</v>
      </c>
      <c r="AB75">
        <v>2020.59</v>
      </c>
      <c r="AC75">
        <v>458.56</v>
      </c>
      <c r="AD75">
        <v>0</v>
      </c>
      <c r="AE75">
        <v>0</v>
      </c>
      <c r="AF75">
        <v>2020.59</v>
      </c>
      <c r="AG75">
        <v>458.56</v>
      </c>
      <c r="AH75">
        <v>0</v>
      </c>
      <c r="AI75">
        <v>1</v>
      </c>
      <c r="AJ75">
        <v>1</v>
      </c>
      <c r="AK75">
        <v>1</v>
      </c>
      <c r="AL75">
        <v>1</v>
      </c>
      <c r="AN75">
        <v>0</v>
      </c>
      <c r="AO75">
        <v>1</v>
      </c>
      <c r="AP75">
        <v>0</v>
      </c>
      <c r="AQ75">
        <v>0</v>
      </c>
      <c r="AR75">
        <v>0</v>
      </c>
      <c r="AS75" t="s">
        <v>3</v>
      </c>
      <c r="AT75">
        <v>0.59</v>
      </c>
      <c r="AU75" t="s">
        <v>3</v>
      </c>
      <c r="AV75">
        <v>0</v>
      </c>
      <c r="AW75">
        <v>2</v>
      </c>
      <c r="AX75">
        <v>52431565</v>
      </c>
      <c r="AY75">
        <v>1</v>
      </c>
      <c r="AZ75">
        <v>0</v>
      </c>
      <c r="BA75">
        <v>72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CX75">
        <f>Y75*Source!I95</f>
        <v>0.49559999999999993</v>
      </c>
      <c r="CY75">
        <f>AB75</f>
        <v>2020.59</v>
      </c>
      <c r="CZ75">
        <f>AF75</f>
        <v>2020.59</v>
      </c>
      <c r="DA75">
        <f>AJ75</f>
        <v>1</v>
      </c>
      <c r="DB75">
        <f t="shared" si="5"/>
        <v>1192.1500000000001</v>
      </c>
      <c r="DC75">
        <f t="shared" si="6"/>
        <v>270.55</v>
      </c>
    </row>
    <row r="76" spans="1:107" x14ac:dyDescent="0.2">
      <c r="A76">
        <f>ROW(Source!A95)</f>
        <v>95</v>
      </c>
      <c r="B76">
        <v>52430918</v>
      </c>
      <c r="C76">
        <v>52431557</v>
      </c>
      <c r="D76">
        <v>51864991</v>
      </c>
      <c r="E76">
        <v>1</v>
      </c>
      <c r="F76">
        <v>1</v>
      </c>
      <c r="G76">
        <v>27</v>
      </c>
      <c r="H76">
        <v>2</v>
      </c>
      <c r="I76" t="s">
        <v>408</v>
      </c>
      <c r="J76" t="s">
        <v>409</v>
      </c>
      <c r="K76" t="s">
        <v>410</v>
      </c>
      <c r="L76">
        <v>1368</v>
      </c>
      <c r="N76">
        <v>1011</v>
      </c>
      <c r="O76" t="s">
        <v>84</v>
      </c>
      <c r="P76" t="s">
        <v>84</v>
      </c>
      <c r="Q76">
        <v>1</v>
      </c>
      <c r="W76">
        <v>0</v>
      </c>
      <c r="X76">
        <v>-1043398787</v>
      </c>
      <c r="Y76">
        <v>1.62</v>
      </c>
      <c r="AA76">
        <v>0</v>
      </c>
      <c r="AB76">
        <v>1261.8699999999999</v>
      </c>
      <c r="AC76">
        <v>530.02</v>
      </c>
      <c r="AD76">
        <v>0</v>
      </c>
      <c r="AE76">
        <v>0</v>
      </c>
      <c r="AF76">
        <v>1261.8699999999999</v>
      </c>
      <c r="AG76">
        <v>530.02</v>
      </c>
      <c r="AH76">
        <v>0</v>
      </c>
      <c r="AI76">
        <v>1</v>
      </c>
      <c r="AJ76">
        <v>1</v>
      </c>
      <c r="AK76">
        <v>1</v>
      </c>
      <c r="AL76">
        <v>1</v>
      </c>
      <c r="AN76">
        <v>0</v>
      </c>
      <c r="AO76">
        <v>1</v>
      </c>
      <c r="AP76">
        <v>0</v>
      </c>
      <c r="AQ76">
        <v>0</v>
      </c>
      <c r="AR76">
        <v>0</v>
      </c>
      <c r="AS76" t="s">
        <v>3</v>
      </c>
      <c r="AT76">
        <v>1.62</v>
      </c>
      <c r="AU76" t="s">
        <v>3</v>
      </c>
      <c r="AV76">
        <v>0</v>
      </c>
      <c r="AW76">
        <v>2</v>
      </c>
      <c r="AX76">
        <v>52431566</v>
      </c>
      <c r="AY76">
        <v>1</v>
      </c>
      <c r="AZ76">
        <v>0</v>
      </c>
      <c r="BA76">
        <v>73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CX76">
        <f>Y76*Source!I95</f>
        <v>1.3608</v>
      </c>
      <c r="CY76">
        <f>AB76</f>
        <v>1261.8699999999999</v>
      </c>
      <c r="CZ76">
        <f>AF76</f>
        <v>1261.8699999999999</v>
      </c>
      <c r="DA76">
        <f>AJ76</f>
        <v>1</v>
      </c>
      <c r="DB76">
        <f t="shared" si="5"/>
        <v>2044.23</v>
      </c>
      <c r="DC76">
        <f t="shared" si="6"/>
        <v>858.63</v>
      </c>
    </row>
    <row r="77" spans="1:107" x14ac:dyDescent="0.2">
      <c r="A77">
        <f>ROW(Source!A95)</f>
        <v>95</v>
      </c>
      <c r="B77">
        <v>52430918</v>
      </c>
      <c r="C77">
        <v>52431557</v>
      </c>
      <c r="D77">
        <v>51866985</v>
      </c>
      <c r="E77">
        <v>1</v>
      </c>
      <c r="F77">
        <v>1</v>
      </c>
      <c r="G77">
        <v>27</v>
      </c>
      <c r="H77">
        <v>3</v>
      </c>
      <c r="I77" t="s">
        <v>41</v>
      </c>
      <c r="J77" t="s">
        <v>43</v>
      </c>
      <c r="K77" t="s">
        <v>42</v>
      </c>
      <c r="L77">
        <v>1339</v>
      </c>
      <c r="N77">
        <v>1007</v>
      </c>
      <c r="O77" t="s">
        <v>28</v>
      </c>
      <c r="P77" t="s">
        <v>28</v>
      </c>
      <c r="Q77">
        <v>1</v>
      </c>
      <c r="W77">
        <v>0</v>
      </c>
      <c r="X77">
        <v>-886425656</v>
      </c>
      <c r="Y77">
        <v>17.399999999999999</v>
      </c>
      <c r="AA77">
        <v>1763.75</v>
      </c>
      <c r="AB77">
        <v>0</v>
      </c>
      <c r="AC77">
        <v>0</v>
      </c>
      <c r="AD77">
        <v>0</v>
      </c>
      <c r="AE77">
        <v>1763.75</v>
      </c>
      <c r="AF77">
        <v>0</v>
      </c>
      <c r="AG77">
        <v>0</v>
      </c>
      <c r="AH77">
        <v>0</v>
      </c>
      <c r="AI77">
        <v>1</v>
      </c>
      <c r="AJ77">
        <v>1</v>
      </c>
      <c r="AK77">
        <v>1</v>
      </c>
      <c r="AL77">
        <v>1</v>
      </c>
      <c r="AN77">
        <v>0</v>
      </c>
      <c r="AO77">
        <v>0</v>
      </c>
      <c r="AP77">
        <v>0</v>
      </c>
      <c r="AQ77">
        <v>0</v>
      </c>
      <c r="AR77">
        <v>0</v>
      </c>
      <c r="AS77" t="s">
        <v>3</v>
      </c>
      <c r="AT77">
        <v>17.399999999999999</v>
      </c>
      <c r="AU77" t="s">
        <v>3</v>
      </c>
      <c r="AV77">
        <v>0</v>
      </c>
      <c r="AW77">
        <v>1</v>
      </c>
      <c r="AX77">
        <v>-1</v>
      </c>
      <c r="AY77">
        <v>0</v>
      </c>
      <c r="AZ77">
        <v>0</v>
      </c>
      <c r="BA77" t="s">
        <v>3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CX77">
        <f>Y77*Source!I95</f>
        <v>14.615999999999998</v>
      </c>
      <c r="CY77">
        <f>AA77</f>
        <v>1763.75</v>
      </c>
      <c r="CZ77">
        <f>AE77</f>
        <v>1763.75</v>
      </c>
      <c r="DA77">
        <f>AI77</f>
        <v>1</v>
      </c>
      <c r="DB77">
        <f t="shared" si="5"/>
        <v>30689.25</v>
      </c>
      <c r="DC77">
        <f t="shared" si="6"/>
        <v>0</v>
      </c>
    </row>
    <row r="78" spans="1:107" x14ac:dyDescent="0.2">
      <c r="A78">
        <f>ROW(Source!A95)</f>
        <v>95</v>
      </c>
      <c r="B78">
        <v>52430918</v>
      </c>
      <c r="C78">
        <v>52431557</v>
      </c>
      <c r="D78">
        <v>51866999</v>
      </c>
      <c r="E78">
        <v>1</v>
      </c>
      <c r="F78">
        <v>1</v>
      </c>
      <c r="G78">
        <v>27</v>
      </c>
      <c r="H78">
        <v>3</v>
      </c>
      <c r="I78" t="s">
        <v>45</v>
      </c>
      <c r="J78" t="s">
        <v>47</v>
      </c>
      <c r="K78" t="s">
        <v>46</v>
      </c>
      <c r="L78">
        <v>1339</v>
      </c>
      <c r="N78">
        <v>1007</v>
      </c>
      <c r="O78" t="s">
        <v>28</v>
      </c>
      <c r="P78" t="s">
        <v>28</v>
      </c>
      <c r="Q78">
        <v>1</v>
      </c>
      <c r="W78">
        <v>1</v>
      </c>
      <c r="X78">
        <v>1744717608</v>
      </c>
      <c r="Y78">
        <v>-17.399999999999999</v>
      </c>
      <c r="AA78">
        <v>1436.5</v>
      </c>
      <c r="AB78">
        <v>0</v>
      </c>
      <c r="AC78">
        <v>0</v>
      </c>
      <c r="AD78">
        <v>0</v>
      </c>
      <c r="AE78">
        <v>1436.5</v>
      </c>
      <c r="AF78">
        <v>0</v>
      </c>
      <c r="AG78">
        <v>0</v>
      </c>
      <c r="AH78">
        <v>0</v>
      </c>
      <c r="AI78">
        <v>1</v>
      </c>
      <c r="AJ78">
        <v>1</v>
      </c>
      <c r="AK78">
        <v>1</v>
      </c>
      <c r="AL78">
        <v>1</v>
      </c>
      <c r="AN78">
        <v>0</v>
      </c>
      <c r="AO78">
        <v>1</v>
      </c>
      <c r="AP78">
        <v>0</v>
      </c>
      <c r="AQ78">
        <v>0</v>
      </c>
      <c r="AR78">
        <v>0</v>
      </c>
      <c r="AS78" t="s">
        <v>3</v>
      </c>
      <c r="AT78">
        <v>-17.399999999999999</v>
      </c>
      <c r="AU78" t="s">
        <v>3</v>
      </c>
      <c r="AV78">
        <v>0</v>
      </c>
      <c r="AW78">
        <v>2</v>
      </c>
      <c r="AX78">
        <v>52431567</v>
      </c>
      <c r="AY78">
        <v>1</v>
      </c>
      <c r="AZ78">
        <v>6144</v>
      </c>
      <c r="BA78">
        <v>74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CX78">
        <f>Y78*Source!I95</f>
        <v>-14.615999999999998</v>
      </c>
      <c r="CY78">
        <f>AA78</f>
        <v>1436.5</v>
      </c>
      <c r="CZ78">
        <f>AE78</f>
        <v>1436.5</v>
      </c>
      <c r="DA78">
        <f>AI78</f>
        <v>1</v>
      </c>
      <c r="DB78">
        <f t="shared" si="5"/>
        <v>-24995.1</v>
      </c>
      <c r="DC78">
        <f t="shared" si="6"/>
        <v>0</v>
      </c>
    </row>
    <row r="79" spans="1:107" x14ac:dyDescent="0.2">
      <c r="A79">
        <f>ROW(Source!A95)</f>
        <v>95</v>
      </c>
      <c r="B79">
        <v>52430918</v>
      </c>
      <c r="C79">
        <v>52431557</v>
      </c>
      <c r="D79">
        <v>51867705</v>
      </c>
      <c r="E79">
        <v>1</v>
      </c>
      <c r="F79">
        <v>1</v>
      </c>
      <c r="G79">
        <v>27</v>
      </c>
      <c r="H79">
        <v>3</v>
      </c>
      <c r="I79" t="s">
        <v>405</v>
      </c>
      <c r="J79" t="s">
        <v>406</v>
      </c>
      <c r="K79" t="s">
        <v>407</v>
      </c>
      <c r="L79">
        <v>1339</v>
      </c>
      <c r="N79">
        <v>1007</v>
      </c>
      <c r="O79" t="s">
        <v>28</v>
      </c>
      <c r="P79" t="s">
        <v>28</v>
      </c>
      <c r="Q79">
        <v>1</v>
      </c>
      <c r="W79">
        <v>0</v>
      </c>
      <c r="X79">
        <v>1927597627</v>
      </c>
      <c r="Y79">
        <v>2</v>
      </c>
      <c r="AA79">
        <v>35.25</v>
      </c>
      <c r="AB79">
        <v>0</v>
      </c>
      <c r="AC79">
        <v>0</v>
      </c>
      <c r="AD79">
        <v>0</v>
      </c>
      <c r="AE79">
        <v>35.25</v>
      </c>
      <c r="AF79">
        <v>0</v>
      </c>
      <c r="AG79">
        <v>0</v>
      </c>
      <c r="AH79">
        <v>0</v>
      </c>
      <c r="AI79">
        <v>1</v>
      </c>
      <c r="AJ79">
        <v>1</v>
      </c>
      <c r="AK79">
        <v>1</v>
      </c>
      <c r="AL79">
        <v>1</v>
      </c>
      <c r="AN79">
        <v>0</v>
      </c>
      <c r="AO79">
        <v>1</v>
      </c>
      <c r="AP79">
        <v>0</v>
      </c>
      <c r="AQ79">
        <v>0</v>
      </c>
      <c r="AR79">
        <v>0</v>
      </c>
      <c r="AS79" t="s">
        <v>3</v>
      </c>
      <c r="AT79">
        <v>2</v>
      </c>
      <c r="AU79" t="s">
        <v>3</v>
      </c>
      <c r="AV79">
        <v>0</v>
      </c>
      <c r="AW79">
        <v>2</v>
      </c>
      <c r="AX79">
        <v>52431568</v>
      </c>
      <c r="AY79">
        <v>1</v>
      </c>
      <c r="AZ79">
        <v>0</v>
      </c>
      <c r="BA79">
        <v>75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CX79">
        <f>Y79*Source!I95</f>
        <v>1.68</v>
      </c>
      <c r="CY79">
        <f>AA79</f>
        <v>35.25</v>
      </c>
      <c r="CZ79">
        <f>AE79</f>
        <v>35.25</v>
      </c>
      <c r="DA79">
        <f>AI79</f>
        <v>1</v>
      </c>
      <c r="DB79">
        <f t="shared" si="5"/>
        <v>70.5</v>
      </c>
      <c r="DC79">
        <f t="shared" si="6"/>
        <v>0</v>
      </c>
    </row>
    <row r="80" spans="1:107" x14ac:dyDescent="0.2">
      <c r="A80">
        <f>ROW(Source!A98)</f>
        <v>98</v>
      </c>
      <c r="B80">
        <v>52430918</v>
      </c>
      <c r="C80">
        <v>52431571</v>
      </c>
      <c r="D80">
        <v>51848379</v>
      </c>
      <c r="E80">
        <v>27</v>
      </c>
      <c r="F80">
        <v>1</v>
      </c>
      <c r="G80">
        <v>27</v>
      </c>
      <c r="H80">
        <v>1</v>
      </c>
      <c r="I80" t="s">
        <v>378</v>
      </c>
      <c r="J80" t="s">
        <v>3</v>
      </c>
      <c r="K80" t="s">
        <v>379</v>
      </c>
      <c r="L80">
        <v>1191</v>
      </c>
      <c r="N80">
        <v>1013</v>
      </c>
      <c r="O80" t="s">
        <v>380</v>
      </c>
      <c r="P80" t="s">
        <v>380</v>
      </c>
      <c r="Q80">
        <v>1</v>
      </c>
      <c r="W80">
        <v>0</v>
      </c>
      <c r="X80">
        <v>476480486</v>
      </c>
      <c r="Y80">
        <v>10.3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1</v>
      </c>
      <c r="AJ80">
        <v>1</v>
      </c>
      <c r="AK80">
        <v>1</v>
      </c>
      <c r="AL80">
        <v>1</v>
      </c>
      <c r="AN80">
        <v>0</v>
      </c>
      <c r="AO80">
        <v>1</v>
      </c>
      <c r="AP80">
        <v>0</v>
      </c>
      <c r="AQ80">
        <v>0</v>
      </c>
      <c r="AR80">
        <v>0</v>
      </c>
      <c r="AS80" t="s">
        <v>3</v>
      </c>
      <c r="AT80">
        <v>10.3</v>
      </c>
      <c r="AU80" t="s">
        <v>3</v>
      </c>
      <c r="AV80">
        <v>1</v>
      </c>
      <c r="AW80">
        <v>2</v>
      </c>
      <c r="AX80">
        <v>52431576</v>
      </c>
      <c r="AY80">
        <v>1</v>
      </c>
      <c r="AZ80">
        <v>0</v>
      </c>
      <c r="BA80">
        <v>76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CX80">
        <f>Y80*Source!I98</f>
        <v>8.652000000000001</v>
      </c>
      <c r="CY80">
        <f>AD80</f>
        <v>0</v>
      </c>
      <c r="CZ80">
        <f>AH80</f>
        <v>0</v>
      </c>
      <c r="DA80">
        <f>AL80</f>
        <v>1</v>
      </c>
      <c r="DB80">
        <f t="shared" si="5"/>
        <v>0</v>
      </c>
      <c r="DC80">
        <f t="shared" si="6"/>
        <v>0</v>
      </c>
    </row>
    <row r="81" spans="1:107" x14ac:dyDescent="0.2">
      <c r="A81">
        <f>ROW(Source!A98)</f>
        <v>98</v>
      </c>
      <c r="B81">
        <v>52430918</v>
      </c>
      <c r="C81">
        <v>52431571</v>
      </c>
      <c r="D81">
        <v>51864991</v>
      </c>
      <c r="E81">
        <v>1</v>
      </c>
      <c r="F81">
        <v>1</v>
      </c>
      <c r="G81">
        <v>27</v>
      </c>
      <c r="H81">
        <v>2</v>
      </c>
      <c r="I81" t="s">
        <v>408</v>
      </c>
      <c r="J81" t="s">
        <v>409</v>
      </c>
      <c r="K81" t="s">
        <v>410</v>
      </c>
      <c r="L81">
        <v>1368</v>
      </c>
      <c r="N81">
        <v>1011</v>
      </c>
      <c r="O81" t="s">
        <v>84</v>
      </c>
      <c r="P81" t="s">
        <v>84</v>
      </c>
      <c r="Q81">
        <v>1</v>
      </c>
      <c r="W81">
        <v>0</v>
      </c>
      <c r="X81">
        <v>-1043398787</v>
      </c>
      <c r="Y81">
        <v>0.89</v>
      </c>
      <c r="AA81">
        <v>0</v>
      </c>
      <c r="AB81">
        <v>1261.8699999999999</v>
      </c>
      <c r="AC81">
        <v>530.02</v>
      </c>
      <c r="AD81">
        <v>0</v>
      </c>
      <c r="AE81">
        <v>0</v>
      </c>
      <c r="AF81">
        <v>1261.8699999999999</v>
      </c>
      <c r="AG81">
        <v>530.02</v>
      </c>
      <c r="AH81">
        <v>0</v>
      </c>
      <c r="AI81">
        <v>1</v>
      </c>
      <c r="AJ81">
        <v>1</v>
      </c>
      <c r="AK81">
        <v>1</v>
      </c>
      <c r="AL81">
        <v>1</v>
      </c>
      <c r="AN81">
        <v>0</v>
      </c>
      <c r="AO81">
        <v>1</v>
      </c>
      <c r="AP81">
        <v>0</v>
      </c>
      <c r="AQ81">
        <v>0</v>
      </c>
      <c r="AR81">
        <v>0</v>
      </c>
      <c r="AS81" t="s">
        <v>3</v>
      </c>
      <c r="AT81">
        <v>0.89</v>
      </c>
      <c r="AU81" t="s">
        <v>3</v>
      </c>
      <c r="AV81">
        <v>0</v>
      </c>
      <c r="AW81">
        <v>2</v>
      </c>
      <c r="AX81">
        <v>52431577</v>
      </c>
      <c r="AY81">
        <v>1</v>
      </c>
      <c r="AZ81">
        <v>0</v>
      </c>
      <c r="BA81">
        <v>77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CX81">
        <f>Y81*Source!I98</f>
        <v>0.74759999999999993</v>
      </c>
      <c r="CY81">
        <f>AB81</f>
        <v>1261.8699999999999</v>
      </c>
      <c r="CZ81">
        <f>AF81</f>
        <v>1261.8699999999999</v>
      </c>
      <c r="DA81">
        <f>AJ81</f>
        <v>1</v>
      </c>
      <c r="DB81">
        <f t="shared" si="5"/>
        <v>1123.06</v>
      </c>
      <c r="DC81">
        <f t="shared" si="6"/>
        <v>471.72</v>
      </c>
    </row>
    <row r="82" spans="1:107" x14ac:dyDescent="0.2">
      <c r="A82">
        <f>ROW(Source!A98)</f>
        <v>98</v>
      </c>
      <c r="B82">
        <v>52430918</v>
      </c>
      <c r="C82">
        <v>52431571</v>
      </c>
      <c r="D82">
        <v>51865798</v>
      </c>
      <c r="E82">
        <v>1</v>
      </c>
      <c r="F82">
        <v>1</v>
      </c>
      <c r="G82">
        <v>27</v>
      </c>
      <c r="H82">
        <v>3</v>
      </c>
      <c r="I82" t="s">
        <v>411</v>
      </c>
      <c r="J82" t="s">
        <v>412</v>
      </c>
      <c r="K82" t="s">
        <v>413</v>
      </c>
      <c r="L82">
        <v>1348</v>
      </c>
      <c r="N82">
        <v>1009</v>
      </c>
      <c r="O82" t="s">
        <v>101</v>
      </c>
      <c r="P82" t="s">
        <v>101</v>
      </c>
      <c r="Q82">
        <v>1000</v>
      </c>
      <c r="W82">
        <v>0</v>
      </c>
      <c r="X82">
        <v>-68218516</v>
      </c>
      <c r="Y82">
        <v>0.06</v>
      </c>
      <c r="AA82">
        <v>25888.1</v>
      </c>
      <c r="AB82">
        <v>0</v>
      </c>
      <c r="AC82">
        <v>0</v>
      </c>
      <c r="AD82">
        <v>0</v>
      </c>
      <c r="AE82">
        <v>25888.1</v>
      </c>
      <c r="AF82">
        <v>0</v>
      </c>
      <c r="AG82">
        <v>0</v>
      </c>
      <c r="AH82">
        <v>0</v>
      </c>
      <c r="AI82">
        <v>1</v>
      </c>
      <c r="AJ82">
        <v>1</v>
      </c>
      <c r="AK82">
        <v>1</v>
      </c>
      <c r="AL82">
        <v>1</v>
      </c>
      <c r="AN82">
        <v>0</v>
      </c>
      <c r="AO82">
        <v>1</v>
      </c>
      <c r="AP82">
        <v>0</v>
      </c>
      <c r="AQ82">
        <v>0</v>
      </c>
      <c r="AR82">
        <v>0</v>
      </c>
      <c r="AS82" t="s">
        <v>3</v>
      </c>
      <c r="AT82">
        <v>0.06</v>
      </c>
      <c r="AU82" t="s">
        <v>3</v>
      </c>
      <c r="AV82">
        <v>0</v>
      </c>
      <c r="AW82">
        <v>2</v>
      </c>
      <c r="AX82">
        <v>52431578</v>
      </c>
      <c r="AY82">
        <v>1</v>
      </c>
      <c r="AZ82">
        <v>0</v>
      </c>
      <c r="BA82">
        <v>78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CX82">
        <f>Y82*Source!I98</f>
        <v>5.0399999999999993E-2</v>
      </c>
      <c r="CY82">
        <f>AA82</f>
        <v>25888.1</v>
      </c>
      <c r="CZ82">
        <f>AE82</f>
        <v>25888.1</v>
      </c>
      <c r="DA82">
        <f>AI82</f>
        <v>1</v>
      </c>
      <c r="DB82">
        <f t="shared" si="5"/>
        <v>1553.29</v>
      </c>
      <c r="DC82">
        <f t="shared" si="6"/>
        <v>0</v>
      </c>
    </row>
    <row r="83" spans="1:107" x14ac:dyDescent="0.2">
      <c r="A83">
        <f>ROW(Source!A98)</f>
        <v>98</v>
      </c>
      <c r="B83">
        <v>52430918</v>
      </c>
      <c r="C83">
        <v>52431571</v>
      </c>
      <c r="D83">
        <v>51868905</v>
      </c>
      <c r="E83">
        <v>1</v>
      </c>
      <c r="F83">
        <v>1</v>
      </c>
      <c r="G83">
        <v>27</v>
      </c>
      <c r="H83">
        <v>3</v>
      </c>
      <c r="I83" t="s">
        <v>414</v>
      </c>
      <c r="J83" t="s">
        <v>415</v>
      </c>
      <c r="K83" t="s">
        <v>416</v>
      </c>
      <c r="L83">
        <v>1348</v>
      </c>
      <c r="N83">
        <v>1009</v>
      </c>
      <c r="O83" t="s">
        <v>101</v>
      </c>
      <c r="P83" t="s">
        <v>101</v>
      </c>
      <c r="Q83">
        <v>1000</v>
      </c>
      <c r="W83">
        <v>0</v>
      </c>
      <c r="X83">
        <v>2062870502</v>
      </c>
      <c r="Y83">
        <v>7.14</v>
      </c>
      <c r="AA83">
        <v>2652.04</v>
      </c>
      <c r="AB83">
        <v>0</v>
      </c>
      <c r="AC83">
        <v>0</v>
      </c>
      <c r="AD83">
        <v>0</v>
      </c>
      <c r="AE83">
        <v>2652.04</v>
      </c>
      <c r="AF83">
        <v>0</v>
      </c>
      <c r="AG83">
        <v>0</v>
      </c>
      <c r="AH83">
        <v>0</v>
      </c>
      <c r="AI83">
        <v>1</v>
      </c>
      <c r="AJ83">
        <v>1</v>
      </c>
      <c r="AK83">
        <v>1</v>
      </c>
      <c r="AL83">
        <v>1</v>
      </c>
      <c r="AN83">
        <v>0</v>
      </c>
      <c r="AO83">
        <v>1</v>
      </c>
      <c r="AP83">
        <v>0</v>
      </c>
      <c r="AQ83">
        <v>0</v>
      </c>
      <c r="AR83">
        <v>0</v>
      </c>
      <c r="AS83" t="s">
        <v>3</v>
      </c>
      <c r="AT83">
        <v>7.14</v>
      </c>
      <c r="AU83" t="s">
        <v>3</v>
      </c>
      <c r="AV83">
        <v>0</v>
      </c>
      <c r="AW83">
        <v>2</v>
      </c>
      <c r="AX83">
        <v>52431579</v>
      </c>
      <c r="AY83">
        <v>1</v>
      </c>
      <c r="AZ83">
        <v>0</v>
      </c>
      <c r="BA83">
        <v>79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CX83">
        <f>Y83*Source!I98</f>
        <v>5.9975999999999994</v>
      </c>
      <c r="CY83">
        <f>AA83</f>
        <v>2652.04</v>
      </c>
      <c r="CZ83">
        <f>AE83</f>
        <v>2652.04</v>
      </c>
      <c r="DA83">
        <f>AI83</f>
        <v>1</v>
      </c>
      <c r="DB83">
        <f t="shared" si="5"/>
        <v>18935.57</v>
      </c>
      <c r="DC83">
        <f t="shared" si="6"/>
        <v>0</v>
      </c>
    </row>
    <row r="84" spans="1:107" x14ac:dyDescent="0.2">
      <c r="A84">
        <f>ROW(Source!A99)</f>
        <v>99</v>
      </c>
      <c r="B84">
        <v>52430918</v>
      </c>
      <c r="C84">
        <v>52431580</v>
      </c>
      <c r="D84">
        <v>51848379</v>
      </c>
      <c r="E84">
        <v>27</v>
      </c>
      <c r="F84">
        <v>1</v>
      </c>
      <c r="G84">
        <v>27</v>
      </c>
      <c r="H84">
        <v>1</v>
      </c>
      <c r="I84" t="s">
        <v>378</v>
      </c>
      <c r="J84" t="s">
        <v>3</v>
      </c>
      <c r="K84" t="s">
        <v>379</v>
      </c>
      <c r="L84">
        <v>1191</v>
      </c>
      <c r="N84">
        <v>1013</v>
      </c>
      <c r="O84" t="s">
        <v>380</v>
      </c>
      <c r="P84" t="s">
        <v>380</v>
      </c>
      <c r="Q84">
        <v>1</v>
      </c>
      <c r="W84">
        <v>0</v>
      </c>
      <c r="X84">
        <v>476480486</v>
      </c>
      <c r="Y84">
        <v>18.440000000000001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1</v>
      </c>
      <c r="AJ84">
        <v>1</v>
      </c>
      <c r="AK84">
        <v>1</v>
      </c>
      <c r="AL84">
        <v>1</v>
      </c>
      <c r="AN84">
        <v>0</v>
      </c>
      <c r="AO84">
        <v>1</v>
      </c>
      <c r="AP84">
        <v>0</v>
      </c>
      <c r="AQ84">
        <v>0</v>
      </c>
      <c r="AR84">
        <v>0</v>
      </c>
      <c r="AS84" t="s">
        <v>3</v>
      </c>
      <c r="AT84">
        <v>18.440000000000001</v>
      </c>
      <c r="AU84" t="s">
        <v>3</v>
      </c>
      <c r="AV84">
        <v>1</v>
      </c>
      <c r="AW84">
        <v>2</v>
      </c>
      <c r="AX84">
        <v>52431591</v>
      </c>
      <c r="AY84">
        <v>1</v>
      </c>
      <c r="AZ84">
        <v>0</v>
      </c>
      <c r="BA84">
        <v>80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CX84">
        <f>Y84*Source!I99</f>
        <v>15.489600000000001</v>
      </c>
      <c r="CY84">
        <f>AD84</f>
        <v>0</v>
      </c>
      <c r="CZ84">
        <f>AH84</f>
        <v>0</v>
      </c>
      <c r="DA84">
        <f>AL84</f>
        <v>1</v>
      </c>
      <c r="DB84">
        <f t="shared" si="5"/>
        <v>0</v>
      </c>
      <c r="DC84">
        <f t="shared" si="6"/>
        <v>0</v>
      </c>
    </row>
    <row r="85" spans="1:107" x14ac:dyDescent="0.2">
      <c r="A85">
        <f>ROW(Source!A99)</f>
        <v>99</v>
      </c>
      <c r="B85">
        <v>52430918</v>
      </c>
      <c r="C85">
        <v>52431580</v>
      </c>
      <c r="D85">
        <v>51865492</v>
      </c>
      <c r="E85">
        <v>1</v>
      </c>
      <c r="F85">
        <v>1</v>
      </c>
      <c r="G85">
        <v>27</v>
      </c>
      <c r="H85">
        <v>2</v>
      </c>
      <c r="I85" t="s">
        <v>417</v>
      </c>
      <c r="J85" t="s">
        <v>418</v>
      </c>
      <c r="K85" t="s">
        <v>419</v>
      </c>
      <c r="L85">
        <v>1368</v>
      </c>
      <c r="N85">
        <v>1011</v>
      </c>
      <c r="O85" t="s">
        <v>84</v>
      </c>
      <c r="P85" t="s">
        <v>84</v>
      </c>
      <c r="Q85">
        <v>1</v>
      </c>
      <c r="W85">
        <v>0</v>
      </c>
      <c r="X85">
        <v>72422803</v>
      </c>
      <c r="Y85">
        <v>2.64</v>
      </c>
      <c r="AA85">
        <v>0</v>
      </c>
      <c r="AB85">
        <v>531.41</v>
      </c>
      <c r="AC85">
        <v>373.56</v>
      </c>
      <c r="AD85">
        <v>0</v>
      </c>
      <c r="AE85">
        <v>0</v>
      </c>
      <c r="AF85">
        <v>531.41</v>
      </c>
      <c r="AG85">
        <v>373.56</v>
      </c>
      <c r="AH85">
        <v>0</v>
      </c>
      <c r="AI85">
        <v>1</v>
      </c>
      <c r="AJ85">
        <v>1</v>
      </c>
      <c r="AK85">
        <v>1</v>
      </c>
      <c r="AL85">
        <v>1</v>
      </c>
      <c r="AN85">
        <v>0</v>
      </c>
      <c r="AO85">
        <v>1</v>
      </c>
      <c r="AP85">
        <v>0</v>
      </c>
      <c r="AQ85">
        <v>0</v>
      </c>
      <c r="AR85">
        <v>0</v>
      </c>
      <c r="AS85" t="s">
        <v>3</v>
      </c>
      <c r="AT85">
        <v>2.64</v>
      </c>
      <c r="AU85" t="s">
        <v>3</v>
      </c>
      <c r="AV85">
        <v>0</v>
      </c>
      <c r="AW85">
        <v>2</v>
      </c>
      <c r="AX85">
        <v>52431592</v>
      </c>
      <c r="AY85">
        <v>1</v>
      </c>
      <c r="AZ85">
        <v>0</v>
      </c>
      <c r="BA85">
        <v>81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CX85">
        <f>Y85*Source!I99</f>
        <v>2.2176</v>
      </c>
      <c r="CY85">
        <f>AB85</f>
        <v>531.41</v>
      </c>
      <c r="CZ85">
        <f>AF85</f>
        <v>531.41</v>
      </c>
      <c r="DA85">
        <f>AJ85</f>
        <v>1</v>
      </c>
      <c r="DB85">
        <f t="shared" si="5"/>
        <v>1402.92</v>
      </c>
      <c r="DC85">
        <f t="shared" si="6"/>
        <v>986.2</v>
      </c>
    </row>
    <row r="86" spans="1:107" x14ac:dyDescent="0.2">
      <c r="A86">
        <f>ROW(Source!A99)</f>
        <v>99</v>
      </c>
      <c r="B86">
        <v>52430918</v>
      </c>
      <c r="C86">
        <v>52431580</v>
      </c>
      <c r="D86">
        <v>51865715</v>
      </c>
      <c r="E86">
        <v>1</v>
      </c>
      <c r="F86">
        <v>1</v>
      </c>
      <c r="G86">
        <v>27</v>
      </c>
      <c r="H86">
        <v>2</v>
      </c>
      <c r="I86" t="s">
        <v>420</v>
      </c>
      <c r="J86" t="s">
        <v>421</v>
      </c>
      <c r="K86" t="s">
        <v>422</v>
      </c>
      <c r="L86">
        <v>1368</v>
      </c>
      <c r="N86">
        <v>1011</v>
      </c>
      <c r="O86" t="s">
        <v>84</v>
      </c>
      <c r="P86" t="s">
        <v>84</v>
      </c>
      <c r="Q86">
        <v>1</v>
      </c>
      <c r="W86">
        <v>0</v>
      </c>
      <c r="X86">
        <v>592514182</v>
      </c>
      <c r="Y86">
        <v>1.18</v>
      </c>
      <c r="AA86">
        <v>0</v>
      </c>
      <c r="AB86">
        <v>7.44</v>
      </c>
      <c r="AC86">
        <v>0.98</v>
      </c>
      <c r="AD86">
        <v>0</v>
      </c>
      <c r="AE86">
        <v>0</v>
      </c>
      <c r="AF86">
        <v>7.44</v>
      </c>
      <c r="AG86">
        <v>0.98</v>
      </c>
      <c r="AH86">
        <v>0</v>
      </c>
      <c r="AI86">
        <v>1</v>
      </c>
      <c r="AJ86">
        <v>1</v>
      </c>
      <c r="AK86">
        <v>1</v>
      </c>
      <c r="AL86">
        <v>1</v>
      </c>
      <c r="AN86">
        <v>0</v>
      </c>
      <c r="AO86">
        <v>1</v>
      </c>
      <c r="AP86">
        <v>0</v>
      </c>
      <c r="AQ86">
        <v>0</v>
      </c>
      <c r="AR86">
        <v>0</v>
      </c>
      <c r="AS86" t="s">
        <v>3</v>
      </c>
      <c r="AT86">
        <v>1.18</v>
      </c>
      <c r="AU86" t="s">
        <v>3</v>
      </c>
      <c r="AV86">
        <v>0</v>
      </c>
      <c r="AW86">
        <v>2</v>
      </c>
      <c r="AX86">
        <v>52431593</v>
      </c>
      <c r="AY86">
        <v>1</v>
      </c>
      <c r="AZ86">
        <v>0</v>
      </c>
      <c r="BA86">
        <v>82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CX86">
        <f>Y86*Source!I99</f>
        <v>0.99119999999999986</v>
      </c>
      <c r="CY86">
        <f>AB86</f>
        <v>7.44</v>
      </c>
      <c r="CZ86">
        <f>AF86</f>
        <v>7.44</v>
      </c>
      <c r="DA86">
        <f>AJ86</f>
        <v>1</v>
      </c>
      <c r="DB86">
        <f t="shared" si="5"/>
        <v>8.7799999999999994</v>
      </c>
      <c r="DC86">
        <f t="shared" si="6"/>
        <v>1.1599999999999999</v>
      </c>
    </row>
    <row r="87" spans="1:107" x14ac:dyDescent="0.2">
      <c r="A87">
        <f>ROW(Source!A99)</f>
        <v>99</v>
      </c>
      <c r="B87">
        <v>52430918</v>
      </c>
      <c r="C87">
        <v>52431580</v>
      </c>
      <c r="D87">
        <v>51864917</v>
      </c>
      <c r="E87">
        <v>1</v>
      </c>
      <c r="F87">
        <v>1</v>
      </c>
      <c r="G87">
        <v>27</v>
      </c>
      <c r="H87">
        <v>2</v>
      </c>
      <c r="I87" t="s">
        <v>423</v>
      </c>
      <c r="J87" t="s">
        <v>424</v>
      </c>
      <c r="K87" t="s">
        <v>425</v>
      </c>
      <c r="L87">
        <v>1368</v>
      </c>
      <c r="N87">
        <v>1011</v>
      </c>
      <c r="O87" t="s">
        <v>84</v>
      </c>
      <c r="P87" t="s">
        <v>84</v>
      </c>
      <c r="Q87">
        <v>1</v>
      </c>
      <c r="W87">
        <v>0</v>
      </c>
      <c r="X87">
        <v>-2052459773</v>
      </c>
      <c r="Y87">
        <v>0.01</v>
      </c>
      <c r="AA87">
        <v>0</v>
      </c>
      <c r="AB87">
        <v>616.73</v>
      </c>
      <c r="AC87">
        <v>511.29</v>
      </c>
      <c r="AD87">
        <v>0</v>
      </c>
      <c r="AE87">
        <v>0</v>
      </c>
      <c r="AF87">
        <v>616.73</v>
      </c>
      <c r="AG87">
        <v>511.29</v>
      </c>
      <c r="AH87">
        <v>0</v>
      </c>
      <c r="AI87">
        <v>1</v>
      </c>
      <c r="AJ87">
        <v>1</v>
      </c>
      <c r="AK87">
        <v>1</v>
      </c>
      <c r="AL87">
        <v>1</v>
      </c>
      <c r="AN87">
        <v>0</v>
      </c>
      <c r="AO87">
        <v>1</v>
      </c>
      <c r="AP87">
        <v>0</v>
      </c>
      <c r="AQ87">
        <v>0</v>
      </c>
      <c r="AR87">
        <v>0</v>
      </c>
      <c r="AS87" t="s">
        <v>3</v>
      </c>
      <c r="AT87">
        <v>0.01</v>
      </c>
      <c r="AU87" t="s">
        <v>3</v>
      </c>
      <c r="AV87">
        <v>0</v>
      </c>
      <c r="AW87">
        <v>2</v>
      </c>
      <c r="AX87">
        <v>52431594</v>
      </c>
      <c r="AY87">
        <v>1</v>
      </c>
      <c r="AZ87">
        <v>0</v>
      </c>
      <c r="BA87">
        <v>83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CX87">
        <f>Y87*Source!I99</f>
        <v>8.3999999999999995E-3</v>
      </c>
      <c r="CY87">
        <f>AB87</f>
        <v>616.73</v>
      </c>
      <c r="CZ87">
        <f>AF87</f>
        <v>616.73</v>
      </c>
      <c r="DA87">
        <f>AJ87</f>
        <v>1</v>
      </c>
      <c r="DB87">
        <f t="shared" si="5"/>
        <v>6.17</v>
      </c>
      <c r="DC87">
        <f t="shared" si="6"/>
        <v>5.1100000000000003</v>
      </c>
    </row>
    <row r="88" spans="1:107" x14ac:dyDescent="0.2">
      <c r="A88">
        <f>ROW(Source!A99)</f>
        <v>99</v>
      </c>
      <c r="B88">
        <v>52430918</v>
      </c>
      <c r="C88">
        <v>52431580</v>
      </c>
      <c r="D88">
        <v>51865101</v>
      </c>
      <c r="E88">
        <v>1</v>
      </c>
      <c r="F88">
        <v>1</v>
      </c>
      <c r="G88">
        <v>27</v>
      </c>
      <c r="H88">
        <v>2</v>
      </c>
      <c r="I88" t="s">
        <v>426</v>
      </c>
      <c r="J88" t="s">
        <v>427</v>
      </c>
      <c r="K88" t="s">
        <v>428</v>
      </c>
      <c r="L88">
        <v>1368</v>
      </c>
      <c r="N88">
        <v>1011</v>
      </c>
      <c r="O88" t="s">
        <v>84</v>
      </c>
      <c r="P88" t="s">
        <v>84</v>
      </c>
      <c r="Q88">
        <v>1</v>
      </c>
      <c r="W88">
        <v>0</v>
      </c>
      <c r="X88">
        <v>1110189246</v>
      </c>
      <c r="Y88">
        <v>2.64</v>
      </c>
      <c r="AA88">
        <v>0</v>
      </c>
      <c r="AB88">
        <v>454.31</v>
      </c>
      <c r="AC88">
        <v>405.68</v>
      </c>
      <c r="AD88">
        <v>0</v>
      </c>
      <c r="AE88">
        <v>0</v>
      </c>
      <c r="AF88">
        <v>454.31</v>
      </c>
      <c r="AG88">
        <v>405.68</v>
      </c>
      <c r="AH88">
        <v>0</v>
      </c>
      <c r="AI88">
        <v>1</v>
      </c>
      <c r="AJ88">
        <v>1</v>
      </c>
      <c r="AK88">
        <v>1</v>
      </c>
      <c r="AL88">
        <v>1</v>
      </c>
      <c r="AN88">
        <v>0</v>
      </c>
      <c r="AO88">
        <v>1</v>
      </c>
      <c r="AP88">
        <v>0</v>
      </c>
      <c r="AQ88">
        <v>0</v>
      </c>
      <c r="AR88">
        <v>0</v>
      </c>
      <c r="AS88" t="s">
        <v>3</v>
      </c>
      <c r="AT88">
        <v>2.64</v>
      </c>
      <c r="AU88" t="s">
        <v>3</v>
      </c>
      <c r="AV88">
        <v>0</v>
      </c>
      <c r="AW88">
        <v>2</v>
      </c>
      <c r="AX88">
        <v>52431595</v>
      </c>
      <c r="AY88">
        <v>1</v>
      </c>
      <c r="AZ88">
        <v>0</v>
      </c>
      <c r="BA88">
        <v>84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CX88">
        <f>Y88*Source!I99</f>
        <v>2.2176</v>
      </c>
      <c r="CY88">
        <f>AB88</f>
        <v>454.31</v>
      </c>
      <c r="CZ88">
        <f>AF88</f>
        <v>454.31</v>
      </c>
      <c r="DA88">
        <f>AJ88</f>
        <v>1</v>
      </c>
      <c r="DB88">
        <f t="shared" si="5"/>
        <v>1199.3800000000001</v>
      </c>
      <c r="DC88">
        <f t="shared" si="6"/>
        <v>1071</v>
      </c>
    </row>
    <row r="89" spans="1:107" x14ac:dyDescent="0.2">
      <c r="A89">
        <f>ROW(Source!A99)</f>
        <v>99</v>
      </c>
      <c r="B89">
        <v>52430918</v>
      </c>
      <c r="C89">
        <v>52431580</v>
      </c>
      <c r="D89">
        <v>51867926</v>
      </c>
      <c r="E89">
        <v>1</v>
      </c>
      <c r="F89">
        <v>1</v>
      </c>
      <c r="G89">
        <v>27</v>
      </c>
      <c r="H89">
        <v>3</v>
      </c>
      <c r="I89" t="s">
        <v>429</v>
      </c>
      <c r="J89" t="s">
        <v>430</v>
      </c>
      <c r="K89" t="s">
        <v>431</v>
      </c>
      <c r="L89">
        <v>1327</v>
      </c>
      <c r="N89">
        <v>1005</v>
      </c>
      <c r="O89" t="s">
        <v>298</v>
      </c>
      <c r="P89" t="s">
        <v>298</v>
      </c>
      <c r="Q89">
        <v>1</v>
      </c>
      <c r="W89">
        <v>0</v>
      </c>
      <c r="X89">
        <v>-1185010663</v>
      </c>
      <c r="Y89">
        <v>5.6</v>
      </c>
      <c r="AA89">
        <v>12.02</v>
      </c>
      <c r="AB89">
        <v>0</v>
      </c>
      <c r="AC89">
        <v>0</v>
      </c>
      <c r="AD89">
        <v>0</v>
      </c>
      <c r="AE89">
        <v>12.02</v>
      </c>
      <c r="AF89">
        <v>0</v>
      </c>
      <c r="AG89">
        <v>0</v>
      </c>
      <c r="AH89">
        <v>0</v>
      </c>
      <c r="AI89">
        <v>1</v>
      </c>
      <c r="AJ89">
        <v>1</v>
      </c>
      <c r="AK89">
        <v>1</v>
      </c>
      <c r="AL89">
        <v>1</v>
      </c>
      <c r="AN89">
        <v>0</v>
      </c>
      <c r="AO89">
        <v>1</v>
      </c>
      <c r="AP89">
        <v>0</v>
      </c>
      <c r="AQ89">
        <v>0</v>
      </c>
      <c r="AR89">
        <v>0</v>
      </c>
      <c r="AS89" t="s">
        <v>3</v>
      </c>
      <c r="AT89">
        <v>5.6</v>
      </c>
      <c r="AU89" t="s">
        <v>3</v>
      </c>
      <c r="AV89">
        <v>0</v>
      </c>
      <c r="AW89">
        <v>2</v>
      </c>
      <c r="AX89">
        <v>52431596</v>
      </c>
      <c r="AY89">
        <v>1</v>
      </c>
      <c r="AZ89">
        <v>0</v>
      </c>
      <c r="BA89">
        <v>85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CX89">
        <f>Y89*Source!I99</f>
        <v>4.7039999999999997</v>
      </c>
      <c r="CY89">
        <f>AA89</f>
        <v>12.02</v>
      </c>
      <c r="CZ89">
        <f>AE89</f>
        <v>12.02</v>
      </c>
      <c r="DA89">
        <f>AI89</f>
        <v>1</v>
      </c>
      <c r="DB89">
        <f t="shared" si="5"/>
        <v>67.31</v>
      </c>
      <c r="DC89">
        <f t="shared" si="6"/>
        <v>0</v>
      </c>
    </row>
    <row r="90" spans="1:107" x14ac:dyDescent="0.2">
      <c r="A90">
        <f>ROW(Source!A99)</f>
        <v>99</v>
      </c>
      <c r="B90">
        <v>52430918</v>
      </c>
      <c r="C90">
        <v>52431580</v>
      </c>
      <c r="D90">
        <v>51868013</v>
      </c>
      <c r="E90">
        <v>1</v>
      </c>
      <c r="F90">
        <v>1</v>
      </c>
      <c r="G90">
        <v>27</v>
      </c>
      <c r="H90">
        <v>3</v>
      </c>
      <c r="I90" t="s">
        <v>432</v>
      </c>
      <c r="J90" t="s">
        <v>433</v>
      </c>
      <c r="K90" t="s">
        <v>434</v>
      </c>
      <c r="L90">
        <v>1348</v>
      </c>
      <c r="N90">
        <v>1009</v>
      </c>
      <c r="O90" t="s">
        <v>101</v>
      </c>
      <c r="P90" t="s">
        <v>101</v>
      </c>
      <c r="Q90">
        <v>1000</v>
      </c>
      <c r="W90">
        <v>0</v>
      </c>
      <c r="X90">
        <v>1287476064</v>
      </c>
      <c r="Y90">
        <v>3.15E-3</v>
      </c>
      <c r="AA90">
        <v>343020.03</v>
      </c>
      <c r="AB90">
        <v>0</v>
      </c>
      <c r="AC90">
        <v>0</v>
      </c>
      <c r="AD90">
        <v>0</v>
      </c>
      <c r="AE90">
        <v>343020.03</v>
      </c>
      <c r="AF90">
        <v>0</v>
      </c>
      <c r="AG90">
        <v>0</v>
      </c>
      <c r="AH90">
        <v>0</v>
      </c>
      <c r="AI90">
        <v>1</v>
      </c>
      <c r="AJ90">
        <v>1</v>
      </c>
      <c r="AK90">
        <v>1</v>
      </c>
      <c r="AL90">
        <v>1</v>
      </c>
      <c r="AN90">
        <v>0</v>
      </c>
      <c r="AO90">
        <v>1</v>
      </c>
      <c r="AP90">
        <v>0</v>
      </c>
      <c r="AQ90">
        <v>0</v>
      </c>
      <c r="AR90">
        <v>0</v>
      </c>
      <c r="AS90" t="s">
        <v>3</v>
      </c>
      <c r="AT90">
        <v>3.15E-3</v>
      </c>
      <c r="AU90" t="s">
        <v>3</v>
      </c>
      <c r="AV90">
        <v>0</v>
      </c>
      <c r="AW90">
        <v>2</v>
      </c>
      <c r="AX90">
        <v>52431597</v>
      </c>
      <c r="AY90">
        <v>1</v>
      </c>
      <c r="AZ90">
        <v>0</v>
      </c>
      <c r="BA90">
        <v>86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CX90">
        <f>Y90*Source!I99</f>
        <v>2.6459999999999999E-3</v>
      </c>
      <c r="CY90">
        <f>AA90</f>
        <v>343020.03</v>
      </c>
      <c r="CZ90">
        <f>AE90</f>
        <v>343020.03</v>
      </c>
      <c r="DA90">
        <f>AI90</f>
        <v>1</v>
      </c>
      <c r="DB90">
        <f t="shared" si="5"/>
        <v>1080.51</v>
      </c>
      <c r="DC90">
        <f t="shared" si="6"/>
        <v>0</v>
      </c>
    </row>
    <row r="91" spans="1:107" x14ac:dyDescent="0.2">
      <c r="A91">
        <f>ROW(Source!A99)</f>
        <v>99</v>
      </c>
      <c r="B91">
        <v>52430918</v>
      </c>
      <c r="C91">
        <v>52431580</v>
      </c>
      <c r="D91">
        <v>51868230</v>
      </c>
      <c r="E91">
        <v>1</v>
      </c>
      <c r="F91">
        <v>1</v>
      </c>
      <c r="G91">
        <v>27</v>
      </c>
      <c r="H91">
        <v>3</v>
      </c>
      <c r="I91" t="s">
        <v>435</v>
      </c>
      <c r="J91" t="s">
        <v>436</v>
      </c>
      <c r="K91" t="s">
        <v>437</v>
      </c>
      <c r="L91">
        <v>1346</v>
      </c>
      <c r="N91">
        <v>1009</v>
      </c>
      <c r="O91" t="s">
        <v>438</v>
      </c>
      <c r="P91" t="s">
        <v>438</v>
      </c>
      <c r="Q91">
        <v>1</v>
      </c>
      <c r="W91">
        <v>0</v>
      </c>
      <c r="X91">
        <v>1696686191</v>
      </c>
      <c r="Y91">
        <v>735</v>
      </c>
      <c r="AA91">
        <v>17.77</v>
      </c>
      <c r="AB91">
        <v>0</v>
      </c>
      <c r="AC91">
        <v>0</v>
      </c>
      <c r="AD91">
        <v>0</v>
      </c>
      <c r="AE91">
        <v>17.77</v>
      </c>
      <c r="AF91">
        <v>0</v>
      </c>
      <c r="AG91">
        <v>0</v>
      </c>
      <c r="AH91">
        <v>0</v>
      </c>
      <c r="AI91">
        <v>1</v>
      </c>
      <c r="AJ91">
        <v>1</v>
      </c>
      <c r="AK91">
        <v>1</v>
      </c>
      <c r="AL91">
        <v>1</v>
      </c>
      <c r="AN91">
        <v>0</v>
      </c>
      <c r="AO91">
        <v>1</v>
      </c>
      <c r="AP91">
        <v>0</v>
      </c>
      <c r="AQ91">
        <v>0</v>
      </c>
      <c r="AR91">
        <v>0</v>
      </c>
      <c r="AS91" t="s">
        <v>3</v>
      </c>
      <c r="AT91">
        <v>735</v>
      </c>
      <c r="AU91" t="s">
        <v>3</v>
      </c>
      <c r="AV91">
        <v>0</v>
      </c>
      <c r="AW91">
        <v>2</v>
      </c>
      <c r="AX91">
        <v>52431598</v>
      </c>
      <c r="AY91">
        <v>1</v>
      </c>
      <c r="AZ91">
        <v>0</v>
      </c>
      <c r="BA91">
        <v>87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CX91">
        <f>Y91*Source!I99</f>
        <v>617.4</v>
      </c>
      <c r="CY91">
        <f>AA91</f>
        <v>17.77</v>
      </c>
      <c r="CZ91">
        <f>AE91</f>
        <v>17.77</v>
      </c>
      <c r="DA91">
        <f>AI91</f>
        <v>1</v>
      </c>
      <c r="DB91">
        <f t="shared" si="5"/>
        <v>13060.95</v>
      </c>
      <c r="DC91">
        <f t="shared" si="6"/>
        <v>0</v>
      </c>
    </row>
    <row r="92" spans="1:107" x14ac:dyDescent="0.2">
      <c r="A92">
        <f>ROW(Source!A99)</f>
        <v>99</v>
      </c>
      <c r="B92">
        <v>52430918</v>
      </c>
      <c r="C92">
        <v>52431580</v>
      </c>
      <c r="D92">
        <v>51868237</v>
      </c>
      <c r="E92">
        <v>1</v>
      </c>
      <c r="F92">
        <v>1</v>
      </c>
      <c r="G92">
        <v>27</v>
      </c>
      <c r="H92">
        <v>3</v>
      </c>
      <c r="I92" t="s">
        <v>439</v>
      </c>
      <c r="J92" t="s">
        <v>440</v>
      </c>
      <c r="K92" t="s">
        <v>441</v>
      </c>
      <c r="L92">
        <v>1346</v>
      </c>
      <c r="N92">
        <v>1009</v>
      </c>
      <c r="O92" t="s">
        <v>438</v>
      </c>
      <c r="P92" t="s">
        <v>438</v>
      </c>
      <c r="Q92">
        <v>1</v>
      </c>
      <c r="W92">
        <v>0</v>
      </c>
      <c r="X92">
        <v>-319511878</v>
      </c>
      <c r="Y92">
        <v>241.5</v>
      </c>
      <c r="AA92">
        <v>202.34</v>
      </c>
      <c r="AB92">
        <v>0</v>
      </c>
      <c r="AC92">
        <v>0</v>
      </c>
      <c r="AD92">
        <v>0</v>
      </c>
      <c r="AE92">
        <v>202.34</v>
      </c>
      <c r="AF92">
        <v>0</v>
      </c>
      <c r="AG92">
        <v>0</v>
      </c>
      <c r="AH92">
        <v>0</v>
      </c>
      <c r="AI92">
        <v>1</v>
      </c>
      <c r="AJ92">
        <v>1</v>
      </c>
      <c r="AK92">
        <v>1</v>
      </c>
      <c r="AL92">
        <v>1</v>
      </c>
      <c r="AN92">
        <v>0</v>
      </c>
      <c r="AO92">
        <v>1</v>
      </c>
      <c r="AP92">
        <v>0</v>
      </c>
      <c r="AQ92">
        <v>0</v>
      </c>
      <c r="AR92">
        <v>0</v>
      </c>
      <c r="AS92" t="s">
        <v>3</v>
      </c>
      <c r="AT92">
        <v>241.5</v>
      </c>
      <c r="AU92" t="s">
        <v>3</v>
      </c>
      <c r="AV92">
        <v>0</v>
      </c>
      <c r="AW92">
        <v>2</v>
      </c>
      <c r="AX92">
        <v>52431599</v>
      </c>
      <c r="AY92">
        <v>1</v>
      </c>
      <c r="AZ92">
        <v>0</v>
      </c>
      <c r="BA92">
        <v>88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CX92">
        <f>Y92*Source!I99</f>
        <v>202.85999999999999</v>
      </c>
      <c r="CY92">
        <f>AA92</f>
        <v>202.34</v>
      </c>
      <c r="CZ92">
        <f>AE92</f>
        <v>202.34</v>
      </c>
      <c r="DA92">
        <f>AI92</f>
        <v>1</v>
      </c>
      <c r="DB92">
        <f t="shared" si="5"/>
        <v>48865.11</v>
      </c>
      <c r="DC92">
        <f t="shared" si="6"/>
        <v>0</v>
      </c>
    </row>
    <row r="93" spans="1:107" x14ac:dyDescent="0.2">
      <c r="A93">
        <f>ROW(Source!A99)</f>
        <v>99</v>
      </c>
      <c r="B93">
        <v>52430918</v>
      </c>
      <c r="C93">
        <v>52431580</v>
      </c>
      <c r="D93">
        <v>51866204</v>
      </c>
      <c r="E93">
        <v>1</v>
      </c>
      <c r="F93">
        <v>1</v>
      </c>
      <c r="G93">
        <v>27</v>
      </c>
      <c r="H93">
        <v>3</v>
      </c>
      <c r="I93" t="s">
        <v>442</v>
      </c>
      <c r="J93" t="s">
        <v>443</v>
      </c>
      <c r="K93" t="s">
        <v>444</v>
      </c>
      <c r="L93">
        <v>1348</v>
      </c>
      <c r="N93">
        <v>1009</v>
      </c>
      <c r="O93" t="s">
        <v>101</v>
      </c>
      <c r="P93" t="s">
        <v>101</v>
      </c>
      <c r="Q93">
        <v>1000</v>
      </c>
      <c r="W93">
        <v>0</v>
      </c>
      <c r="X93">
        <v>-1600259051</v>
      </c>
      <c r="Y93">
        <v>5.2499999999999998E-2</v>
      </c>
      <c r="AA93">
        <v>748299.67</v>
      </c>
      <c r="AB93">
        <v>0</v>
      </c>
      <c r="AC93">
        <v>0</v>
      </c>
      <c r="AD93">
        <v>0</v>
      </c>
      <c r="AE93">
        <v>748299.67</v>
      </c>
      <c r="AF93">
        <v>0</v>
      </c>
      <c r="AG93">
        <v>0</v>
      </c>
      <c r="AH93">
        <v>0</v>
      </c>
      <c r="AI93">
        <v>1</v>
      </c>
      <c r="AJ93">
        <v>1</v>
      </c>
      <c r="AK93">
        <v>1</v>
      </c>
      <c r="AL93">
        <v>1</v>
      </c>
      <c r="AN93">
        <v>0</v>
      </c>
      <c r="AO93">
        <v>1</v>
      </c>
      <c r="AP93">
        <v>0</v>
      </c>
      <c r="AQ93">
        <v>0</v>
      </c>
      <c r="AR93">
        <v>0</v>
      </c>
      <c r="AS93" t="s">
        <v>3</v>
      </c>
      <c r="AT93">
        <v>5.2499999999999998E-2</v>
      </c>
      <c r="AU93" t="s">
        <v>3</v>
      </c>
      <c r="AV93">
        <v>0</v>
      </c>
      <c r="AW93">
        <v>2</v>
      </c>
      <c r="AX93">
        <v>52431600</v>
      </c>
      <c r="AY93">
        <v>1</v>
      </c>
      <c r="AZ93">
        <v>0</v>
      </c>
      <c r="BA93">
        <v>89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CX93">
        <f>Y93*Source!I99</f>
        <v>4.4099999999999993E-2</v>
      </c>
      <c r="CY93">
        <f>AA93</f>
        <v>748299.67</v>
      </c>
      <c r="CZ93">
        <f>AE93</f>
        <v>748299.67</v>
      </c>
      <c r="DA93">
        <f>AI93</f>
        <v>1</v>
      </c>
      <c r="DB93">
        <f t="shared" si="5"/>
        <v>39285.730000000003</v>
      </c>
      <c r="DC93">
        <f t="shared" si="6"/>
        <v>0</v>
      </c>
    </row>
    <row r="94" spans="1:107" x14ac:dyDescent="0.2">
      <c r="A94">
        <f>ROW(Source!A100)</f>
        <v>100</v>
      </c>
      <c r="B94">
        <v>52430918</v>
      </c>
      <c r="C94">
        <v>52431601</v>
      </c>
      <c r="D94">
        <v>51848379</v>
      </c>
      <c r="E94">
        <v>27</v>
      </c>
      <c r="F94">
        <v>1</v>
      </c>
      <c r="G94">
        <v>27</v>
      </c>
      <c r="H94">
        <v>1</v>
      </c>
      <c r="I94" t="s">
        <v>378</v>
      </c>
      <c r="J94" t="s">
        <v>3</v>
      </c>
      <c r="K94" t="s">
        <v>379</v>
      </c>
      <c r="L94">
        <v>1191</v>
      </c>
      <c r="N94">
        <v>1013</v>
      </c>
      <c r="O94" t="s">
        <v>380</v>
      </c>
      <c r="P94" t="s">
        <v>380</v>
      </c>
      <c r="Q94">
        <v>1</v>
      </c>
      <c r="W94">
        <v>0</v>
      </c>
      <c r="X94">
        <v>476480486</v>
      </c>
      <c r="Y94">
        <v>2.65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1</v>
      </c>
      <c r="AJ94">
        <v>1</v>
      </c>
      <c r="AK94">
        <v>1</v>
      </c>
      <c r="AL94">
        <v>1</v>
      </c>
      <c r="AN94">
        <v>0</v>
      </c>
      <c r="AO94">
        <v>1</v>
      </c>
      <c r="AP94">
        <v>0</v>
      </c>
      <c r="AQ94">
        <v>0</v>
      </c>
      <c r="AR94">
        <v>0</v>
      </c>
      <c r="AS94" t="s">
        <v>3</v>
      </c>
      <c r="AT94">
        <v>2.65</v>
      </c>
      <c r="AU94" t="s">
        <v>3</v>
      </c>
      <c r="AV94">
        <v>1</v>
      </c>
      <c r="AW94">
        <v>2</v>
      </c>
      <c r="AX94">
        <v>52431608</v>
      </c>
      <c r="AY94">
        <v>1</v>
      </c>
      <c r="AZ94">
        <v>0</v>
      </c>
      <c r="BA94">
        <v>90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CX94">
        <f>Y94*Source!I100</f>
        <v>2.226</v>
      </c>
      <c r="CY94">
        <f>AD94</f>
        <v>0</v>
      </c>
      <c r="CZ94">
        <f>AH94</f>
        <v>0</v>
      </c>
      <c r="DA94">
        <f>AL94</f>
        <v>1</v>
      </c>
      <c r="DB94">
        <f t="shared" si="5"/>
        <v>0</v>
      </c>
      <c r="DC94">
        <f t="shared" si="6"/>
        <v>0</v>
      </c>
    </row>
    <row r="95" spans="1:107" x14ac:dyDescent="0.2">
      <c r="A95">
        <f>ROW(Source!A100)</f>
        <v>100</v>
      </c>
      <c r="B95">
        <v>52430918</v>
      </c>
      <c r="C95">
        <v>52431601</v>
      </c>
      <c r="D95">
        <v>51865492</v>
      </c>
      <c r="E95">
        <v>1</v>
      </c>
      <c r="F95">
        <v>1</v>
      </c>
      <c r="G95">
        <v>27</v>
      </c>
      <c r="H95">
        <v>2</v>
      </c>
      <c r="I95" t="s">
        <v>417</v>
      </c>
      <c r="J95" t="s">
        <v>418</v>
      </c>
      <c r="K95" t="s">
        <v>419</v>
      </c>
      <c r="L95">
        <v>1368</v>
      </c>
      <c r="N95">
        <v>1011</v>
      </c>
      <c r="O95" t="s">
        <v>84</v>
      </c>
      <c r="P95" t="s">
        <v>84</v>
      </c>
      <c r="Q95">
        <v>1</v>
      </c>
      <c r="W95">
        <v>0</v>
      </c>
      <c r="X95">
        <v>72422803</v>
      </c>
      <c r="Y95">
        <v>0.5</v>
      </c>
      <c r="AA95">
        <v>0</v>
      </c>
      <c r="AB95">
        <v>531.41</v>
      </c>
      <c r="AC95">
        <v>373.56</v>
      </c>
      <c r="AD95">
        <v>0</v>
      </c>
      <c r="AE95">
        <v>0</v>
      </c>
      <c r="AF95">
        <v>531.41</v>
      </c>
      <c r="AG95">
        <v>373.56</v>
      </c>
      <c r="AH95">
        <v>0</v>
      </c>
      <c r="AI95">
        <v>1</v>
      </c>
      <c r="AJ95">
        <v>1</v>
      </c>
      <c r="AK95">
        <v>1</v>
      </c>
      <c r="AL95">
        <v>1</v>
      </c>
      <c r="AN95">
        <v>0</v>
      </c>
      <c r="AO95">
        <v>1</v>
      </c>
      <c r="AP95">
        <v>0</v>
      </c>
      <c r="AQ95">
        <v>0</v>
      </c>
      <c r="AR95">
        <v>0</v>
      </c>
      <c r="AS95" t="s">
        <v>3</v>
      </c>
      <c r="AT95">
        <v>0.5</v>
      </c>
      <c r="AU95" t="s">
        <v>3</v>
      </c>
      <c r="AV95">
        <v>0</v>
      </c>
      <c r="AW95">
        <v>2</v>
      </c>
      <c r="AX95">
        <v>52431609</v>
      </c>
      <c r="AY95">
        <v>1</v>
      </c>
      <c r="AZ95">
        <v>0</v>
      </c>
      <c r="BA95">
        <v>91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CX95">
        <f>Y95*Source!I100</f>
        <v>0.42</v>
      </c>
      <c r="CY95">
        <f>AB95</f>
        <v>531.41</v>
      </c>
      <c r="CZ95">
        <f>AF95</f>
        <v>531.41</v>
      </c>
      <c r="DA95">
        <f>AJ95</f>
        <v>1</v>
      </c>
      <c r="DB95">
        <f t="shared" si="5"/>
        <v>265.70999999999998</v>
      </c>
      <c r="DC95">
        <f t="shared" si="6"/>
        <v>186.78</v>
      </c>
    </row>
    <row r="96" spans="1:107" x14ac:dyDescent="0.2">
      <c r="A96">
        <f>ROW(Source!A100)</f>
        <v>100</v>
      </c>
      <c r="B96">
        <v>52430918</v>
      </c>
      <c r="C96">
        <v>52431601</v>
      </c>
      <c r="D96">
        <v>51865101</v>
      </c>
      <c r="E96">
        <v>1</v>
      </c>
      <c r="F96">
        <v>1</v>
      </c>
      <c r="G96">
        <v>27</v>
      </c>
      <c r="H96">
        <v>2</v>
      </c>
      <c r="I96" t="s">
        <v>426</v>
      </c>
      <c r="J96" t="s">
        <v>427</v>
      </c>
      <c r="K96" t="s">
        <v>428</v>
      </c>
      <c r="L96">
        <v>1368</v>
      </c>
      <c r="N96">
        <v>1011</v>
      </c>
      <c r="O96" t="s">
        <v>84</v>
      </c>
      <c r="P96" t="s">
        <v>84</v>
      </c>
      <c r="Q96">
        <v>1</v>
      </c>
      <c r="W96">
        <v>0</v>
      </c>
      <c r="X96">
        <v>1110189246</v>
      </c>
      <c r="Y96">
        <v>0.5</v>
      </c>
      <c r="AA96">
        <v>0</v>
      </c>
      <c r="AB96">
        <v>454.31</v>
      </c>
      <c r="AC96">
        <v>405.68</v>
      </c>
      <c r="AD96">
        <v>0</v>
      </c>
      <c r="AE96">
        <v>0</v>
      </c>
      <c r="AF96">
        <v>454.31</v>
      </c>
      <c r="AG96">
        <v>405.68</v>
      </c>
      <c r="AH96">
        <v>0</v>
      </c>
      <c r="AI96">
        <v>1</v>
      </c>
      <c r="AJ96">
        <v>1</v>
      </c>
      <c r="AK96">
        <v>1</v>
      </c>
      <c r="AL96">
        <v>1</v>
      </c>
      <c r="AN96">
        <v>0</v>
      </c>
      <c r="AO96">
        <v>1</v>
      </c>
      <c r="AP96">
        <v>0</v>
      </c>
      <c r="AQ96">
        <v>0</v>
      </c>
      <c r="AR96">
        <v>0</v>
      </c>
      <c r="AS96" t="s">
        <v>3</v>
      </c>
      <c r="AT96">
        <v>0.5</v>
      </c>
      <c r="AU96" t="s">
        <v>3</v>
      </c>
      <c r="AV96">
        <v>0</v>
      </c>
      <c r="AW96">
        <v>2</v>
      </c>
      <c r="AX96">
        <v>52431610</v>
      </c>
      <c r="AY96">
        <v>1</v>
      </c>
      <c r="AZ96">
        <v>0</v>
      </c>
      <c r="BA96">
        <v>92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CX96">
        <f>Y96*Source!I100</f>
        <v>0.42</v>
      </c>
      <c r="CY96">
        <f>AB96</f>
        <v>454.31</v>
      </c>
      <c r="CZ96">
        <f>AF96</f>
        <v>454.31</v>
      </c>
      <c r="DA96">
        <f>AJ96</f>
        <v>1</v>
      </c>
      <c r="DB96">
        <f t="shared" si="5"/>
        <v>227.16</v>
      </c>
      <c r="DC96">
        <f t="shared" si="6"/>
        <v>202.84</v>
      </c>
    </row>
    <row r="97" spans="1:107" x14ac:dyDescent="0.2">
      <c r="A97">
        <f>ROW(Source!A100)</f>
        <v>100</v>
      </c>
      <c r="B97">
        <v>52430918</v>
      </c>
      <c r="C97">
        <v>52431601</v>
      </c>
      <c r="D97">
        <v>51868230</v>
      </c>
      <c r="E97">
        <v>1</v>
      </c>
      <c r="F97">
        <v>1</v>
      </c>
      <c r="G97">
        <v>27</v>
      </c>
      <c r="H97">
        <v>3</v>
      </c>
      <c r="I97" t="s">
        <v>435</v>
      </c>
      <c r="J97" t="s">
        <v>436</v>
      </c>
      <c r="K97" t="s">
        <v>437</v>
      </c>
      <c r="L97">
        <v>1346</v>
      </c>
      <c r="N97">
        <v>1009</v>
      </c>
      <c r="O97" t="s">
        <v>438</v>
      </c>
      <c r="P97" t="s">
        <v>438</v>
      </c>
      <c r="Q97">
        <v>1</v>
      </c>
      <c r="W97">
        <v>0</v>
      </c>
      <c r="X97">
        <v>1696686191</v>
      </c>
      <c r="Y97">
        <v>147</v>
      </c>
      <c r="AA97">
        <v>17.77</v>
      </c>
      <c r="AB97">
        <v>0</v>
      </c>
      <c r="AC97">
        <v>0</v>
      </c>
      <c r="AD97">
        <v>0</v>
      </c>
      <c r="AE97">
        <v>17.77</v>
      </c>
      <c r="AF97">
        <v>0</v>
      </c>
      <c r="AG97">
        <v>0</v>
      </c>
      <c r="AH97">
        <v>0</v>
      </c>
      <c r="AI97">
        <v>1</v>
      </c>
      <c r="AJ97">
        <v>1</v>
      </c>
      <c r="AK97">
        <v>1</v>
      </c>
      <c r="AL97">
        <v>1</v>
      </c>
      <c r="AN97">
        <v>0</v>
      </c>
      <c r="AO97">
        <v>1</v>
      </c>
      <c r="AP97">
        <v>0</v>
      </c>
      <c r="AQ97">
        <v>0</v>
      </c>
      <c r="AR97">
        <v>0</v>
      </c>
      <c r="AS97" t="s">
        <v>3</v>
      </c>
      <c r="AT97">
        <v>147</v>
      </c>
      <c r="AU97" t="s">
        <v>3</v>
      </c>
      <c r="AV97">
        <v>0</v>
      </c>
      <c r="AW97">
        <v>2</v>
      </c>
      <c r="AX97">
        <v>52431611</v>
      </c>
      <c r="AY97">
        <v>1</v>
      </c>
      <c r="AZ97">
        <v>0</v>
      </c>
      <c r="BA97">
        <v>93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CX97">
        <f>Y97*Source!I100</f>
        <v>123.47999999999999</v>
      </c>
      <c r="CY97">
        <f>AA97</f>
        <v>17.77</v>
      </c>
      <c r="CZ97">
        <f>AE97</f>
        <v>17.77</v>
      </c>
      <c r="DA97">
        <f>AI97</f>
        <v>1</v>
      </c>
      <c r="DB97">
        <f t="shared" si="5"/>
        <v>2612.19</v>
      </c>
      <c r="DC97">
        <f t="shared" si="6"/>
        <v>0</v>
      </c>
    </row>
    <row r="98" spans="1:107" x14ac:dyDescent="0.2">
      <c r="A98">
        <f>ROW(Source!A100)</f>
        <v>100</v>
      </c>
      <c r="B98">
        <v>52430918</v>
      </c>
      <c r="C98">
        <v>52431601</v>
      </c>
      <c r="D98">
        <v>51868237</v>
      </c>
      <c r="E98">
        <v>1</v>
      </c>
      <c r="F98">
        <v>1</v>
      </c>
      <c r="G98">
        <v>27</v>
      </c>
      <c r="H98">
        <v>3</v>
      </c>
      <c r="I98" t="s">
        <v>439</v>
      </c>
      <c r="J98" t="s">
        <v>440</v>
      </c>
      <c r="K98" t="s">
        <v>441</v>
      </c>
      <c r="L98">
        <v>1346</v>
      </c>
      <c r="N98">
        <v>1009</v>
      </c>
      <c r="O98" t="s">
        <v>438</v>
      </c>
      <c r="P98" t="s">
        <v>438</v>
      </c>
      <c r="Q98">
        <v>1</v>
      </c>
      <c r="W98">
        <v>0</v>
      </c>
      <c r="X98">
        <v>-319511878</v>
      </c>
      <c r="Y98">
        <v>42</v>
      </c>
      <c r="AA98">
        <v>202.34</v>
      </c>
      <c r="AB98">
        <v>0</v>
      </c>
      <c r="AC98">
        <v>0</v>
      </c>
      <c r="AD98">
        <v>0</v>
      </c>
      <c r="AE98">
        <v>202.34</v>
      </c>
      <c r="AF98">
        <v>0</v>
      </c>
      <c r="AG98">
        <v>0</v>
      </c>
      <c r="AH98">
        <v>0</v>
      </c>
      <c r="AI98">
        <v>1</v>
      </c>
      <c r="AJ98">
        <v>1</v>
      </c>
      <c r="AK98">
        <v>1</v>
      </c>
      <c r="AL98">
        <v>1</v>
      </c>
      <c r="AN98">
        <v>0</v>
      </c>
      <c r="AO98">
        <v>1</v>
      </c>
      <c r="AP98">
        <v>0</v>
      </c>
      <c r="AQ98">
        <v>0</v>
      </c>
      <c r="AR98">
        <v>0</v>
      </c>
      <c r="AS98" t="s">
        <v>3</v>
      </c>
      <c r="AT98">
        <v>42</v>
      </c>
      <c r="AU98" t="s">
        <v>3</v>
      </c>
      <c r="AV98">
        <v>0</v>
      </c>
      <c r="AW98">
        <v>2</v>
      </c>
      <c r="AX98">
        <v>52431612</v>
      </c>
      <c r="AY98">
        <v>1</v>
      </c>
      <c r="AZ98">
        <v>0</v>
      </c>
      <c r="BA98">
        <v>94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CX98">
        <f>Y98*Source!I100</f>
        <v>35.28</v>
      </c>
      <c r="CY98">
        <f>AA98</f>
        <v>202.34</v>
      </c>
      <c r="CZ98">
        <f>AE98</f>
        <v>202.34</v>
      </c>
      <c r="DA98">
        <f>AI98</f>
        <v>1</v>
      </c>
      <c r="DB98">
        <f t="shared" si="5"/>
        <v>8498.2800000000007</v>
      </c>
      <c r="DC98">
        <f t="shared" si="6"/>
        <v>0</v>
      </c>
    </row>
    <row r="99" spans="1:107" x14ac:dyDescent="0.2">
      <c r="A99">
        <f>ROW(Source!A100)</f>
        <v>100</v>
      </c>
      <c r="B99">
        <v>52430918</v>
      </c>
      <c r="C99">
        <v>52431601</v>
      </c>
      <c r="D99">
        <v>51866204</v>
      </c>
      <c r="E99">
        <v>1</v>
      </c>
      <c r="F99">
        <v>1</v>
      </c>
      <c r="G99">
        <v>27</v>
      </c>
      <c r="H99">
        <v>3</v>
      </c>
      <c r="I99" t="s">
        <v>442</v>
      </c>
      <c r="J99" t="s">
        <v>443</v>
      </c>
      <c r="K99" t="s">
        <v>444</v>
      </c>
      <c r="L99">
        <v>1348</v>
      </c>
      <c r="N99">
        <v>1009</v>
      </c>
      <c r="O99" t="s">
        <v>101</v>
      </c>
      <c r="P99" t="s">
        <v>101</v>
      </c>
      <c r="Q99">
        <v>1000</v>
      </c>
      <c r="W99">
        <v>0</v>
      </c>
      <c r="X99">
        <v>-1600259051</v>
      </c>
      <c r="Y99">
        <v>1.0500000000000001E-2</v>
      </c>
      <c r="AA99">
        <v>748299.67</v>
      </c>
      <c r="AB99">
        <v>0</v>
      </c>
      <c r="AC99">
        <v>0</v>
      </c>
      <c r="AD99">
        <v>0</v>
      </c>
      <c r="AE99">
        <v>748299.67</v>
      </c>
      <c r="AF99">
        <v>0</v>
      </c>
      <c r="AG99">
        <v>0</v>
      </c>
      <c r="AH99">
        <v>0</v>
      </c>
      <c r="AI99">
        <v>1</v>
      </c>
      <c r="AJ99">
        <v>1</v>
      </c>
      <c r="AK99">
        <v>1</v>
      </c>
      <c r="AL99">
        <v>1</v>
      </c>
      <c r="AN99">
        <v>0</v>
      </c>
      <c r="AO99">
        <v>1</v>
      </c>
      <c r="AP99">
        <v>0</v>
      </c>
      <c r="AQ99">
        <v>0</v>
      </c>
      <c r="AR99">
        <v>0</v>
      </c>
      <c r="AS99" t="s">
        <v>3</v>
      </c>
      <c r="AT99">
        <v>1.0500000000000001E-2</v>
      </c>
      <c r="AU99" t="s">
        <v>3</v>
      </c>
      <c r="AV99">
        <v>0</v>
      </c>
      <c r="AW99">
        <v>2</v>
      </c>
      <c r="AX99">
        <v>52431613</v>
      </c>
      <c r="AY99">
        <v>1</v>
      </c>
      <c r="AZ99">
        <v>0</v>
      </c>
      <c r="BA99">
        <v>95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CX99">
        <f>Y99*Source!I100</f>
        <v>8.8199999999999997E-3</v>
      </c>
      <c r="CY99">
        <f>AA99</f>
        <v>748299.67</v>
      </c>
      <c r="CZ99">
        <f>AE99</f>
        <v>748299.67</v>
      </c>
      <c r="DA99">
        <f>AI99</f>
        <v>1</v>
      </c>
      <c r="DB99">
        <f t="shared" si="5"/>
        <v>7857.15</v>
      </c>
      <c r="DC99">
        <f t="shared" si="6"/>
        <v>0</v>
      </c>
    </row>
    <row r="100" spans="1:107" x14ac:dyDescent="0.2">
      <c r="A100">
        <f>ROW(Source!A101)</f>
        <v>101</v>
      </c>
      <c r="B100">
        <v>52430918</v>
      </c>
      <c r="C100">
        <v>52431614</v>
      </c>
      <c r="D100">
        <v>51848379</v>
      </c>
      <c r="E100">
        <v>27</v>
      </c>
      <c r="F100">
        <v>1</v>
      </c>
      <c r="G100">
        <v>27</v>
      </c>
      <c r="H100">
        <v>1</v>
      </c>
      <c r="I100" t="s">
        <v>378</v>
      </c>
      <c r="J100" t="s">
        <v>3</v>
      </c>
      <c r="K100" t="s">
        <v>379</v>
      </c>
      <c r="L100">
        <v>1191</v>
      </c>
      <c r="N100">
        <v>1013</v>
      </c>
      <c r="O100" t="s">
        <v>380</v>
      </c>
      <c r="P100" t="s">
        <v>380</v>
      </c>
      <c r="Q100">
        <v>1</v>
      </c>
      <c r="W100">
        <v>0</v>
      </c>
      <c r="X100">
        <v>476480486</v>
      </c>
      <c r="Y100">
        <v>221.6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1</v>
      </c>
      <c r="AJ100">
        <v>1</v>
      </c>
      <c r="AK100">
        <v>1</v>
      </c>
      <c r="AL100">
        <v>1</v>
      </c>
      <c r="AN100">
        <v>0</v>
      </c>
      <c r="AO100">
        <v>1</v>
      </c>
      <c r="AP100">
        <v>0</v>
      </c>
      <c r="AQ100">
        <v>0</v>
      </c>
      <c r="AR100">
        <v>0</v>
      </c>
      <c r="AS100" t="s">
        <v>3</v>
      </c>
      <c r="AT100">
        <v>221.6</v>
      </c>
      <c r="AU100" t="s">
        <v>3</v>
      </c>
      <c r="AV100">
        <v>1</v>
      </c>
      <c r="AW100">
        <v>2</v>
      </c>
      <c r="AX100">
        <v>52431616</v>
      </c>
      <c r="AY100">
        <v>1</v>
      </c>
      <c r="AZ100">
        <v>0</v>
      </c>
      <c r="BA100">
        <v>96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CX100">
        <f>Y100*Source!I101</f>
        <v>0</v>
      </c>
      <c r="CY100">
        <f>AD100</f>
        <v>0</v>
      </c>
      <c r="CZ100">
        <f>AH100</f>
        <v>0</v>
      </c>
      <c r="DA100">
        <f>AL100</f>
        <v>1</v>
      </c>
      <c r="DB100">
        <f t="shared" si="5"/>
        <v>0</v>
      </c>
      <c r="DC100">
        <f t="shared" si="6"/>
        <v>0</v>
      </c>
    </row>
    <row r="101" spans="1:107" x14ac:dyDescent="0.2">
      <c r="A101">
        <f>ROW(Source!A102)</f>
        <v>102</v>
      </c>
      <c r="B101">
        <v>52430918</v>
      </c>
      <c r="C101">
        <v>52431617</v>
      </c>
      <c r="D101">
        <v>51848379</v>
      </c>
      <c r="E101">
        <v>27</v>
      </c>
      <c r="F101">
        <v>1</v>
      </c>
      <c r="G101">
        <v>27</v>
      </c>
      <c r="H101">
        <v>1</v>
      </c>
      <c r="I101" t="s">
        <v>378</v>
      </c>
      <c r="J101" t="s">
        <v>3</v>
      </c>
      <c r="K101" t="s">
        <v>379</v>
      </c>
      <c r="L101">
        <v>1191</v>
      </c>
      <c r="N101">
        <v>1013</v>
      </c>
      <c r="O101" t="s">
        <v>380</v>
      </c>
      <c r="P101" t="s">
        <v>380</v>
      </c>
      <c r="Q101">
        <v>1</v>
      </c>
      <c r="W101">
        <v>0</v>
      </c>
      <c r="X101">
        <v>476480486</v>
      </c>
      <c r="Y101">
        <v>16.559999999999999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1</v>
      </c>
      <c r="AJ101">
        <v>1</v>
      </c>
      <c r="AK101">
        <v>1</v>
      </c>
      <c r="AL101">
        <v>1</v>
      </c>
      <c r="AN101">
        <v>0</v>
      </c>
      <c r="AO101">
        <v>1</v>
      </c>
      <c r="AP101">
        <v>0</v>
      </c>
      <c r="AQ101">
        <v>0</v>
      </c>
      <c r="AR101">
        <v>0</v>
      </c>
      <c r="AS101" t="s">
        <v>3</v>
      </c>
      <c r="AT101">
        <v>16.559999999999999</v>
      </c>
      <c r="AU101" t="s">
        <v>3</v>
      </c>
      <c r="AV101">
        <v>1</v>
      </c>
      <c r="AW101">
        <v>2</v>
      </c>
      <c r="AX101">
        <v>52431626</v>
      </c>
      <c r="AY101">
        <v>1</v>
      </c>
      <c r="AZ101">
        <v>0</v>
      </c>
      <c r="BA101">
        <v>97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CX101">
        <f>Y101*Source!I102</f>
        <v>0</v>
      </c>
      <c r="CY101">
        <f>AD101</f>
        <v>0</v>
      </c>
      <c r="CZ101">
        <f>AH101</f>
        <v>0</v>
      </c>
      <c r="DA101">
        <f>AL101</f>
        <v>1</v>
      </c>
      <c r="DB101">
        <f t="shared" si="5"/>
        <v>0</v>
      </c>
      <c r="DC101">
        <f t="shared" si="6"/>
        <v>0</v>
      </c>
    </row>
    <row r="102" spans="1:107" x14ac:dyDescent="0.2">
      <c r="A102">
        <f>ROW(Source!A102)</f>
        <v>102</v>
      </c>
      <c r="B102">
        <v>52430918</v>
      </c>
      <c r="C102">
        <v>52431617</v>
      </c>
      <c r="D102">
        <v>51864848</v>
      </c>
      <c r="E102">
        <v>1</v>
      </c>
      <c r="F102">
        <v>1</v>
      </c>
      <c r="G102">
        <v>27</v>
      </c>
      <c r="H102">
        <v>2</v>
      </c>
      <c r="I102" t="s">
        <v>387</v>
      </c>
      <c r="J102" t="s">
        <v>388</v>
      </c>
      <c r="K102" t="s">
        <v>389</v>
      </c>
      <c r="L102">
        <v>1368</v>
      </c>
      <c r="N102">
        <v>1011</v>
      </c>
      <c r="O102" t="s">
        <v>84</v>
      </c>
      <c r="P102" t="s">
        <v>84</v>
      </c>
      <c r="Q102">
        <v>1</v>
      </c>
      <c r="W102">
        <v>0</v>
      </c>
      <c r="X102">
        <v>2108619810</v>
      </c>
      <c r="Y102">
        <v>2.08</v>
      </c>
      <c r="AA102">
        <v>0</v>
      </c>
      <c r="AB102">
        <v>740.94</v>
      </c>
      <c r="AC102">
        <v>413.22</v>
      </c>
      <c r="AD102">
        <v>0</v>
      </c>
      <c r="AE102">
        <v>0</v>
      </c>
      <c r="AF102">
        <v>740.94</v>
      </c>
      <c r="AG102">
        <v>413.22</v>
      </c>
      <c r="AH102">
        <v>0</v>
      </c>
      <c r="AI102">
        <v>1</v>
      </c>
      <c r="AJ102">
        <v>1</v>
      </c>
      <c r="AK102">
        <v>1</v>
      </c>
      <c r="AL102">
        <v>1</v>
      </c>
      <c r="AN102">
        <v>0</v>
      </c>
      <c r="AO102">
        <v>1</v>
      </c>
      <c r="AP102">
        <v>0</v>
      </c>
      <c r="AQ102">
        <v>0</v>
      </c>
      <c r="AR102">
        <v>0</v>
      </c>
      <c r="AS102" t="s">
        <v>3</v>
      </c>
      <c r="AT102">
        <v>2.08</v>
      </c>
      <c r="AU102" t="s">
        <v>3</v>
      </c>
      <c r="AV102">
        <v>0</v>
      </c>
      <c r="AW102">
        <v>2</v>
      </c>
      <c r="AX102">
        <v>52431627</v>
      </c>
      <c r="AY102">
        <v>1</v>
      </c>
      <c r="AZ102">
        <v>0</v>
      </c>
      <c r="BA102">
        <v>98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CX102">
        <f>Y102*Source!I102</f>
        <v>0</v>
      </c>
      <c r="CY102">
        <f>AB102</f>
        <v>740.94</v>
      </c>
      <c r="CZ102">
        <f>AF102</f>
        <v>740.94</v>
      </c>
      <c r="DA102">
        <f>AJ102</f>
        <v>1</v>
      </c>
      <c r="DB102">
        <f t="shared" si="5"/>
        <v>1541.16</v>
      </c>
      <c r="DC102">
        <f t="shared" si="6"/>
        <v>859.5</v>
      </c>
    </row>
    <row r="103" spans="1:107" x14ac:dyDescent="0.2">
      <c r="A103">
        <f>ROW(Source!A102)</f>
        <v>102</v>
      </c>
      <c r="B103">
        <v>52430918</v>
      </c>
      <c r="C103">
        <v>52431617</v>
      </c>
      <c r="D103">
        <v>51865003</v>
      </c>
      <c r="E103">
        <v>1</v>
      </c>
      <c r="F103">
        <v>1</v>
      </c>
      <c r="G103">
        <v>27</v>
      </c>
      <c r="H103">
        <v>2</v>
      </c>
      <c r="I103" t="s">
        <v>390</v>
      </c>
      <c r="J103" t="s">
        <v>391</v>
      </c>
      <c r="K103" t="s">
        <v>392</v>
      </c>
      <c r="L103">
        <v>1368</v>
      </c>
      <c r="N103">
        <v>1011</v>
      </c>
      <c r="O103" t="s">
        <v>84</v>
      </c>
      <c r="P103" t="s">
        <v>84</v>
      </c>
      <c r="Q103">
        <v>1</v>
      </c>
      <c r="W103">
        <v>0</v>
      </c>
      <c r="X103">
        <v>-1512295274</v>
      </c>
      <c r="Y103">
        <v>2.08</v>
      </c>
      <c r="AA103">
        <v>0</v>
      </c>
      <c r="AB103">
        <v>430.32</v>
      </c>
      <c r="AC103">
        <v>215.31</v>
      </c>
      <c r="AD103">
        <v>0</v>
      </c>
      <c r="AE103">
        <v>0</v>
      </c>
      <c r="AF103">
        <v>430.32</v>
      </c>
      <c r="AG103">
        <v>215.31</v>
      </c>
      <c r="AH103">
        <v>0</v>
      </c>
      <c r="AI103">
        <v>1</v>
      </c>
      <c r="AJ103">
        <v>1</v>
      </c>
      <c r="AK103">
        <v>1</v>
      </c>
      <c r="AL103">
        <v>1</v>
      </c>
      <c r="AN103">
        <v>0</v>
      </c>
      <c r="AO103">
        <v>1</v>
      </c>
      <c r="AP103">
        <v>0</v>
      </c>
      <c r="AQ103">
        <v>0</v>
      </c>
      <c r="AR103">
        <v>0</v>
      </c>
      <c r="AS103" t="s">
        <v>3</v>
      </c>
      <c r="AT103">
        <v>2.08</v>
      </c>
      <c r="AU103" t="s">
        <v>3</v>
      </c>
      <c r="AV103">
        <v>0</v>
      </c>
      <c r="AW103">
        <v>2</v>
      </c>
      <c r="AX103">
        <v>52431628</v>
      </c>
      <c r="AY103">
        <v>1</v>
      </c>
      <c r="AZ103">
        <v>0</v>
      </c>
      <c r="BA103">
        <v>99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CX103">
        <f>Y103*Source!I102</f>
        <v>0</v>
      </c>
      <c r="CY103">
        <f>AB103</f>
        <v>430.32</v>
      </c>
      <c r="CZ103">
        <f>AF103</f>
        <v>430.32</v>
      </c>
      <c r="DA103">
        <f>AJ103</f>
        <v>1</v>
      </c>
      <c r="DB103">
        <f t="shared" si="5"/>
        <v>895.07</v>
      </c>
      <c r="DC103">
        <f t="shared" si="6"/>
        <v>447.84</v>
      </c>
    </row>
    <row r="104" spans="1:107" x14ac:dyDescent="0.2">
      <c r="A104">
        <f>ROW(Source!A102)</f>
        <v>102</v>
      </c>
      <c r="B104">
        <v>52430918</v>
      </c>
      <c r="C104">
        <v>52431617</v>
      </c>
      <c r="D104">
        <v>51865006</v>
      </c>
      <c r="E104">
        <v>1</v>
      </c>
      <c r="F104">
        <v>1</v>
      </c>
      <c r="G104">
        <v>27</v>
      </c>
      <c r="H104">
        <v>2</v>
      </c>
      <c r="I104" t="s">
        <v>393</v>
      </c>
      <c r="J104" t="s">
        <v>394</v>
      </c>
      <c r="K104" t="s">
        <v>395</v>
      </c>
      <c r="L104">
        <v>1368</v>
      </c>
      <c r="N104">
        <v>1011</v>
      </c>
      <c r="O104" t="s">
        <v>84</v>
      </c>
      <c r="P104" t="s">
        <v>84</v>
      </c>
      <c r="Q104">
        <v>1</v>
      </c>
      <c r="W104">
        <v>0</v>
      </c>
      <c r="X104">
        <v>2042885981</v>
      </c>
      <c r="Y104">
        <v>0.81</v>
      </c>
      <c r="AA104">
        <v>0</v>
      </c>
      <c r="AB104">
        <v>2020.59</v>
      </c>
      <c r="AC104">
        <v>458.56</v>
      </c>
      <c r="AD104">
        <v>0</v>
      </c>
      <c r="AE104">
        <v>0</v>
      </c>
      <c r="AF104">
        <v>2020.59</v>
      </c>
      <c r="AG104">
        <v>458.56</v>
      </c>
      <c r="AH104">
        <v>0</v>
      </c>
      <c r="AI104">
        <v>1</v>
      </c>
      <c r="AJ104">
        <v>1</v>
      </c>
      <c r="AK104">
        <v>1</v>
      </c>
      <c r="AL104">
        <v>1</v>
      </c>
      <c r="AN104">
        <v>0</v>
      </c>
      <c r="AO104">
        <v>1</v>
      </c>
      <c r="AP104">
        <v>0</v>
      </c>
      <c r="AQ104">
        <v>0</v>
      </c>
      <c r="AR104">
        <v>0</v>
      </c>
      <c r="AS104" t="s">
        <v>3</v>
      </c>
      <c r="AT104">
        <v>0.81</v>
      </c>
      <c r="AU104" t="s">
        <v>3</v>
      </c>
      <c r="AV104">
        <v>0</v>
      </c>
      <c r="AW104">
        <v>2</v>
      </c>
      <c r="AX104">
        <v>52431629</v>
      </c>
      <c r="AY104">
        <v>1</v>
      </c>
      <c r="AZ104">
        <v>0</v>
      </c>
      <c r="BA104">
        <v>100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CX104">
        <f>Y104*Source!I102</f>
        <v>0</v>
      </c>
      <c r="CY104">
        <f>AB104</f>
        <v>2020.59</v>
      </c>
      <c r="CZ104">
        <f>AF104</f>
        <v>2020.59</v>
      </c>
      <c r="DA104">
        <f>AJ104</f>
        <v>1</v>
      </c>
      <c r="DB104">
        <f t="shared" si="5"/>
        <v>1636.68</v>
      </c>
      <c r="DC104">
        <f t="shared" si="6"/>
        <v>371.43</v>
      </c>
    </row>
    <row r="105" spans="1:107" x14ac:dyDescent="0.2">
      <c r="A105">
        <f>ROW(Source!A102)</f>
        <v>102</v>
      </c>
      <c r="B105">
        <v>52430918</v>
      </c>
      <c r="C105">
        <v>52431617</v>
      </c>
      <c r="D105">
        <v>51865030</v>
      </c>
      <c r="E105">
        <v>1</v>
      </c>
      <c r="F105">
        <v>1</v>
      </c>
      <c r="G105">
        <v>27</v>
      </c>
      <c r="H105">
        <v>2</v>
      </c>
      <c r="I105" t="s">
        <v>396</v>
      </c>
      <c r="J105" t="s">
        <v>397</v>
      </c>
      <c r="K105" t="s">
        <v>398</v>
      </c>
      <c r="L105">
        <v>1368</v>
      </c>
      <c r="N105">
        <v>1011</v>
      </c>
      <c r="O105" t="s">
        <v>84</v>
      </c>
      <c r="P105" t="s">
        <v>84</v>
      </c>
      <c r="Q105">
        <v>1</v>
      </c>
      <c r="W105">
        <v>0</v>
      </c>
      <c r="X105">
        <v>1116182101</v>
      </c>
      <c r="Y105">
        <v>1.94</v>
      </c>
      <c r="AA105">
        <v>0</v>
      </c>
      <c r="AB105">
        <v>1412.71</v>
      </c>
      <c r="AC105">
        <v>641.32000000000005</v>
      </c>
      <c r="AD105">
        <v>0</v>
      </c>
      <c r="AE105">
        <v>0</v>
      </c>
      <c r="AF105">
        <v>1412.71</v>
      </c>
      <c r="AG105">
        <v>641.32000000000005</v>
      </c>
      <c r="AH105">
        <v>0</v>
      </c>
      <c r="AI105">
        <v>1</v>
      </c>
      <c r="AJ105">
        <v>1</v>
      </c>
      <c r="AK105">
        <v>1</v>
      </c>
      <c r="AL105">
        <v>1</v>
      </c>
      <c r="AN105">
        <v>0</v>
      </c>
      <c r="AO105">
        <v>1</v>
      </c>
      <c r="AP105">
        <v>0</v>
      </c>
      <c r="AQ105">
        <v>0</v>
      </c>
      <c r="AR105">
        <v>0</v>
      </c>
      <c r="AS105" t="s">
        <v>3</v>
      </c>
      <c r="AT105">
        <v>1.94</v>
      </c>
      <c r="AU105" t="s">
        <v>3</v>
      </c>
      <c r="AV105">
        <v>0</v>
      </c>
      <c r="AW105">
        <v>2</v>
      </c>
      <c r="AX105">
        <v>52431630</v>
      </c>
      <c r="AY105">
        <v>1</v>
      </c>
      <c r="AZ105">
        <v>0</v>
      </c>
      <c r="BA105">
        <v>101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CX105">
        <f>Y105*Source!I102</f>
        <v>0</v>
      </c>
      <c r="CY105">
        <f>AB105</f>
        <v>1412.71</v>
      </c>
      <c r="CZ105">
        <f>AF105</f>
        <v>1412.71</v>
      </c>
      <c r="DA105">
        <f>AJ105</f>
        <v>1</v>
      </c>
      <c r="DB105">
        <f t="shared" si="5"/>
        <v>2740.66</v>
      </c>
      <c r="DC105">
        <f t="shared" si="6"/>
        <v>1244.1600000000001</v>
      </c>
    </row>
    <row r="106" spans="1:107" x14ac:dyDescent="0.2">
      <c r="A106">
        <f>ROW(Source!A102)</f>
        <v>102</v>
      </c>
      <c r="B106">
        <v>52430918</v>
      </c>
      <c r="C106">
        <v>52431617</v>
      </c>
      <c r="D106">
        <v>51864996</v>
      </c>
      <c r="E106">
        <v>1</v>
      </c>
      <c r="F106">
        <v>1</v>
      </c>
      <c r="G106">
        <v>27</v>
      </c>
      <c r="H106">
        <v>2</v>
      </c>
      <c r="I106" t="s">
        <v>399</v>
      </c>
      <c r="J106" t="s">
        <v>400</v>
      </c>
      <c r="K106" t="s">
        <v>401</v>
      </c>
      <c r="L106">
        <v>1368</v>
      </c>
      <c r="N106">
        <v>1011</v>
      </c>
      <c r="O106" t="s">
        <v>84</v>
      </c>
      <c r="P106" t="s">
        <v>84</v>
      </c>
      <c r="Q106">
        <v>1</v>
      </c>
      <c r="W106">
        <v>0</v>
      </c>
      <c r="X106">
        <v>2142121434</v>
      </c>
      <c r="Y106">
        <v>0.65</v>
      </c>
      <c r="AA106">
        <v>0</v>
      </c>
      <c r="AB106">
        <v>1213.3399999999999</v>
      </c>
      <c r="AC106">
        <v>461.6</v>
      </c>
      <c r="AD106">
        <v>0</v>
      </c>
      <c r="AE106">
        <v>0</v>
      </c>
      <c r="AF106">
        <v>1213.3399999999999</v>
      </c>
      <c r="AG106">
        <v>461.6</v>
      </c>
      <c r="AH106">
        <v>0</v>
      </c>
      <c r="AI106">
        <v>1</v>
      </c>
      <c r="AJ106">
        <v>1</v>
      </c>
      <c r="AK106">
        <v>1</v>
      </c>
      <c r="AL106">
        <v>1</v>
      </c>
      <c r="AN106">
        <v>0</v>
      </c>
      <c r="AO106">
        <v>1</v>
      </c>
      <c r="AP106">
        <v>0</v>
      </c>
      <c r="AQ106">
        <v>0</v>
      </c>
      <c r="AR106">
        <v>0</v>
      </c>
      <c r="AS106" t="s">
        <v>3</v>
      </c>
      <c r="AT106">
        <v>0.65</v>
      </c>
      <c r="AU106" t="s">
        <v>3</v>
      </c>
      <c r="AV106">
        <v>0</v>
      </c>
      <c r="AW106">
        <v>2</v>
      </c>
      <c r="AX106">
        <v>52431631</v>
      </c>
      <c r="AY106">
        <v>1</v>
      </c>
      <c r="AZ106">
        <v>0</v>
      </c>
      <c r="BA106">
        <v>102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CX106">
        <f>Y106*Source!I102</f>
        <v>0</v>
      </c>
      <c r="CY106">
        <f>AB106</f>
        <v>1213.3399999999999</v>
      </c>
      <c r="CZ106">
        <f>AF106</f>
        <v>1213.3399999999999</v>
      </c>
      <c r="DA106">
        <f>AJ106</f>
        <v>1</v>
      </c>
      <c r="DB106">
        <f t="shared" si="5"/>
        <v>788.67</v>
      </c>
      <c r="DC106">
        <f t="shared" si="6"/>
        <v>300.04000000000002</v>
      </c>
    </row>
    <row r="107" spans="1:107" x14ac:dyDescent="0.2">
      <c r="A107">
        <f>ROW(Source!A102)</f>
        <v>102</v>
      </c>
      <c r="B107">
        <v>52430918</v>
      </c>
      <c r="C107">
        <v>52431617</v>
      </c>
      <c r="D107">
        <v>51866959</v>
      </c>
      <c r="E107">
        <v>1</v>
      </c>
      <c r="F107">
        <v>1</v>
      </c>
      <c r="G107">
        <v>27</v>
      </c>
      <c r="H107">
        <v>3</v>
      </c>
      <c r="I107" t="s">
        <v>402</v>
      </c>
      <c r="J107" t="s">
        <v>403</v>
      </c>
      <c r="K107" t="s">
        <v>404</v>
      </c>
      <c r="L107">
        <v>1339</v>
      </c>
      <c r="N107">
        <v>1007</v>
      </c>
      <c r="O107" t="s">
        <v>28</v>
      </c>
      <c r="P107" t="s">
        <v>28</v>
      </c>
      <c r="Q107">
        <v>1</v>
      </c>
      <c r="W107">
        <v>0</v>
      </c>
      <c r="X107">
        <v>1152750853</v>
      </c>
      <c r="Y107">
        <v>110</v>
      </c>
      <c r="AA107">
        <v>590.78</v>
      </c>
      <c r="AB107">
        <v>0</v>
      </c>
      <c r="AC107">
        <v>0</v>
      </c>
      <c r="AD107">
        <v>0</v>
      </c>
      <c r="AE107">
        <v>590.78</v>
      </c>
      <c r="AF107">
        <v>0</v>
      </c>
      <c r="AG107">
        <v>0</v>
      </c>
      <c r="AH107">
        <v>0</v>
      </c>
      <c r="AI107">
        <v>1</v>
      </c>
      <c r="AJ107">
        <v>1</v>
      </c>
      <c r="AK107">
        <v>1</v>
      </c>
      <c r="AL107">
        <v>1</v>
      </c>
      <c r="AN107">
        <v>0</v>
      </c>
      <c r="AO107">
        <v>1</v>
      </c>
      <c r="AP107">
        <v>0</v>
      </c>
      <c r="AQ107">
        <v>0</v>
      </c>
      <c r="AR107">
        <v>0</v>
      </c>
      <c r="AS107" t="s">
        <v>3</v>
      </c>
      <c r="AT107">
        <v>110</v>
      </c>
      <c r="AU107" t="s">
        <v>3</v>
      </c>
      <c r="AV107">
        <v>0</v>
      </c>
      <c r="AW107">
        <v>2</v>
      </c>
      <c r="AX107">
        <v>52431632</v>
      </c>
      <c r="AY107">
        <v>1</v>
      </c>
      <c r="AZ107">
        <v>0</v>
      </c>
      <c r="BA107">
        <v>103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CX107">
        <f>Y107*Source!I102</f>
        <v>0</v>
      </c>
      <c r="CY107">
        <f>AA107</f>
        <v>590.78</v>
      </c>
      <c r="CZ107">
        <f>AE107</f>
        <v>590.78</v>
      </c>
      <c r="DA107">
        <f>AI107</f>
        <v>1</v>
      </c>
      <c r="DB107">
        <f t="shared" si="5"/>
        <v>64985.8</v>
      </c>
      <c r="DC107">
        <f t="shared" si="6"/>
        <v>0</v>
      </c>
    </row>
    <row r="108" spans="1:107" x14ac:dyDescent="0.2">
      <c r="A108">
        <f>ROW(Source!A102)</f>
        <v>102</v>
      </c>
      <c r="B108">
        <v>52430918</v>
      </c>
      <c r="C108">
        <v>52431617</v>
      </c>
      <c r="D108">
        <v>51867705</v>
      </c>
      <c r="E108">
        <v>1</v>
      </c>
      <c r="F108">
        <v>1</v>
      </c>
      <c r="G108">
        <v>27</v>
      </c>
      <c r="H108">
        <v>3</v>
      </c>
      <c r="I108" t="s">
        <v>405</v>
      </c>
      <c r="J108" t="s">
        <v>406</v>
      </c>
      <c r="K108" t="s">
        <v>407</v>
      </c>
      <c r="L108">
        <v>1339</v>
      </c>
      <c r="N108">
        <v>1007</v>
      </c>
      <c r="O108" t="s">
        <v>28</v>
      </c>
      <c r="P108" t="s">
        <v>28</v>
      </c>
      <c r="Q108">
        <v>1</v>
      </c>
      <c r="W108">
        <v>0</v>
      </c>
      <c r="X108">
        <v>1927597627</v>
      </c>
      <c r="Y108">
        <v>5</v>
      </c>
      <c r="AA108">
        <v>35.25</v>
      </c>
      <c r="AB108">
        <v>0</v>
      </c>
      <c r="AC108">
        <v>0</v>
      </c>
      <c r="AD108">
        <v>0</v>
      </c>
      <c r="AE108">
        <v>35.25</v>
      </c>
      <c r="AF108">
        <v>0</v>
      </c>
      <c r="AG108">
        <v>0</v>
      </c>
      <c r="AH108">
        <v>0</v>
      </c>
      <c r="AI108">
        <v>1</v>
      </c>
      <c r="AJ108">
        <v>1</v>
      </c>
      <c r="AK108">
        <v>1</v>
      </c>
      <c r="AL108">
        <v>1</v>
      </c>
      <c r="AN108">
        <v>0</v>
      </c>
      <c r="AO108">
        <v>1</v>
      </c>
      <c r="AP108">
        <v>0</v>
      </c>
      <c r="AQ108">
        <v>0</v>
      </c>
      <c r="AR108">
        <v>0</v>
      </c>
      <c r="AS108" t="s">
        <v>3</v>
      </c>
      <c r="AT108">
        <v>5</v>
      </c>
      <c r="AU108" t="s">
        <v>3</v>
      </c>
      <c r="AV108">
        <v>0</v>
      </c>
      <c r="AW108">
        <v>2</v>
      </c>
      <c r="AX108">
        <v>52431633</v>
      </c>
      <c r="AY108">
        <v>1</v>
      </c>
      <c r="AZ108">
        <v>0</v>
      </c>
      <c r="BA108">
        <v>104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CX108">
        <f>Y108*Source!I102</f>
        <v>0</v>
      </c>
      <c r="CY108">
        <f>AA108</f>
        <v>35.25</v>
      </c>
      <c r="CZ108">
        <f>AE108</f>
        <v>35.25</v>
      </c>
      <c r="DA108">
        <f>AI108</f>
        <v>1</v>
      </c>
      <c r="DB108">
        <f t="shared" si="5"/>
        <v>176.25</v>
      </c>
      <c r="DC108">
        <f t="shared" si="6"/>
        <v>0</v>
      </c>
    </row>
    <row r="109" spans="1:107" x14ac:dyDescent="0.2">
      <c r="A109">
        <f>ROW(Source!A103)</f>
        <v>103</v>
      </c>
      <c r="B109">
        <v>52430918</v>
      </c>
      <c r="C109">
        <v>52431634</v>
      </c>
      <c r="D109">
        <v>51848379</v>
      </c>
      <c r="E109">
        <v>27</v>
      </c>
      <c r="F109">
        <v>1</v>
      </c>
      <c r="G109">
        <v>27</v>
      </c>
      <c r="H109">
        <v>1</v>
      </c>
      <c r="I109" t="s">
        <v>378</v>
      </c>
      <c r="J109" t="s">
        <v>3</v>
      </c>
      <c r="K109" t="s">
        <v>379</v>
      </c>
      <c r="L109">
        <v>1191</v>
      </c>
      <c r="N109">
        <v>1013</v>
      </c>
      <c r="O109" t="s">
        <v>380</v>
      </c>
      <c r="P109" t="s">
        <v>380</v>
      </c>
      <c r="Q109">
        <v>1</v>
      </c>
      <c r="W109">
        <v>0</v>
      </c>
      <c r="X109">
        <v>476480486</v>
      </c>
      <c r="Y109">
        <v>72.95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1</v>
      </c>
      <c r="AJ109">
        <v>1</v>
      </c>
      <c r="AK109">
        <v>1</v>
      </c>
      <c r="AL109">
        <v>1</v>
      </c>
      <c r="AN109">
        <v>0</v>
      </c>
      <c r="AO109">
        <v>1</v>
      </c>
      <c r="AP109">
        <v>0</v>
      </c>
      <c r="AQ109">
        <v>0</v>
      </c>
      <c r="AR109">
        <v>0</v>
      </c>
      <c r="AS109" t="s">
        <v>3</v>
      </c>
      <c r="AT109">
        <v>72.95</v>
      </c>
      <c r="AU109" t="s">
        <v>3</v>
      </c>
      <c r="AV109">
        <v>1</v>
      </c>
      <c r="AW109">
        <v>2</v>
      </c>
      <c r="AX109">
        <v>52431640</v>
      </c>
      <c r="AY109">
        <v>1</v>
      </c>
      <c r="AZ109">
        <v>0</v>
      </c>
      <c r="BA109">
        <v>105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CX109">
        <f>Y109*Source!I103</f>
        <v>26.845600000000001</v>
      </c>
      <c r="CY109">
        <f>AD109</f>
        <v>0</v>
      </c>
      <c r="CZ109">
        <f>AH109</f>
        <v>0</v>
      </c>
      <c r="DA109">
        <f>AL109</f>
        <v>1</v>
      </c>
      <c r="DB109">
        <f t="shared" si="5"/>
        <v>0</v>
      </c>
      <c r="DC109">
        <f t="shared" si="6"/>
        <v>0</v>
      </c>
    </row>
    <row r="110" spans="1:107" x14ac:dyDescent="0.2">
      <c r="A110">
        <f>ROW(Source!A103)</f>
        <v>103</v>
      </c>
      <c r="B110">
        <v>52430918</v>
      </c>
      <c r="C110">
        <v>52431634</v>
      </c>
      <c r="D110">
        <v>51864920</v>
      </c>
      <c r="E110">
        <v>1</v>
      </c>
      <c r="F110">
        <v>1</v>
      </c>
      <c r="G110">
        <v>27</v>
      </c>
      <c r="H110">
        <v>2</v>
      </c>
      <c r="I110" t="s">
        <v>445</v>
      </c>
      <c r="J110" t="s">
        <v>446</v>
      </c>
      <c r="K110" t="s">
        <v>447</v>
      </c>
      <c r="L110">
        <v>1368</v>
      </c>
      <c r="N110">
        <v>1011</v>
      </c>
      <c r="O110" t="s">
        <v>84</v>
      </c>
      <c r="P110" t="s">
        <v>84</v>
      </c>
      <c r="Q110">
        <v>1</v>
      </c>
      <c r="W110">
        <v>0</v>
      </c>
      <c r="X110">
        <v>-1323805330</v>
      </c>
      <c r="Y110">
        <v>0.26</v>
      </c>
      <c r="AA110">
        <v>0</v>
      </c>
      <c r="AB110">
        <v>683.9</v>
      </c>
      <c r="AC110">
        <v>371.27</v>
      </c>
      <c r="AD110">
        <v>0</v>
      </c>
      <c r="AE110">
        <v>0</v>
      </c>
      <c r="AF110">
        <v>683.9</v>
      </c>
      <c r="AG110">
        <v>371.27</v>
      </c>
      <c r="AH110">
        <v>0</v>
      </c>
      <c r="AI110">
        <v>1</v>
      </c>
      <c r="AJ110">
        <v>1</v>
      </c>
      <c r="AK110">
        <v>1</v>
      </c>
      <c r="AL110">
        <v>1</v>
      </c>
      <c r="AN110">
        <v>0</v>
      </c>
      <c r="AO110">
        <v>1</v>
      </c>
      <c r="AP110">
        <v>0</v>
      </c>
      <c r="AQ110">
        <v>0</v>
      </c>
      <c r="AR110">
        <v>0</v>
      </c>
      <c r="AS110" t="s">
        <v>3</v>
      </c>
      <c r="AT110">
        <v>0.26</v>
      </c>
      <c r="AU110" t="s">
        <v>3</v>
      </c>
      <c r="AV110">
        <v>0</v>
      </c>
      <c r="AW110">
        <v>2</v>
      </c>
      <c r="AX110">
        <v>52431641</v>
      </c>
      <c r="AY110">
        <v>1</v>
      </c>
      <c r="AZ110">
        <v>0</v>
      </c>
      <c r="BA110">
        <v>106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CX110">
        <f>Y110*Source!I103</f>
        <v>9.5680000000000001E-2</v>
      </c>
      <c r="CY110">
        <f>AB110</f>
        <v>683.9</v>
      </c>
      <c r="CZ110">
        <f>AF110</f>
        <v>683.9</v>
      </c>
      <c r="DA110">
        <f>AJ110</f>
        <v>1</v>
      </c>
      <c r="DB110">
        <f t="shared" si="5"/>
        <v>177.81</v>
      </c>
      <c r="DC110">
        <f t="shared" si="6"/>
        <v>96.53</v>
      </c>
    </row>
    <row r="111" spans="1:107" x14ac:dyDescent="0.2">
      <c r="A111">
        <f>ROW(Source!A103)</f>
        <v>103</v>
      </c>
      <c r="B111">
        <v>52430918</v>
      </c>
      <c r="C111">
        <v>52431634</v>
      </c>
      <c r="D111">
        <v>51868676</v>
      </c>
      <c r="E111">
        <v>1</v>
      </c>
      <c r="F111">
        <v>1</v>
      </c>
      <c r="G111">
        <v>27</v>
      </c>
      <c r="H111">
        <v>3</v>
      </c>
      <c r="I111" t="s">
        <v>448</v>
      </c>
      <c r="J111" t="s">
        <v>449</v>
      </c>
      <c r="K111" t="s">
        <v>450</v>
      </c>
      <c r="L111">
        <v>1339</v>
      </c>
      <c r="N111">
        <v>1007</v>
      </c>
      <c r="O111" t="s">
        <v>28</v>
      </c>
      <c r="P111" t="s">
        <v>28</v>
      </c>
      <c r="Q111">
        <v>1</v>
      </c>
      <c r="W111">
        <v>0</v>
      </c>
      <c r="X111">
        <v>426331755</v>
      </c>
      <c r="Y111">
        <v>4.3</v>
      </c>
      <c r="AA111">
        <v>3714.73</v>
      </c>
      <c r="AB111">
        <v>0</v>
      </c>
      <c r="AC111">
        <v>0</v>
      </c>
      <c r="AD111">
        <v>0</v>
      </c>
      <c r="AE111">
        <v>3714.73</v>
      </c>
      <c r="AF111">
        <v>0</v>
      </c>
      <c r="AG111">
        <v>0</v>
      </c>
      <c r="AH111">
        <v>0</v>
      </c>
      <c r="AI111">
        <v>1</v>
      </c>
      <c r="AJ111">
        <v>1</v>
      </c>
      <c r="AK111">
        <v>1</v>
      </c>
      <c r="AL111">
        <v>1</v>
      </c>
      <c r="AN111">
        <v>0</v>
      </c>
      <c r="AO111">
        <v>1</v>
      </c>
      <c r="AP111">
        <v>0</v>
      </c>
      <c r="AQ111">
        <v>0</v>
      </c>
      <c r="AR111">
        <v>0</v>
      </c>
      <c r="AS111" t="s">
        <v>3</v>
      </c>
      <c r="AT111">
        <v>4.3</v>
      </c>
      <c r="AU111" t="s">
        <v>3</v>
      </c>
      <c r="AV111">
        <v>0</v>
      </c>
      <c r="AW111">
        <v>2</v>
      </c>
      <c r="AX111">
        <v>52431642</v>
      </c>
      <c r="AY111">
        <v>1</v>
      </c>
      <c r="AZ111">
        <v>0</v>
      </c>
      <c r="BA111">
        <v>107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CX111">
        <f>Y111*Source!I103</f>
        <v>1.5823999999999998</v>
      </c>
      <c r="CY111">
        <f>AA111</f>
        <v>3714.73</v>
      </c>
      <c r="CZ111">
        <f>AE111</f>
        <v>3714.73</v>
      </c>
      <c r="DA111">
        <f>AI111</f>
        <v>1</v>
      </c>
      <c r="DB111">
        <f t="shared" si="5"/>
        <v>15973.34</v>
      </c>
      <c r="DC111">
        <f t="shared" si="6"/>
        <v>0</v>
      </c>
    </row>
    <row r="112" spans="1:107" x14ac:dyDescent="0.2">
      <c r="A112">
        <f>ROW(Source!A103)</f>
        <v>103</v>
      </c>
      <c r="B112">
        <v>52430918</v>
      </c>
      <c r="C112">
        <v>52431634</v>
      </c>
      <c r="D112">
        <v>51868752</v>
      </c>
      <c r="E112">
        <v>1</v>
      </c>
      <c r="F112">
        <v>1</v>
      </c>
      <c r="G112">
        <v>27</v>
      </c>
      <c r="H112">
        <v>3</v>
      </c>
      <c r="I112" t="s">
        <v>451</v>
      </c>
      <c r="J112" t="s">
        <v>452</v>
      </c>
      <c r="K112" t="s">
        <v>453</v>
      </c>
      <c r="L112">
        <v>1339</v>
      </c>
      <c r="N112">
        <v>1007</v>
      </c>
      <c r="O112" t="s">
        <v>28</v>
      </c>
      <c r="P112" t="s">
        <v>28</v>
      </c>
      <c r="Q112">
        <v>1</v>
      </c>
      <c r="W112">
        <v>0</v>
      </c>
      <c r="X112">
        <v>853860812</v>
      </c>
      <c r="Y112">
        <v>0.02</v>
      </c>
      <c r="AA112">
        <v>3392.59</v>
      </c>
      <c r="AB112">
        <v>0</v>
      </c>
      <c r="AC112">
        <v>0</v>
      </c>
      <c r="AD112">
        <v>0</v>
      </c>
      <c r="AE112">
        <v>3392.59</v>
      </c>
      <c r="AF112">
        <v>0</v>
      </c>
      <c r="AG112">
        <v>0</v>
      </c>
      <c r="AH112">
        <v>0</v>
      </c>
      <c r="AI112">
        <v>1</v>
      </c>
      <c r="AJ112">
        <v>1</v>
      </c>
      <c r="AK112">
        <v>1</v>
      </c>
      <c r="AL112">
        <v>1</v>
      </c>
      <c r="AN112">
        <v>0</v>
      </c>
      <c r="AO112">
        <v>1</v>
      </c>
      <c r="AP112">
        <v>0</v>
      </c>
      <c r="AQ112">
        <v>0</v>
      </c>
      <c r="AR112">
        <v>0</v>
      </c>
      <c r="AS112" t="s">
        <v>3</v>
      </c>
      <c r="AT112">
        <v>0.02</v>
      </c>
      <c r="AU112" t="s">
        <v>3</v>
      </c>
      <c r="AV112">
        <v>0</v>
      </c>
      <c r="AW112">
        <v>2</v>
      </c>
      <c r="AX112">
        <v>52431643</v>
      </c>
      <c r="AY112">
        <v>1</v>
      </c>
      <c r="AZ112">
        <v>0</v>
      </c>
      <c r="BA112">
        <v>108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CX112">
        <f>Y112*Source!I103</f>
        <v>7.3600000000000002E-3</v>
      </c>
      <c r="CY112">
        <f>AA112</f>
        <v>3392.59</v>
      </c>
      <c r="CZ112">
        <f>AE112</f>
        <v>3392.59</v>
      </c>
      <c r="DA112">
        <f>AI112</f>
        <v>1</v>
      </c>
      <c r="DB112">
        <f t="shared" si="5"/>
        <v>67.849999999999994</v>
      </c>
      <c r="DC112">
        <f t="shared" si="6"/>
        <v>0</v>
      </c>
    </row>
    <row r="113" spans="1:107" x14ac:dyDescent="0.2">
      <c r="A113">
        <f>ROW(Source!A103)</f>
        <v>103</v>
      </c>
      <c r="B113">
        <v>52430918</v>
      </c>
      <c r="C113">
        <v>52431634</v>
      </c>
      <c r="D113">
        <v>51869488</v>
      </c>
      <c r="E113">
        <v>1</v>
      </c>
      <c r="F113">
        <v>1</v>
      </c>
      <c r="G113">
        <v>27</v>
      </c>
      <c r="H113">
        <v>3</v>
      </c>
      <c r="I113" t="s">
        <v>454</v>
      </c>
      <c r="J113" t="s">
        <v>455</v>
      </c>
      <c r="K113" t="s">
        <v>456</v>
      </c>
      <c r="L113">
        <v>1339</v>
      </c>
      <c r="N113">
        <v>1007</v>
      </c>
      <c r="O113" t="s">
        <v>28</v>
      </c>
      <c r="P113" t="s">
        <v>28</v>
      </c>
      <c r="Q113">
        <v>1</v>
      </c>
      <c r="W113">
        <v>0</v>
      </c>
      <c r="X113">
        <v>892889602</v>
      </c>
      <c r="Y113">
        <v>1.6</v>
      </c>
      <c r="AA113">
        <v>11566.57</v>
      </c>
      <c r="AB113">
        <v>0</v>
      </c>
      <c r="AC113">
        <v>0</v>
      </c>
      <c r="AD113">
        <v>0</v>
      </c>
      <c r="AE113">
        <v>11566.57</v>
      </c>
      <c r="AF113">
        <v>0</v>
      </c>
      <c r="AG113">
        <v>0</v>
      </c>
      <c r="AH113">
        <v>0</v>
      </c>
      <c r="AI113">
        <v>1</v>
      </c>
      <c r="AJ113">
        <v>1</v>
      </c>
      <c r="AK113">
        <v>1</v>
      </c>
      <c r="AL113">
        <v>1</v>
      </c>
      <c r="AN113">
        <v>0</v>
      </c>
      <c r="AO113">
        <v>1</v>
      </c>
      <c r="AP113">
        <v>0</v>
      </c>
      <c r="AQ113">
        <v>0</v>
      </c>
      <c r="AR113">
        <v>0</v>
      </c>
      <c r="AS113" t="s">
        <v>3</v>
      </c>
      <c r="AT113">
        <v>1.6</v>
      </c>
      <c r="AU113" t="s">
        <v>3</v>
      </c>
      <c r="AV113">
        <v>0</v>
      </c>
      <c r="AW113">
        <v>2</v>
      </c>
      <c r="AX113">
        <v>52431644</v>
      </c>
      <c r="AY113">
        <v>1</v>
      </c>
      <c r="AZ113">
        <v>0</v>
      </c>
      <c r="BA113">
        <v>109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CX113">
        <f>Y113*Source!I103</f>
        <v>0.58879999999999999</v>
      </c>
      <c r="CY113">
        <f>AA113</f>
        <v>11566.57</v>
      </c>
      <c r="CZ113">
        <f>AE113</f>
        <v>11566.57</v>
      </c>
      <c r="DA113">
        <f>AI113</f>
        <v>1</v>
      </c>
      <c r="DB113">
        <f t="shared" si="5"/>
        <v>18506.509999999998</v>
      </c>
      <c r="DC113">
        <f t="shared" si="6"/>
        <v>0</v>
      </c>
    </row>
    <row r="114" spans="1:107" x14ac:dyDescent="0.2">
      <c r="A114">
        <f>ROW(Source!A104)</f>
        <v>104</v>
      </c>
      <c r="B114">
        <v>52430918</v>
      </c>
      <c r="C114">
        <v>52431645</v>
      </c>
      <c r="D114">
        <v>51848379</v>
      </c>
      <c r="E114">
        <v>27</v>
      </c>
      <c r="F114">
        <v>1</v>
      </c>
      <c r="G114">
        <v>27</v>
      </c>
      <c r="H114">
        <v>1</v>
      </c>
      <c r="I114" t="s">
        <v>378</v>
      </c>
      <c r="J114" t="s">
        <v>3</v>
      </c>
      <c r="K114" t="s">
        <v>379</v>
      </c>
      <c r="L114">
        <v>1191</v>
      </c>
      <c r="N114">
        <v>1013</v>
      </c>
      <c r="O114" t="s">
        <v>380</v>
      </c>
      <c r="P114" t="s">
        <v>380</v>
      </c>
      <c r="Q114">
        <v>1</v>
      </c>
      <c r="W114">
        <v>0</v>
      </c>
      <c r="X114">
        <v>476480486</v>
      </c>
      <c r="Y114">
        <v>902.75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1</v>
      </c>
      <c r="AJ114">
        <v>1</v>
      </c>
      <c r="AK114">
        <v>1</v>
      </c>
      <c r="AL114">
        <v>1</v>
      </c>
      <c r="AN114">
        <v>0</v>
      </c>
      <c r="AO114">
        <v>1</v>
      </c>
      <c r="AP114">
        <v>0</v>
      </c>
      <c r="AQ114">
        <v>0</v>
      </c>
      <c r="AR114">
        <v>0</v>
      </c>
      <c r="AS114" t="s">
        <v>3</v>
      </c>
      <c r="AT114">
        <v>902.75</v>
      </c>
      <c r="AU114" t="s">
        <v>3</v>
      </c>
      <c r="AV114">
        <v>1</v>
      </c>
      <c r="AW114">
        <v>2</v>
      </c>
      <c r="AX114">
        <v>52431659</v>
      </c>
      <c r="AY114">
        <v>1</v>
      </c>
      <c r="AZ114">
        <v>0</v>
      </c>
      <c r="BA114">
        <v>110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CX114">
        <f>Y114*Source!I104</f>
        <v>45.137500000000003</v>
      </c>
      <c r="CY114">
        <f>AD114</f>
        <v>0</v>
      </c>
      <c r="CZ114">
        <f>AH114</f>
        <v>0</v>
      </c>
      <c r="DA114">
        <f>AL114</f>
        <v>1</v>
      </c>
      <c r="DB114">
        <f t="shared" si="5"/>
        <v>0</v>
      </c>
      <c r="DC114">
        <f t="shared" si="6"/>
        <v>0</v>
      </c>
    </row>
    <row r="115" spans="1:107" x14ac:dyDescent="0.2">
      <c r="A115">
        <f>ROW(Source!A104)</f>
        <v>104</v>
      </c>
      <c r="B115">
        <v>52430918</v>
      </c>
      <c r="C115">
        <v>52431645</v>
      </c>
      <c r="D115">
        <v>51864800</v>
      </c>
      <c r="E115">
        <v>1</v>
      </c>
      <c r="F115">
        <v>1</v>
      </c>
      <c r="G115">
        <v>27</v>
      </c>
      <c r="H115">
        <v>2</v>
      </c>
      <c r="I115" t="s">
        <v>91</v>
      </c>
      <c r="J115" t="s">
        <v>93</v>
      </c>
      <c r="K115" t="s">
        <v>92</v>
      </c>
      <c r="L115">
        <v>1368</v>
      </c>
      <c r="N115">
        <v>1011</v>
      </c>
      <c r="O115" t="s">
        <v>84</v>
      </c>
      <c r="P115" t="s">
        <v>84</v>
      </c>
      <c r="Q115">
        <v>1</v>
      </c>
      <c r="W115">
        <v>1</v>
      </c>
      <c r="X115">
        <v>-1957514721</v>
      </c>
      <c r="Y115">
        <v>-0.09</v>
      </c>
      <c r="AA115">
        <v>0</v>
      </c>
      <c r="AB115">
        <v>1009.65</v>
      </c>
      <c r="AC115">
        <v>554.42999999999995</v>
      </c>
      <c r="AD115">
        <v>0</v>
      </c>
      <c r="AE115">
        <v>0</v>
      </c>
      <c r="AF115">
        <v>1009.65</v>
      </c>
      <c r="AG115">
        <v>554.42999999999995</v>
      </c>
      <c r="AH115">
        <v>0</v>
      </c>
      <c r="AI115">
        <v>1</v>
      </c>
      <c r="AJ115">
        <v>1</v>
      </c>
      <c r="AK115">
        <v>1</v>
      </c>
      <c r="AL115">
        <v>1</v>
      </c>
      <c r="AN115">
        <v>0</v>
      </c>
      <c r="AO115">
        <v>1</v>
      </c>
      <c r="AP115">
        <v>0</v>
      </c>
      <c r="AQ115">
        <v>0</v>
      </c>
      <c r="AR115">
        <v>0</v>
      </c>
      <c r="AS115" t="s">
        <v>3</v>
      </c>
      <c r="AT115">
        <v>-0.09</v>
      </c>
      <c r="AU115" t="s">
        <v>3</v>
      </c>
      <c r="AV115">
        <v>0</v>
      </c>
      <c r="AW115">
        <v>2</v>
      </c>
      <c r="AX115">
        <v>52431660</v>
      </c>
      <c r="AY115">
        <v>1</v>
      </c>
      <c r="AZ115">
        <v>6144</v>
      </c>
      <c r="BA115">
        <v>111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CX115">
        <f>Y115*Source!I104</f>
        <v>-4.4999999999999997E-3</v>
      </c>
      <c r="CY115">
        <f>AB115</f>
        <v>1009.65</v>
      </c>
      <c r="CZ115">
        <f>AF115</f>
        <v>1009.65</v>
      </c>
      <c r="DA115">
        <f>AJ115</f>
        <v>1</v>
      </c>
      <c r="DB115">
        <f t="shared" si="5"/>
        <v>-90.87</v>
      </c>
      <c r="DC115">
        <f t="shared" si="6"/>
        <v>-49.9</v>
      </c>
    </row>
    <row r="116" spans="1:107" x14ac:dyDescent="0.2">
      <c r="A116">
        <f>ROW(Source!A104)</f>
        <v>104</v>
      </c>
      <c r="B116">
        <v>52430918</v>
      </c>
      <c r="C116">
        <v>52431645</v>
      </c>
      <c r="D116">
        <v>51865257</v>
      </c>
      <c r="E116">
        <v>1</v>
      </c>
      <c r="F116">
        <v>1</v>
      </c>
      <c r="G116">
        <v>27</v>
      </c>
      <c r="H116">
        <v>2</v>
      </c>
      <c r="I116" t="s">
        <v>87</v>
      </c>
      <c r="J116" t="s">
        <v>89</v>
      </c>
      <c r="K116" t="s">
        <v>88</v>
      </c>
      <c r="L116">
        <v>1368</v>
      </c>
      <c r="N116">
        <v>1011</v>
      </c>
      <c r="O116" t="s">
        <v>84</v>
      </c>
      <c r="P116" t="s">
        <v>84</v>
      </c>
      <c r="Q116">
        <v>1</v>
      </c>
      <c r="W116">
        <v>1</v>
      </c>
      <c r="X116">
        <v>-1757825014</v>
      </c>
      <c r="Y116">
        <v>-14.5</v>
      </c>
      <c r="AA116">
        <v>0</v>
      </c>
      <c r="AB116">
        <v>27.21</v>
      </c>
      <c r="AC116">
        <v>0.13</v>
      </c>
      <c r="AD116">
        <v>0</v>
      </c>
      <c r="AE116">
        <v>0</v>
      </c>
      <c r="AF116">
        <v>27.21</v>
      </c>
      <c r="AG116">
        <v>0.13</v>
      </c>
      <c r="AH116">
        <v>0</v>
      </c>
      <c r="AI116">
        <v>1</v>
      </c>
      <c r="AJ116">
        <v>1</v>
      </c>
      <c r="AK116">
        <v>1</v>
      </c>
      <c r="AL116">
        <v>1</v>
      </c>
      <c r="AN116">
        <v>0</v>
      </c>
      <c r="AO116">
        <v>1</v>
      </c>
      <c r="AP116">
        <v>0</v>
      </c>
      <c r="AQ116">
        <v>0</v>
      </c>
      <c r="AR116">
        <v>0</v>
      </c>
      <c r="AS116" t="s">
        <v>3</v>
      </c>
      <c r="AT116">
        <v>-14.5</v>
      </c>
      <c r="AU116" t="s">
        <v>3</v>
      </c>
      <c r="AV116">
        <v>0</v>
      </c>
      <c r="AW116">
        <v>2</v>
      </c>
      <c r="AX116">
        <v>52431661</v>
      </c>
      <c r="AY116">
        <v>1</v>
      </c>
      <c r="AZ116">
        <v>6144</v>
      </c>
      <c r="BA116">
        <v>112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CX116">
        <f>Y116*Source!I104</f>
        <v>-0.72500000000000009</v>
      </c>
      <c r="CY116">
        <f>AB116</f>
        <v>27.21</v>
      </c>
      <c r="CZ116">
        <f>AF116</f>
        <v>27.21</v>
      </c>
      <c r="DA116">
        <f>AJ116</f>
        <v>1</v>
      </c>
      <c r="DB116">
        <f t="shared" si="5"/>
        <v>-394.55</v>
      </c>
      <c r="DC116">
        <f t="shared" si="6"/>
        <v>-1.89</v>
      </c>
    </row>
    <row r="117" spans="1:107" x14ac:dyDescent="0.2">
      <c r="A117">
        <f>ROW(Source!A104)</f>
        <v>104</v>
      </c>
      <c r="B117">
        <v>52430918</v>
      </c>
      <c r="C117">
        <v>52431645</v>
      </c>
      <c r="D117">
        <v>51865090</v>
      </c>
      <c r="E117">
        <v>1</v>
      </c>
      <c r="F117">
        <v>1</v>
      </c>
      <c r="G117">
        <v>27</v>
      </c>
      <c r="H117">
        <v>2</v>
      </c>
      <c r="I117" t="s">
        <v>82</v>
      </c>
      <c r="J117" t="s">
        <v>85</v>
      </c>
      <c r="K117" t="s">
        <v>83</v>
      </c>
      <c r="L117">
        <v>1368</v>
      </c>
      <c r="N117">
        <v>1011</v>
      </c>
      <c r="O117" t="s">
        <v>84</v>
      </c>
      <c r="P117" t="s">
        <v>84</v>
      </c>
      <c r="Q117">
        <v>1</v>
      </c>
      <c r="W117">
        <v>1</v>
      </c>
      <c r="X117">
        <v>1349119844</v>
      </c>
      <c r="Y117">
        <v>-5.44</v>
      </c>
      <c r="AA117">
        <v>0</v>
      </c>
      <c r="AB117">
        <v>10.82</v>
      </c>
      <c r="AC117">
        <v>2.97</v>
      </c>
      <c r="AD117">
        <v>0</v>
      </c>
      <c r="AE117">
        <v>0</v>
      </c>
      <c r="AF117">
        <v>10.82</v>
      </c>
      <c r="AG117">
        <v>2.97</v>
      </c>
      <c r="AH117">
        <v>0</v>
      </c>
      <c r="AI117">
        <v>1</v>
      </c>
      <c r="AJ117">
        <v>1</v>
      </c>
      <c r="AK117">
        <v>1</v>
      </c>
      <c r="AL117">
        <v>1</v>
      </c>
      <c r="AN117">
        <v>0</v>
      </c>
      <c r="AO117">
        <v>1</v>
      </c>
      <c r="AP117">
        <v>0</v>
      </c>
      <c r="AQ117">
        <v>0</v>
      </c>
      <c r="AR117">
        <v>0</v>
      </c>
      <c r="AS117" t="s">
        <v>3</v>
      </c>
      <c r="AT117">
        <v>-5.44</v>
      </c>
      <c r="AU117" t="s">
        <v>3</v>
      </c>
      <c r="AV117">
        <v>0</v>
      </c>
      <c r="AW117">
        <v>2</v>
      </c>
      <c r="AX117">
        <v>52431662</v>
      </c>
      <c r="AY117">
        <v>1</v>
      </c>
      <c r="AZ117">
        <v>6144</v>
      </c>
      <c r="BA117">
        <v>113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CX117">
        <f>Y117*Source!I104</f>
        <v>-0.27200000000000002</v>
      </c>
      <c r="CY117">
        <f>AB117</f>
        <v>10.82</v>
      </c>
      <c r="CZ117">
        <f>AF117</f>
        <v>10.82</v>
      </c>
      <c r="DA117">
        <f>AJ117</f>
        <v>1</v>
      </c>
      <c r="DB117">
        <f t="shared" si="5"/>
        <v>-58.86</v>
      </c>
      <c r="DC117">
        <f t="shared" si="6"/>
        <v>-16.16</v>
      </c>
    </row>
    <row r="118" spans="1:107" x14ac:dyDescent="0.2">
      <c r="A118">
        <f>ROW(Source!A104)</f>
        <v>104</v>
      </c>
      <c r="B118">
        <v>52430918</v>
      </c>
      <c r="C118">
        <v>52431645</v>
      </c>
      <c r="D118">
        <v>51867612</v>
      </c>
      <c r="E118">
        <v>1</v>
      </c>
      <c r="F118">
        <v>1</v>
      </c>
      <c r="G118">
        <v>27</v>
      </c>
      <c r="H118">
        <v>3</v>
      </c>
      <c r="I118" t="s">
        <v>99</v>
      </c>
      <c r="J118" t="s">
        <v>102</v>
      </c>
      <c r="K118" t="s">
        <v>100</v>
      </c>
      <c r="L118">
        <v>1348</v>
      </c>
      <c r="N118">
        <v>1009</v>
      </c>
      <c r="O118" t="s">
        <v>101</v>
      </c>
      <c r="P118" t="s">
        <v>101</v>
      </c>
      <c r="Q118">
        <v>1000</v>
      </c>
      <c r="W118">
        <v>1</v>
      </c>
      <c r="X118">
        <v>-672771621</v>
      </c>
      <c r="Y118">
        <v>-0.02</v>
      </c>
      <c r="AA118">
        <v>110781.14</v>
      </c>
      <c r="AB118">
        <v>0</v>
      </c>
      <c r="AC118">
        <v>0</v>
      </c>
      <c r="AD118">
        <v>0</v>
      </c>
      <c r="AE118">
        <v>110781.14</v>
      </c>
      <c r="AF118">
        <v>0</v>
      </c>
      <c r="AG118">
        <v>0</v>
      </c>
      <c r="AH118">
        <v>0</v>
      </c>
      <c r="AI118">
        <v>1</v>
      </c>
      <c r="AJ118">
        <v>1</v>
      </c>
      <c r="AK118">
        <v>1</v>
      </c>
      <c r="AL118">
        <v>1</v>
      </c>
      <c r="AN118">
        <v>0</v>
      </c>
      <c r="AO118">
        <v>1</v>
      </c>
      <c r="AP118">
        <v>0</v>
      </c>
      <c r="AQ118">
        <v>0</v>
      </c>
      <c r="AR118">
        <v>0</v>
      </c>
      <c r="AS118" t="s">
        <v>3</v>
      </c>
      <c r="AT118">
        <v>-0.02</v>
      </c>
      <c r="AU118" t="s">
        <v>3</v>
      </c>
      <c r="AV118">
        <v>0</v>
      </c>
      <c r="AW118">
        <v>2</v>
      </c>
      <c r="AX118">
        <v>52431663</v>
      </c>
      <c r="AY118">
        <v>1</v>
      </c>
      <c r="AZ118">
        <v>6144</v>
      </c>
      <c r="BA118">
        <v>114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CX118">
        <f>Y118*Source!I104</f>
        <v>-1E-3</v>
      </c>
      <c r="CY118">
        <f t="shared" ref="CY118:CY126" si="7">AA118</f>
        <v>110781.14</v>
      </c>
      <c r="CZ118">
        <f t="shared" ref="CZ118:CZ126" si="8">AE118</f>
        <v>110781.14</v>
      </c>
      <c r="DA118">
        <f t="shared" ref="DA118:DA126" si="9">AI118</f>
        <v>1</v>
      </c>
      <c r="DB118">
        <f t="shared" si="5"/>
        <v>-2215.62</v>
      </c>
      <c r="DC118">
        <f t="shared" si="6"/>
        <v>0</v>
      </c>
    </row>
    <row r="119" spans="1:107" x14ac:dyDescent="0.2">
      <c r="A119">
        <f>ROW(Source!A104)</f>
        <v>104</v>
      </c>
      <c r="B119">
        <v>52430918</v>
      </c>
      <c r="C119">
        <v>52431645</v>
      </c>
      <c r="D119">
        <v>51866048</v>
      </c>
      <c r="E119">
        <v>1</v>
      </c>
      <c r="F119">
        <v>1</v>
      </c>
      <c r="G119">
        <v>27</v>
      </c>
      <c r="H119">
        <v>3</v>
      </c>
      <c r="I119" t="s">
        <v>77</v>
      </c>
      <c r="J119" t="s">
        <v>80</v>
      </c>
      <c r="K119" t="s">
        <v>78</v>
      </c>
      <c r="L119">
        <v>1356</v>
      </c>
      <c r="N119">
        <v>1010</v>
      </c>
      <c r="O119" t="s">
        <v>79</v>
      </c>
      <c r="P119" t="s">
        <v>79</v>
      </c>
      <c r="Q119">
        <v>1000</v>
      </c>
      <c r="W119">
        <v>1</v>
      </c>
      <c r="X119">
        <v>-477329452</v>
      </c>
      <c r="Y119">
        <v>-3.6999999999999998E-2</v>
      </c>
      <c r="AA119">
        <v>10419.43</v>
      </c>
      <c r="AB119">
        <v>0</v>
      </c>
      <c r="AC119">
        <v>0</v>
      </c>
      <c r="AD119">
        <v>0</v>
      </c>
      <c r="AE119">
        <v>10419.43</v>
      </c>
      <c r="AF119">
        <v>0</v>
      </c>
      <c r="AG119">
        <v>0</v>
      </c>
      <c r="AH119">
        <v>0</v>
      </c>
      <c r="AI119">
        <v>1</v>
      </c>
      <c r="AJ119">
        <v>1</v>
      </c>
      <c r="AK119">
        <v>1</v>
      </c>
      <c r="AL119">
        <v>1</v>
      </c>
      <c r="AN119">
        <v>0</v>
      </c>
      <c r="AO119">
        <v>1</v>
      </c>
      <c r="AP119">
        <v>0</v>
      </c>
      <c r="AQ119">
        <v>0</v>
      </c>
      <c r="AR119">
        <v>0</v>
      </c>
      <c r="AS119" t="s">
        <v>3</v>
      </c>
      <c r="AT119">
        <v>-3.6999999999999998E-2</v>
      </c>
      <c r="AU119" t="s">
        <v>3</v>
      </c>
      <c r="AV119">
        <v>0</v>
      </c>
      <c r="AW119">
        <v>2</v>
      </c>
      <c r="AX119">
        <v>52431664</v>
      </c>
      <c r="AY119">
        <v>1</v>
      </c>
      <c r="AZ119">
        <v>6144</v>
      </c>
      <c r="BA119">
        <v>115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CX119">
        <f>Y119*Source!I104</f>
        <v>-1.8500000000000001E-3</v>
      </c>
      <c r="CY119">
        <f t="shared" si="7"/>
        <v>10419.43</v>
      </c>
      <c r="CZ119">
        <f t="shared" si="8"/>
        <v>10419.43</v>
      </c>
      <c r="DA119">
        <f t="shared" si="9"/>
        <v>1</v>
      </c>
      <c r="DB119">
        <f t="shared" si="5"/>
        <v>-385.52</v>
      </c>
      <c r="DC119">
        <f t="shared" si="6"/>
        <v>0</v>
      </c>
    </row>
    <row r="120" spans="1:107" x14ac:dyDescent="0.2">
      <c r="A120">
        <f>ROW(Source!A104)</f>
        <v>104</v>
      </c>
      <c r="B120">
        <v>52430918</v>
      </c>
      <c r="C120">
        <v>52431645</v>
      </c>
      <c r="D120">
        <v>51868609</v>
      </c>
      <c r="E120">
        <v>1</v>
      </c>
      <c r="F120">
        <v>1</v>
      </c>
      <c r="G120">
        <v>27</v>
      </c>
      <c r="H120">
        <v>3</v>
      </c>
      <c r="I120" t="s">
        <v>95</v>
      </c>
      <c r="J120" t="s">
        <v>97</v>
      </c>
      <c r="K120" t="s">
        <v>96</v>
      </c>
      <c r="L120">
        <v>1339</v>
      </c>
      <c r="N120">
        <v>1007</v>
      </c>
      <c r="O120" t="s">
        <v>28</v>
      </c>
      <c r="P120" t="s">
        <v>28</v>
      </c>
      <c r="Q120">
        <v>1</v>
      </c>
      <c r="W120">
        <v>1</v>
      </c>
      <c r="X120">
        <v>395141172</v>
      </c>
      <c r="Y120">
        <v>-5</v>
      </c>
      <c r="AA120">
        <v>3040.38</v>
      </c>
      <c r="AB120">
        <v>0</v>
      </c>
      <c r="AC120">
        <v>0</v>
      </c>
      <c r="AD120">
        <v>0</v>
      </c>
      <c r="AE120">
        <v>3040.38</v>
      </c>
      <c r="AF120">
        <v>0</v>
      </c>
      <c r="AG120">
        <v>0</v>
      </c>
      <c r="AH120">
        <v>0</v>
      </c>
      <c r="AI120">
        <v>1</v>
      </c>
      <c r="AJ120">
        <v>1</v>
      </c>
      <c r="AK120">
        <v>1</v>
      </c>
      <c r="AL120">
        <v>1</v>
      </c>
      <c r="AN120">
        <v>0</v>
      </c>
      <c r="AO120">
        <v>1</v>
      </c>
      <c r="AP120">
        <v>0</v>
      </c>
      <c r="AQ120">
        <v>0</v>
      </c>
      <c r="AR120">
        <v>0</v>
      </c>
      <c r="AS120" t="s">
        <v>3</v>
      </c>
      <c r="AT120">
        <v>-5</v>
      </c>
      <c r="AU120" t="s">
        <v>3</v>
      </c>
      <c r="AV120">
        <v>0</v>
      </c>
      <c r="AW120">
        <v>2</v>
      </c>
      <c r="AX120">
        <v>52431665</v>
      </c>
      <c r="AY120">
        <v>1</v>
      </c>
      <c r="AZ120">
        <v>6144</v>
      </c>
      <c r="BA120">
        <v>116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CX120">
        <f>Y120*Source!I104</f>
        <v>-0.25</v>
      </c>
      <c r="CY120">
        <f t="shared" si="7"/>
        <v>3040.38</v>
      </c>
      <c r="CZ120">
        <f t="shared" si="8"/>
        <v>3040.38</v>
      </c>
      <c r="DA120">
        <f t="shared" si="9"/>
        <v>1</v>
      </c>
      <c r="DB120">
        <f t="shared" si="5"/>
        <v>-15201.9</v>
      </c>
      <c r="DC120">
        <f t="shared" si="6"/>
        <v>0</v>
      </c>
    </row>
    <row r="121" spans="1:107" x14ac:dyDescent="0.2">
      <c r="A121">
        <f>ROW(Source!A104)</f>
        <v>104</v>
      </c>
      <c r="B121">
        <v>52430918</v>
      </c>
      <c r="C121">
        <v>52431645</v>
      </c>
      <c r="D121">
        <v>51868749</v>
      </c>
      <c r="E121">
        <v>1</v>
      </c>
      <c r="F121">
        <v>1</v>
      </c>
      <c r="G121">
        <v>27</v>
      </c>
      <c r="H121">
        <v>3</v>
      </c>
      <c r="I121" t="s">
        <v>457</v>
      </c>
      <c r="J121" t="s">
        <v>458</v>
      </c>
      <c r="K121" t="s">
        <v>459</v>
      </c>
      <c r="L121">
        <v>1339</v>
      </c>
      <c r="N121">
        <v>1007</v>
      </c>
      <c r="O121" t="s">
        <v>28</v>
      </c>
      <c r="P121" t="s">
        <v>28</v>
      </c>
      <c r="Q121">
        <v>1</v>
      </c>
      <c r="W121">
        <v>0</v>
      </c>
      <c r="X121">
        <v>416525707</v>
      </c>
      <c r="Y121">
        <v>1.4999999999999999E-2</v>
      </c>
      <c r="AA121">
        <v>3323.4</v>
      </c>
      <c r="AB121">
        <v>0</v>
      </c>
      <c r="AC121">
        <v>0</v>
      </c>
      <c r="AD121">
        <v>0</v>
      </c>
      <c r="AE121">
        <v>3323.4</v>
      </c>
      <c r="AF121">
        <v>0</v>
      </c>
      <c r="AG121">
        <v>0</v>
      </c>
      <c r="AH121">
        <v>0</v>
      </c>
      <c r="AI121">
        <v>1</v>
      </c>
      <c r="AJ121">
        <v>1</v>
      </c>
      <c r="AK121">
        <v>1</v>
      </c>
      <c r="AL121">
        <v>1</v>
      </c>
      <c r="AN121">
        <v>0</v>
      </c>
      <c r="AO121">
        <v>1</v>
      </c>
      <c r="AP121">
        <v>0</v>
      </c>
      <c r="AQ121">
        <v>0</v>
      </c>
      <c r="AR121">
        <v>0</v>
      </c>
      <c r="AS121" t="s">
        <v>3</v>
      </c>
      <c r="AT121">
        <v>1.4999999999999999E-2</v>
      </c>
      <c r="AU121" t="s">
        <v>3</v>
      </c>
      <c r="AV121">
        <v>0</v>
      </c>
      <c r="AW121">
        <v>2</v>
      </c>
      <c r="AX121">
        <v>52431666</v>
      </c>
      <c r="AY121">
        <v>1</v>
      </c>
      <c r="AZ121">
        <v>0</v>
      </c>
      <c r="BA121">
        <v>117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CX121">
        <f>Y121*Source!I104</f>
        <v>7.5000000000000002E-4</v>
      </c>
      <c r="CY121">
        <f t="shared" si="7"/>
        <v>3323.4</v>
      </c>
      <c r="CZ121">
        <f t="shared" si="8"/>
        <v>3323.4</v>
      </c>
      <c r="DA121">
        <f t="shared" si="9"/>
        <v>1</v>
      </c>
      <c r="DB121">
        <f t="shared" si="5"/>
        <v>49.85</v>
      </c>
      <c r="DC121">
        <f t="shared" si="6"/>
        <v>0</v>
      </c>
    </row>
    <row r="122" spans="1:107" x14ac:dyDescent="0.2">
      <c r="A122">
        <f>ROW(Source!A104)</f>
        <v>104</v>
      </c>
      <c r="B122">
        <v>52430918</v>
      </c>
      <c r="C122">
        <v>52431645</v>
      </c>
      <c r="D122">
        <v>0</v>
      </c>
      <c r="E122">
        <v>27</v>
      </c>
      <c r="F122">
        <v>1</v>
      </c>
      <c r="G122">
        <v>27</v>
      </c>
      <c r="H122">
        <v>3</v>
      </c>
      <c r="I122" t="s">
        <v>104</v>
      </c>
      <c r="J122" t="s">
        <v>3</v>
      </c>
      <c r="K122" t="s">
        <v>105</v>
      </c>
      <c r="L122">
        <v>1354</v>
      </c>
      <c r="N122">
        <v>1010</v>
      </c>
      <c r="O122" t="s">
        <v>106</v>
      </c>
      <c r="P122" t="s">
        <v>106</v>
      </c>
      <c r="Q122">
        <v>1</v>
      </c>
      <c r="W122">
        <v>0</v>
      </c>
      <c r="X122">
        <v>-292158938</v>
      </c>
      <c r="Y122">
        <v>20</v>
      </c>
      <c r="AA122">
        <v>17250</v>
      </c>
      <c r="AB122">
        <v>0</v>
      </c>
      <c r="AC122">
        <v>0</v>
      </c>
      <c r="AD122">
        <v>0</v>
      </c>
      <c r="AE122">
        <v>17250</v>
      </c>
      <c r="AF122">
        <v>0</v>
      </c>
      <c r="AG122">
        <v>0</v>
      </c>
      <c r="AH122">
        <v>0</v>
      </c>
      <c r="AI122">
        <v>1</v>
      </c>
      <c r="AJ122">
        <v>1</v>
      </c>
      <c r="AK122">
        <v>1</v>
      </c>
      <c r="AL122">
        <v>1</v>
      </c>
      <c r="AN122">
        <v>0</v>
      </c>
      <c r="AO122">
        <v>0</v>
      </c>
      <c r="AP122">
        <v>0</v>
      </c>
      <c r="AQ122">
        <v>0</v>
      </c>
      <c r="AR122">
        <v>0</v>
      </c>
      <c r="AS122" t="s">
        <v>3</v>
      </c>
      <c r="AT122">
        <v>20</v>
      </c>
      <c r="AU122" t="s">
        <v>3</v>
      </c>
      <c r="AV122">
        <v>0</v>
      </c>
      <c r="AW122">
        <v>1</v>
      </c>
      <c r="AX122">
        <v>-1</v>
      </c>
      <c r="AY122">
        <v>0</v>
      </c>
      <c r="AZ122">
        <v>0</v>
      </c>
      <c r="BA122" t="s">
        <v>3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CX122">
        <f>Y122*Source!I104</f>
        <v>1</v>
      </c>
      <c r="CY122">
        <f t="shared" si="7"/>
        <v>17250</v>
      </c>
      <c r="CZ122">
        <f t="shared" si="8"/>
        <v>17250</v>
      </c>
      <c r="DA122">
        <f t="shared" si="9"/>
        <v>1</v>
      </c>
      <c r="DB122">
        <f t="shared" si="5"/>
        <v>345000</v>
      </c>
      <c r="DC122">
        <f t="shared" si="6"/>
        <v>0</v>
      </c>
    </row>
    <row r="123" spans="1:107" x14ac:dyDescent="0.2">
      <c r="A123">
        <f>ROW(Source!A104)</f>
        <v>104</v>
      </c>
      <c r="B123">
        <v>52430918</v>
      </c>
      <c r="C123">
        <v>52431645</v>
      </c>
      <c r="D123">
        <v>0</v>
      </c>
      <c r="E123">
        <v>27</v>
      </c>
      <c r="F123">
        <v>1</v>
      </c>
      <c r="G123">
        <v>27</v>
      </c>
      <c r="H123">
        <v>3</v>
      </c>
      <c r="I123" t="s">
        <v>104</v>
      </c>
      <c r="J123" t="s">
        <v>3</v>
      </c>
      <c r="K123" t="s">
        <v>203</v>
      </c>
      <c r="L123">
        <v>1354</v>
      </c>
      <c r="N123">
        <v>1010</v>
      </c>
      <c r="O123" t="s">
        <v>106</v>
      </c>
      <c r="P123" t="s">
        <v>106</v>
      </c>
      <c r="Q123">
        <v>1</v>
      </c>
      <c r="W123">
        <v>0</v>
      </c>
      <c r="X123">
        <v>954585822</v>
      </c>
      <c r="Y123">
        <v>20</v>
      </c>
      <c r="AA123">
        <v>40166.67</v>
      </c>
      <c r="AB123">
        <v>0</v>
      </c>
      <c r="AC123">
        <v>0</v>
      </c>
      <c r="AD123">
        <v>0</v>
      </c>
      <c r="AE123">
        <v>40166.67</v>
      </c>
      <c r="AF123">
        <v>0</v>
      </c>
      <c r="AG123">
        <v>0</v>
      </c>
      <c r="AH123">
        <v>0</v>
      </c>
      <c r="AI123">
        <v>1</v>
      </c>
      <c r="AJ123">
        <v>1</v>
      </c>
      <c r="AK123">
        <v>1</v>
      </c>
      <c r="AL123">
        <v>1</v>
      </c>
      <c r="AN123">
        <v>0</v>
      </c>
      <c r="AO123">
        <v>0</v>
      </c>
      <c r="AP123">
        <v>0</v>
      </c>
      <c r="AQ123">
        <v>0</v>
      </c>
      <c r="AR123">
        <v>0</v>
      </c>
      <c r="AS123" t="s">
        <v>3</v>
      </c>
      <c r="AT123">
        <v>20</v>
      </c>
      <c r="AU123" t="s">
        <v>3</v>
      </c>
      <c r="AV123">
        <v>0</v>
      </c>
      <c r="AW123">
        <v>1</v>
      </c>
      <c r="AX123">
        <v>-1</v>
      </c>
      <c r="AY123">
        <v>0</v>
      </c>
      <c r="AZ123">
        <v>0</v>
      </c>
      <c r="BA123" t="s">
        <v>3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CX123">
        <f>Y123*Source!I104</f>
        <v>1</v>
      </c>
      <c r="CY123">
        <f t="shared" si="7"/>
        <v>40166.67</v>
      </c>
      <c r="CZ123">
        <f t="shared" si="8"/>
        <v>40166.67</v>
      </c>
      <c r="DA123">
        <f t="shared" si="9"/>
        <v>1</v>
      </c>
      <c r="DB123">
        <f t="shared" si="5"/>
        <v>803333.4</v>
      </c>
      <c r="DC123">
        <f t="shared" si="6"/>
        <v>0</v>
      </c>
    </row>
    <row r="124" spans="1:107" x14ac:dyDescent="0.2">
      <c r="A124">
        <f>ROW(Source!A104)</f>
        <v>104</v>
      </c>
      <c r="B124">
        <v>52430918</v>
      </c>
      <c r="C124">
        <v>52431645</v>
      </c>
      <c r="D124">
        <v>0</v>
      </c>
      <c r="E124">
        <v>27</v>
      </c>
      <c r="F124">
        <v>1</v>
      </c>
      <c r="G124">
        <v>27</v>
      </c>
      <c r="H124">
        <v>3</v>
      </c>
      <c r="I124" t="s">
        <v>104</v>
      </c>
      <c r="J124" t="s">
        <v>3</v>
      </c>
      <c r="K124" t="s">
        <v>206</v>
      </c>
      <c r="L124">
        <v>1354</v>
      </c>
      <c r="N124">
        <v>1010</v>
      </c>
      <c r="O124" t="s">
        <v>106</v>
      </c>
      <c r="P124" t="s">
        <v>106</v>
      </c>
      <c r="Q124">
        <v>1</v>
      </c>
      <c r="W124">
        <v>0</v>
      </c>
      <c r="X124">
        <v>-696338570</v>
      </c>
      <c r="Y124">
        <v>20</v>
      </c>
      <c r="AA124">
        <v>48916.67</v>
      </c>
      <c r="AB124">
        <v>0</v>
      </c>
      <c r="AC124">
        <v>0</v>
      </c>
      <c r="AD124">
        <v>0</v>
      </c>
      <c r="AE124">
        <v>48916.67</v>
      </c>
      <c r="AF124">
        <v>0</v>
      </c>
      <c r="AG124">
        <v>0</v>
      </c>
      <c r="AH124">
        <v>0</v>
      </c>
      <c r="AI124">
        <v>1</v>
      </c>
      <c r="AJ124">
        <v>1</v>
      </c>
      <c r="AK124">
        <v>1</v>
      </c>
      <c r="AL124">
        <v>1</v>
      </c>
      <c r="AN124">
        <v>0</v>
      </c>
      <c r="AO124">
        <v>0</v>
      </c>
      <c r="AP124">
        <v>0</v>
      </c>
      <c r="AQ124">
        <v>0</v>
      </c>
      <c r="AR124">
        <v>0</v>
      </c>
      <c r="AS124" t="s">
        <v>3</v>
      </c>
      <c r="AT124">
        <v>20</v>
      </c>
      <c r="AU124" t="s">
        <v>3</v>
      </c>
      <c r="AV124">
        <v>0</v>
      </c>
      <c r="AW124">
        <v>1</v>
      </c>
      <c r="AX124">
        <v>-1</v>
      </c>
      <c r="AY124">
        <v>0</v>
      </c>
      <c r="AZ124">
        <v>0</v>
      </c>
      <c r="BA124" t="s">
        <v>3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CX124">
        <f>Y124*Source!I104</f>
        <v>1</v>
      </c>
      <c r="CY124">
        <f t="shared" si="7"/>
        <v>48916.67</v>
      </c>
      <c r="CZ124">
        <f t="shared" si="8"/>
        <v>48916.67</v>
      </c>
      <c r="DA124">
        <f t="shared" si="9"/>
        <v>1</v>
      </c>
      <c r="DB124">
        <f t="shared" si="5"/>
        <v>978333.4</v>
      </c>
      <c r="DC124">
        <f t="shared" si="6"/>
        <v>0</v>
      </c>
    </row>
    <row r="125" spans="1:107" x14ac:dyDescent="0.2">
      <c r="A125">
        <f>ROW(Source!A104)</f>
        <v>104</v>
      </c>
      <c r="B125">
        <v>52430918</v>
      </c>
      <c r="C125">
        <v>52431645</v>
      </c>
      <c r="D125">
        <v>0</v>
      </c>
      <c r="E125">
        <v>0</v>
      </c>
      <c r="F125">
        <v>1</v>
      </c>
      <c r="G125">
        <v>27</v>
      </c>
      <c r="H125">
        <v>3</v>
      </c>
      <c r="I125" t="s">
        <v>104</v>
      </c>
      <c r="J125" t="s">
        <v>3</v>
      </c>
      <c r="K125" t="s">
        <v>209</v>
      </c>
      <c r="L125">
        <v>1354</v>
      </c>
      <c r="N125">
        <v>1010</v>
      </c>
      <c r="O125" t="s">
        <v>106</v>
      </c>
      <c r="P125" t="s">
        <v>106</v>
      </c>
      <c r="Q125">
        <v>1</v>
      </c>
      <c r="W125">
        <v>0</v>
      </c>
      <c r="X125">
        <v>1617365214</v>
      </c>
      <c r="Y125">
        <v>20</v>
      </c>
      <c r="AA125">
        <v>10833.33</v>
      </c>
      <c r="AB125">
        <v>0</v>
      </c>
      <c r="AC125">
        <v>0</v>
      </c>
      <c r="AD125">
        <v>0</v>
      </c>
      <c r="AE125">
        <v>10833.33</v>
      </c>
      <c r="AF125">
        <v>0</v>
      </c>
      <c r="AG125">
        <v>0</v>
      </c>
      <c r="AH125">
        <v>0</v>
      </c>
      <c r="AI125">
        <v>1</v>
      </c>
      <c r="AJ125">
        <v>1</v>
      </c>
      <c r="AK125">
        <v>1</v>
      </c>
      <c r="AL125">
        <v>1</v>
      </c>
      <c r="AN125">
        <v>0</v>
      </c>
      <c r="AO125">
        <v>0</v>
      </c>
      <c r="AP125">
        <v>0</v>
      </c>
      <c r="AQ125">
        <v>0</v>
      </c>
      <c r="AR125">
        <v>0</v>
      </c>
      <c r="AS125" t="s">
        <v>3</v>
      </c>
      <c r="AT125">
        <v>20</v>
      </c>
      <c r="AU125" t="s">
        <v>3</v>
      </c>
      <c r="AV125">
        <v>0</v>
      </c>
      <c r="AW125">
        <v>1</v>
      </c>
      <c r="AX125">
        <v>-1</v>
      </c>
      <c r="AY125">
        <v>0</v>
      </c>
      <c r="AZ125">
        <v>0</v>
      </c>
      <c r="BA125" t="s">
        <v>3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CX125">
        <f>Y125*Source!I104</f>
        <v>1</v>
      </c>
      <c r="CY125">
        <f t="shared" si="7"/>
        <v>10833.33</v>
      </c>
      <c r="CZ125">
        <f t="shared" si="8"/>
        <v>10833.33</v>
      </c>
      <c r="DA125">
        <f t="shared" si="9"/>
        <v>1</v>
      </c>
      <c r="DB125">
        <f t="shared" si="5"/>
        <v>216666.6</v>
      </c>
      <c r="DC125">
        <f t="shared" si="6"/>
        <v>0</v>
      </c>
    </row>
    <row r="126" spans="1:107" x14ac:dyDescent="0.2">
      <c r="A126">
        <f>ROW(Source!A104)</f>
        <v>104</v>
      </c>
      <c r="B126">
        <v>52430918</v>
      </c>
      <c r="C126">
        <v>52431645</v>
      </c>
      <c r="D126">
        <v>0</v>
      </c>
      <c r="E126">
        <v>0</v>
      </c>
      <c r="F126">
        <v>1</v>
      </c>
      <c r="G126">
        <v>27</v>
      </c>
      <c r="H126">
        <v>3</v>
      </c>
      <c r="I126" t="s">
        <v>104</v>
      </c>
      <c r="J126" t="s">
        <v>3</v>
      </c>
      <c r="K126" t="s">
        <v>200</v>
      </c>
      <c r="L126">
        <v>1354</v>
      </c>
      <c r="N126">
        <v>1010</v>
      </c>
      <c r="O126" t="s">
        <v>106</v>
      </c>
      <c r="P126" t="s">
        <v>106</v>
      </c>
      <c r="Q126">
        <v>1</v>
      </c>
      <c r="W126">
        <v>0</v>
      </c>
      <c r="X126">
        <v>-797437268</v>
      </c>
      <c r="Y126">
        <v>20</v>
      </c>
      <c r="AA126">
        <v>43083.33</v>
      </c>
      <c r="AB126">
        <v>0</v>
      </c>
      <c r="AC126">
        <v>0</v>
      </c>
      <c r="AD126">
        <v>0</v>
      </c>
      <c r="AE126">
        <v>43083.33</v>
      </c>
      <c r="AF126">
        <v>0</v>
      </c>
      <c r="AG126">
        <v>0</v>
      </c>
      <c r="AH126">
        <v>0</v>
      </c>
      <c r="AI126">
        <v>1</v>
      </c>
      <c r="AJ126">
        <v>1</v>
      </c>
      <c r="AK126">
        <v>1</v>
      </c>
      <c r="AL126">
        <v>1</v>
      </c>
      <c r="AN126">
        <v>0</v>
      </c>
      <c r="AO126">
        <v>0</v>
      </c>
      <c r="AP126">
        <v>0</v>
      </c>
      <c r="AQ126">
        <v>0</v>
      </c>
      <c r="AR126">
        <v>0</v>
      </c>
      <c r="AS126" t="s">
        <v>3</v>
      </c>
      <c r="AT126">
        <v>20</v>
      </c>
      <c r="AU126" t="s">
        <v>3</v>
      </c>
      <c r="AV126">
        <v>0</v>
      </c>
      <c r="AW126">
        <v>1</v>
      </c>
      <c r="AX126">
        <v>-1</v>
      </c>
      <c r="AY126">
        <v>0</v>
      </c>
      <c r="AZ126">
        <v>0</v>
      </c>
      <c r="BA126" t="s">
        <v>3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CX126">
        <f>Y126*Source!I104</f>
        <v>1</v>
      </c>
      <c r="CY126">
        <f t="shared" si="7"/>
        <v>43083.33</v>
      </c>
      <c r="CZ126">
        <f t="shared" si="8"/>
        <v>43083.33</v>
      </c>
      <c r="DA126">
        <f t="shared" si="9"/>
        <v>1</v>
      </c>
      <c r="DB126">
        <f t="shared" si="5"/>
        <v>861666.6</v>
      </c>
      <c r="DC126">
        <f t="shared" si="6"/>
        <v>0</v>
      </c>
    </row>
    <row r="127" spans="1:107" x14ac:dyDescent="0.2">
      <c r="A127">
        <f>ROW(Source!A151)</f>
        <v>151</v>
      </c>
      <c r="B127">
        <v>52430918</v>
      </c>
      <c r="C127">
        <v>52431680</v>
      </c>
      <c r="D127">
        <v>51848379</v>
      </c>
      <c r="E127">
        <v>27</v>
      </c>
      <c r="F127">
        <v>1</v>
      </c>
      <c r="G127">
        <v>27</v>
      </c>
      <c r="H127">
        <v>1</v>
      </c>
      <c r="I127" t="s">
        <v>378</v>
      </c>
      <c r="J127" t="s">
        <v>3</v>
      </c>
      <c r="K127" t="s">
        <v>379</v>
      </c>
      <c r="L127">
        <v>1191</v>
      </c>
      <c r="N127">
        <v>1013</v>
      </c>
      <c r="O127" t="s">
        <v>380</v>
      </c>
      <c r="P127" t="s">
        <v>380</v>
      </c>
      <c r="Q127">
        <v>1</v>
      </c>
      <c r="W127">
        <v>0</v>
      </c>
      <c r="X127">
        <v>476480486</v>
      </c>
      <c r="Y127">
        <v>2.66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1</v>
      </c>
      <c r="AJ127">
        <v>1</v>
      </c>
      <c r="AK127">
        <v>1</v>
      </c>
      <c r="AL127">
        <v>1</v>
      </c>
      <c r="AN127">
        <v>0</v>
      </c>
      <c r="AO127">
        <v>1</v>
      </c>
      <c r="AP127">
        <v>0</v>
      </c>
      <c r="AQ127">
        <v>0</v>
      </c>
      <c r="AR127">
        <v>0</v>
      </c>
      <c r="AS127" t="s">
        <v>3</v>
      </c>
      <c r="AT127">
        <v>2.66</v>
      </c>
      <c r="AU127" t="s">
        <v>3</v>
      </c>
      <c r="AV127">
        <v>1</v>
      </c>
      <c r="AW127">
        <v>2</v>
      </c>
      <c r="AX127">
        <v>52431682</v>
      </c>
      <c r="AY127">
        <v>1</v>
      </c>
      <c r="AZ127">
        <v>0</v>
      </c>
      <c r="BA127">
        <v>120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CX127">
        <f>Y127*Source!I151</f>
        <v>76.182400000000001</v>
      </c>
      <c r="CY127">
        <f>AD127</f>
        <v>0</v>
      </c>
      <c r="CZ127">
        <f>AH127</f>
        <v>0</v>
      </c>
      <c r="DA127">
        <f>AL127</f>
        <v>1</v>
      </c>
      <c r="DB127">
        <f t="shared" si="5"/>
        <v>0</v>
      </c>
      <c r="DC127">
        <f t="shared" si="6"/>
        <v>0</v>
      </c>
    </row>
    <row r="128" spans="1:107" x14ac:dyDescent="0.2">
      <c r="A128">
        <f>ROW(Source!A152)</f>
        <v>152</v>
      </c>
      <c r="B128">
        <v>52430918</v>
      </c>
      <c r="C128">
        <v>52431683</v>
      </c>
      <c r="D128">
        <v>51848379</v>
      </c>
      <c r="E128">
        <v>27</v>
      </c>
      <c r="F128">
        <v>1</v>
      </c>
      <c r="G128">
        <v>27</v>
      </c>
      <c r="H128">
        <v>1</v>
      </c>
      <c r="I128" t="s">
        <v>378</v>
      </c>
      <c r="J128" t="s">
        <v>3</v>
      </c>
      <c r="K128" t="s">
        <v>379</v>
      </c>
      <c r="L128">
        <v>1191</v>
      </c>
      <c r="N128">
        <v>1013</v>
      </c>
      <c r="O128" t="s">
        <v>380</v>
      </c>
      <c r="P128" t="s">
        <v>380</v>
      </c>
      <c r="Q128">
        <v>1</v>
      </c>
      <c r="W128">
        <v>0</v>
      </c>
      <c r="X128">
        <v>476480486</v>
      </c>
      <c r="Y128">
        <v>16.559999999999999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1</v>
      </c>
      <c r="AJ128">
        <v>1</v>
      </c>
      <c r="AK128">
        <v>1</v>
      </c>
      <c r="AL128">
        <v>1</v>
      </c>
      <c r="AN128">
        <v>0</v>
      </c>
      <c r="AO128">
        <v>1</v>
      </c>
      <c r="AP128">
        <v>0</v>
      </c>
      <c r="AQ128">
        <v>0</v>
      </c>
      <c r="AR128">
        <v>0</v>
      </c>
      <c r="AS128" t="s">
        <v>3</v>
      </c>
      <c r="AT128">
        <v>16.559999999999999</v>
      </c>
      <c r="AU128" t="s">
        <v>3</v>
      </c>
      <c r="AV128">
        <v>1</v>
      </c>
      <c r="AW128">
        <v>2</v>
      </c>
      <c r="AX128">
        <v>52431692</v>
      </c>
      <c r="AY128">
        <v>1</v>
      </c>
      <c r="AZ128">
        <v>0</v>
      </c>
      <c r="BA128">
        <v>121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CX128">
        <f>Y128*Source!I152</f>
        <v>1.7106479999999999</v>
      </c>
      <c r="CY128">
        <f>AD128</f>
        <v>0</v>
      </c>
      <c r="CZ128">
        <f>AH128</f>
        <v>0</v>
      </c>
      <c r="DA128">
        <f>AL128</f>
        <v>1</v>
      </c>
      <c r="DB128">
        <f t="shared" si="5"/>
        <v>0</v>
      </c>
      <c r="DC128">
        <f t="shared" si="6"/>
        <v>0</v>
      </c>
    </row>
    <row r="129" spans="1:107" x14ac:dyDescent="0.2">
      <c r="A129">
        <f>ROW(Source!A152)</f>
        <v>152</v>
      </c>
      <c r="B129">
        <v>52430918</v>
      </c>
      <c r="C129">
        <v>52431683</v>
      </c>
      <c r="D129">
        <v>51864848</v>
      </c>
      <c r="E129">
        <v>1</v>
      </c>
      <c r="F129">
        <v>1</v>
      </c>
      <c r="G129">
        <v>27</v>
      </c>
      <c r="H129">
        <v>2</v>
      </c>
      <c r="I129" t="s">
        <v>387</v>
      </c>
      <c r="J129" t="s">
        <v>388</v>
      </c>
      <c r="K129" t="s">
        <v>389</v>
      </c>
      <c r="L129">
        <v>1368</v>
      </c>
      <c r="N129">
        <v>1011</v>
      </c>
      <c r="O129" t="s">
        <v>84</v>
      </c>
      <c r="P129" t="s">
        <v>84</v>
      </c>
      <c r="Q129">
        <v>1</v>
      </c>
      <c r="W129">
        <v>0</v>
      </c>
      <c r="X129">
        <v>2108619810</v>
      </c>
      <c r="Y129">
        <v>2.08</v>
      </c>
      <c r="AA129">
        <v>0</v>
      </c>
      <c r="AB129">
        <v>740.94</v>
      </c>
      <c r="AC129">
        <v>413.22</v>
      </c>
      <c r="AD129">
        <v>0</v>
      </c>
      <c r="AE129">
        <v>0</v>
      </c>
      <c r="AF129">
        <v>740.94</v>
      </c>
      <c r="AG129">
        <v>413.22</v>
      </c>
      <c r="AH129">
        <v>0</v>
      </c>
      <c r="AI129">
        <v>1</v>
      </c>
      <c r="AJ129">
        <v>1</v>
      </c>
      <c r="AK129">
        <v>1</v>
      </c>
      <c r="AL129">
        <v>1</v>
      </c>
      <c r="AN129">
        <v>0</v>
      </c>
      <c r="AO129">
        <v>1</v>
      </c>
      <c r="AP129">
        <v>0</v>
      </c>
      <c r="AQ129">
        <v>0</v>
      </c>
      <c r="AR129">
        <v>0</v>
      </c>
      <c r="AS129" t="s">
        <v>3</v>
      </c>
      <c r="AT129">
        <v>2.08</v>
      </c>
      <c r="AU129" t="s">
        <v>3</v>
      </c>
      <c r="AV129">
        <v>0</v>
      </c>
      <c r="AW129">
        <v>2</v>
      </c>
      <c r="AX129">
        <v>52431693</v>
      </c>
      <c r="AY129">
        <v>1</v>
      </c>
      <c r="AZ129">
        <v>0</v>
      </c>
      <c r="BA129">
        <v>122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CX129">
        <f>Y129*Source!I152</f>
        <v>0.21486400000000003</v>
      </c>
      <c r="CY129">
        <f>AB129</f>
        <v>740.94</v>
      </c>
      <c r="CZ129">
        <f>AF129</f>
        <v>740.94</v>
      </c>
      <c r="DA129">
        <f>AJ129</f>
        <v>1</v>
      </c>
      <c r="DB129">
        <f t="shared" ref="DB129:DB192" si="10">ROUND(ROUND(AT129*CZ129,2),6)</f>
        <v>1541.16</v>
      </c>
      <c r="DC129">
        <f t="shared" ref="DC129:DC192" si="11">ROUND(ROUND(AT129*AG129,2),6)</f>
        <v>859.5</v>
      </c>
    </row>
    <row r="130" spans="1:107" x14ac:dyDescent="0.2">
      <c r="A130">
        <f>ROW(Source!A152)</f>
        <v>152</v>
      </c>
      <c r="B130">
        <v>52430918</v>
      </c>
      <c r="C130">
        <v>52431683</v>
      </c>
      <c r="D130">
        <v>51865003</v>
      </c>
      <c r="E130">
        <v>1</v>
      </c>
      <c r="F130">
        <v>1</v>
      </c>
      <c r="G130">
        <v>27</v>
      </c>
      <c r="H130">
        <v>2</v>
      </c>
      <c r="I130" t="s">
        <v>390</v>
      </c>
      <c r="J130" t="s">
        <v>391</v>
      </c>
      <c r="K130" t="s">
        <v>392</v>
      </c>
      <c r="L130">
        <v>1368</v>
      </c>
      <c r="N130">
        <v>1011</v>
      </c>
      <c r="O130" t="s">
        <v>84</v>
      </c>
      <c r="P130" t="s">
        <v>84</v>
      </c>
      <c r="Q130">
        <v>1</v>
      </c>
      <c r="W130">
        <v>0</v>
      </c>
      <c r="X130">
        <v>-1512295274</v>
      </c>
      <c r="Y130">
        <v>2.08</v>
      </c>
      <c r="AA130">
        <v>0</v>
      </c>
      <c r="AB130">
        <v>430.32</v>
      </c>
      <c r="AC130">
        <v>215.31</v>
      </c>
      <c r="AD130">
        <v>0</v>
      </c>
      <c r="AE130">
        <v>0</v>
      </c>
      <c r="AF130">
        <v>430.32</v>
      </c>
      <c r="AG130">
        <v>215.31</v>
      </c>
      <c r="AH130">
        <v>0</v>
      </c>
      <c r="AI130">
        <v>1</v>
      </c>
      <c r="AJ130">
        <v>1</v>
      </c>
      <c r="AK130">
        <v>1</v>
      </c>
      <c r="AL130">
        <v>1</v>
      </c>
      <c r="AN130">
        <v>0</v>
      </c>
      <c r="AO130">
        <v>1</v>
      </c>
      <c r="AP130">
        <v>0</v>
      </c>
      <c r="AQ130">
        <v>0</v>
      </c>
      <c r="AR130">
        <v>0</v>
      </c>
      <c r="AS130" t="s">
        <v>3</v>
      </c>
      <c r="AT130">
        <v>2.08</v>
      </c>
      <c r="AU130" t="s">
        <v>3</v>
      </c>
      <c r="AV130">
        <v>0</v>
      </c>
      <c r="AW130">
        <v>2</v>
      </c>
      <c r="AX130">
        <v>52431694</v>
      </c>
      <c r="AY130">
        <v>1</v>
      </c>
      <c r="AZ130">
        <v>0</v>
      </c>
      <c r="BA130">
        <v>123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CX130">
        <f>Y130*Source!I152</f>
        <v>0.21486400000000003</v>
      </c>
      <c r="CY130">
        <f>AB130</f>
        <v>430.32</v>
      </c>
      <c r="CZ130">
        <f>AF130</f>
        <v>430.32</v>
      </c>
      <c r="DA130">
        <f>AJ130</f>
        <v>1</v>
      </c>
      <c r="DB130">
        <f t="shared" si="10"/>
        <v>895.07</v>
      </c>
      <c r="DC130">
        <f t="shared" si="11"/>
        <v>447.84</v>
      </c>
    </row>
    <row r="131" spans="1:107" x14ac:dyDescent="0.2">
      <c r="A131">
        <f>ROW(Source!A152)</f>
        <v>152</v>
      </c>
      <c r="B131">
        <v>52430918</v>
      </c>
      <c r="C131">
        <v>52431683</v>
      </c>
      <c r="D131">
        <v>51865006</v>
      </c>
      <c r="E131">
        <v>1</v>
      </c>
      <c r="F131">
        <v>1</v>
      </c>
      <c r="G131">
        <v>27</v>
      </c>
      <c r="H131">
        <v>2</v>
      </c>
      <c r="I131" t="s">
        <v>393</v>
      </c>
      <c r="J131" t="s">
        <v>394</v>
      </c>
      <c r="K131" t="s">
        <v>395</v>
      </c>
      <c r="L131">
        <v>1368</v>
      </c>
      <c r="N131">
        <v>1011</v>
      </c>
      <c r="O131" t="s">
        <v>84</v>
      </c>
      <c r="P131" t="s">
        <v>84</v>
      </c>
      <c r="Q131">
        <v>1</v>
      </c>
      <c r="W131">
        <v>0</v>
      </c>
      <c r="X131">
        <v>2042885981</v>
      </c>
      <c r="Y131">
        <v>0.81</v>
      </c>
      <c r="AA131">
        <v>0</v>
      </c>
      <c r="AB131">
        <v>2020.59</v>
      </c>
      <c r="AC131">
        <v>458.56</v>
      </c>
      <c r="AD131">
        <v>0</v>
      </c>
      <c r="AE131">
        <v>0</v>
      </c>
      <c r="AF131">
        <v>2020.59</v>
      </c>
      <c r="AG131">
        <v>458.56</v>
      </c>
      <c r="AH131">
        <v>0</v>
      </c>
      <c r="AI131">
        <v>1</v>
      </c>
      <c r="AJ131">
        <v>1</v>
      </c>
      <c r="AK131">
        <v>1</v>
      </c>
      <c r="AL131">
        <v>1</v>
      </c>
      <c r="AN131">
        <v>0</v>
      </c>
      <c r="AO131">
        <v>1</v>
      </c>
      <c r="AP131">
        <v>0</v>
      </c>
      <c r="AQ131">
        <v>0</v>
      </c>
      <c r="AR131">
        <v>0</v>
      </c>
      <c r="AS131" t="s">
        <v>3</v>
      </c>
      <c r="AT131">
        <v>0.81</v>
      </c>
      <c r="AU131" t="s">
        <v>3</v>
      </c>
      <c r="AV131">
        <v>0</v>
      </c>
      <c r="AW131">
        <v>2</v>
      </c>
      <c r="AX131">
        <v>52431695</v>
      </c>
      <c r="AY131">
        <v>1</v>
      </c>
      <c r="AZ131">
        <v>0</v>
      </c>
      <c r="BA131">
        <v>124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CX131">
        <f>Y131*Source!I152</f>
        <v>8.3673000000000011E-2</v>
      </c>
      <c r="CY131">
        <f>AB131</f>
        <v>2020.59</v>
      </c>
      <c r="CZ131">
        <f>AF131</f>
        <v>2020.59</v>
      </c>
      <c r="DA131">
        <f>AJ131</f>
        <v>1</v>
      </c>
      <c r="DB131">
        <f t="shared" si="10"/>
        <v>1636.68</v>
      </c>
      <c r="DC131">
        <f t="shared" si="11"/>
        <v>371.43</v>
      </c>
    </row>
    <row r="132" spans="1:107" x14ac:dyDescent="0.2">
      <c r="A132">
        <f>ROW(Source!A152)</f>
        <v>152</v>
      </c>
      <c r="B132">
        <v>52430918</v>
      </c>
      <c r="C132">
        <v>52431683</v>
      </c>
      <c r="D132">
        <v>51865030</v>
      </c>
      <c r="E132">
        <v>1</v>
      </c>
      <c r="F132">
        <v>1</v>
      </c>
      <c r="G132">
        <v>27</v>
      </c>
      <c r="H132">
        <v>2</v>
      </c>
      <c r="I132" t="s">
        <v>396</v>
      </c>
      <c r="J132" t="s">
        <v>397</v>
      </c>
      <c r="K132" t="s">
        <v>398</v>
      </c>
      <c r="L132">
        <v>1368</v>
      </c>
      <c r="N132">
        <v>1011</v>
      </c>
      <c r="O132" t="s">
        <v>84</v>
      </c>
      <c r="P132" t="s">
        <v>84</v>
      </c>
      <c r="Q132">
        <v>1</v>
      </c>
      <c r="W132">
        <v>0</v>
      </c>
      <c r="X132">
        <v>1116182101</v>
      </c>
      <c r="Y132">
        <v>1.94</v>
      </c>
      <c r="AA132">
        <v>0</v>
      </c>
      <c r="AB132">
        <v>1412.71</v>
      </c>
      <c r="AC132">
        <v>641.32000000000005</v>
      </c>
      <c r="AD132">
        <v>0</v>
      </c>
      <c r="AE132">
        <v>0</v>
      </c>
      <c r="AF132">
        <v>1412.71</v>
      </c>
      <c r="AG132">
        <v>641.32000000000005</v>
      </c>
      <c r="AH132">
        <v>0</v>
      </c>
      <c r="AI132">
        <v>1</v>
      </c>
      <c r="AJ132">
        <v>1</v>
      </c>
      <c r="AK132">
        <v>1</v>
      </c>
      <c r="AL132">
        <v>1</v>
      </c>
      <c r="AN132">
        <v>0</v>
      </c>
      <c r="AO132">
        <v>1</v>
      </c>
      <c r="AP132">
        <v>0</v>
      </c>
      <c r="AQ132">
        <v>0</v>
      </c>
      <c r="AR132">
        <v>0</v>
      </c>
      <c r="AS132" t="s">
        <v>3</v>
      </c>
      <c r="AT132">
        <v>1.94</v>
      </c>
      <c r="AU132" t="s">
        <v>3</v>
      </c>
      <c r="AV132">
        <v>0</v>
      </c>
      <c r="AW132">
        <v>2</v>
      </c>
      <c r="AX132">
        <v>52431696</v>
      </c>
      <c r="AY132">
        <v>1</v>
      </c>
      <c r="AZ132">
        <v>0</v>
      </c>
      <c r="BA132">
        <v>125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CX132">
        <f>Y132*Source!I152</f>
        <v>0.200402</v>
      </c>
      <c r="CY132">
        <f>AB132</f>
        <v>1412.71</v>
      </c>
      <c r="CZ132">
        <f>AF132</f>
        <v>1412.71</v>
      </c>
      <c r="DA132">
        <f>AJ132</f>
        <v>1</v>
      </c>
      <c r="DB132">
        <f t="shared" si="10"/>
        <v>2740.66</v>
      </c>
      <c r="DC132">
        <f t="shared" si="11"/>
        <v>1244.1600000000001</v>
      </c>
    </row>
    <row r="133" spans="1:107" x14ac:dyDescent="0.2">
      <c r="A133">
        <f>ROW(Source!A152)</f>
        <v>152</v>
      </c>
      <c r="B133">
        <v>52430918</v>
      </c>
      <c r="C133">
        <v>52431683</v>
      </c>
      <c r="D133">
        <v>51864996</v>
      </c>
      <c r="E133">
        <v>1</v>
      </c>
      <c r="F133">
        <v>1</v>
      </c>
      <c r="G133">
        <v>27</v>
      </c>
      <c r="H133">
        <v>2</v>
      </c>
      <c r="I133" t="s">
        <v>399</v>
      </c>
      <c r="J133" t="s">
        <v>400</v>
      </c>
      <c r="K133" t="s">
        <v>401</v>
      </c>
      <c r="L133">
        <v>1368</v>
      </c>
      <c r="N133">
        <v>1011</v>
      </c>
      <c r="O133" t="s">
        <v>84</v>
      </c>
      <c r="P133" t="s">
        <v>84</v>
      </c>
      <c r="Q133">
        <v>1</v>
      </c>
      <c r="W133">
        <v>0</v>
      </c>
      <c r="X133">
        <v>2142121434</v>
      </c>
      <c r="Y133">
        <v>0.65</v>
      </c>
      <c r="AA133">
        <v>0</v>
      </c>
      <c r="AB133">
        <v>1213.3399999999999</v>
      </c>
      <c r="AC133">
        <v>461.6</v>
      </c>
      <c r="AD133">
        <v>0</v>
      </c>
      <c r="AE133">
        <v>0</v>
      </c>
      <c r="AF133">
        <v>1213.3399999999999</v>
      </c>
      <c r="AG133">
        <v>461.6</v>
      </c>
      <c r="AH133">
        <v>0</v>
      </c>
      <c r="AI133">
        <v>1</v>
      </c>
      <c r="AJ133">
        <v>1</v>
      </c>
      <c r="AK133">
        <v>1</v>
      </c>
      <c r="AL133">
        <v>1</v>
      </c>
      <c r="AN133">
        <v>0</v>
      </c>
      <c r="AO133">
        <v>1</v>
      </c>
      <c r="AP133">
        <v>0</v>
      </c>
      <c r="AQ133">
        <v>0</v>
      </c>
      <c r="AR133">
        <v>0</v>
      </c>
      <c r="AS133" t="s">
        <v>3</v>
      </c>
      <c r="AT133">
        <v>0.65</v>
      </c>
      <c r="AU133" t="s">
        <v>3</v>
      </c>
      <c r="AV133">
        <v>0</v>
      </c>
      <c r="AW133">
        <v>2</v>
      </c>
      <c r="AX133">
        <v>52431697</v>
      </c>
      <c r="AY133">
        <v>1</v>
      </c>
      <c r="AZ133">
        <v>0</v>
      </c>
      <c r="BA133">
        <v>126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CX133">
        <f>Y133*Source!I152</f>
        <v>6.714500000000001E-2</v>
      </c>
      <c r="CY133">
        <f>AB133</f>
        <v>1213.3399999999999</v>
      </c>
      <c r="CZ133">
        <f>AF133</f>
        <v>1213.3399999999999</v>
      </c>
      <c r="DA133">
        <f>AJ133</f>
        <v>1</v>
      </c>
      <c r="DB133">
        <f t="shared" si="10"/>
        <v>788.67</v>
      </c>
      <c r="DC133">
        <f t="shared" si="11"/>
        <v>300.04000000000002</v>
      </c>
    </row>
    <row r="134" spans="1:107" x14ac:dyDescent="0.2">
      <c r="A134">
        <f>ROW(Source!A152)</f>
        <v>152</v>
      </c>
      <c r="B134">
        <v>52430918</v>
      </c>
      <c r="C134">
        <v>52431683</v>
      </c>
      <c r="D134">
        <v>51866959</v>
      </c>
      <c r="E134">
        <v>1</v>
      </c>
      <c r="F134">
        <v>1</v>
      </c>
      <c r="G134">
        <v>27</v>
      </c>
      <c r="H134">
        <v>3</v>
      </c>
      <c r="I134" t="s">
        <v>402</v>
      </c>
      <c r="J134" t="s">
        <v>403</v>
      </c>
      <c r="K134" t="s">
        <v>404</v>
      </c>
      <c r="L134">
        <v>1339</v>
      </c>
      <c r="N134">
        <v>1007</v>
      </c>
      <c r="O134" t="s">
        <v>28</v>
      </c>
      <c r="P134" t="s">
        <v>28</v>
      </c>
      <c r="Q134">
        <v>1</v>
      </c>
      <c r="W134">
        <v>0</v>
      </c>
      <c r="X134">
        <v>1152750853</v>
      </c>
      <c r="Y134">
        <v>110</v>
      </c>
      <c r="AA134">
        <v>590.78</v>
      </c>
      <c r="AB134">
        <v>0</v>
      </c>
      <c r="AC134">
        <v>0</v>
      </c>
      <c r="AD134">
        <v>0</v>
      </c>
      <c r="AE134">
        <v>590.78</v>
      </c>
      <c r="AF134">
        <v>0</v>
      </c>
      <c r="AG134">
        <v>0</v>
      </c>
      <c r="AH134">
        <v>0</v>
      </c>
      <c r="AI134">
        <v>1</v>
      </c>
      <c r="AJ134">
        <v>1</v>
      </c>
      <c r="AK134">
        <v>1</v>
      </c>
      <c r="AL134">
        <v>1</v>
      </c>
      <c r="AN134">
        <v>0</v>
      </c>
      <c r="AO134">
        <v>1</v>
      </c>
      <c r="AP134">
        <v>0</v>
      </c>
      <c r="AQ134">
        <v>0</v>
      </c>
      <c r="AR134">
        <v>0</v>
      </c>
      <c r="AS134" t="s">
        <v>3</v>
      </c>
      <c r="AT134">
        <v>110</v>
      </c>
      <c r="AU134" t="s">
        <v>3</v>
      </c>
      <c r="AV134">
        <v>0</v>
      </c>
      <c r="AW134">
        <v>2</v>
      </c>
      <c r="AX134">
        <v>52431698</v>
      </c>
      <c r="AY134">
        <v>1</v>
      </c>
      <c r="AZ134">
        <v>0</v>
      </c>
      <c r="BA134">
        <v>127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CX134">
        <f>Y134*Source!I152</f>
        <v>11.363</v>
      </c>
      <c r="CY134">
        <f>AA134</f>
        <v>590.78</v>
      </c>
      <c r="CZ134">
        <f>AE134</f>
        <v>590.78</v>
      </c>
      <c r="DA134">
        <f>AI134</f>
        <v>1</v>
      </c>
      <c r="DB134">
        <f t="shared" si="10"/>
        <v>64985.8</v>
      </c>
      <c r="DC134">
        <f t="shared" si="11"/>
        <v>0</v>
      </c>
    </row>
    <row r="135" spans="1:107" x14ac:dyDescent="0.2">
      <c r="A135">
        <f>ROW(Source!A152)</f>
        <v>152</v>
      </c>
      <c r="B135">
        <v>52430918</v>
      </c>
      <c r="C135">
        <v>52431683</v>
      </c>
      <c r="D135">
        <v>51867705</v>
      </c>
      <c r="E135">
        <v>1</v>
      </c>
      <c r="F135">
        <v>1</v>
      </c>
      <c r="G135">
        <v>27</v>
      </c>
      <c r="H135">
        <v>3</v>
      </c>
      <c r="I135" t="s">
        <v>405</v>
      </c>
      <c r="J135" t="s">
        <v>406</v>
      </c>
      <c r="K135" t="s">
        <v>407</v>
      </c>
      <c r="L135">
        <v>1339</v>
      </c>
      <c r="N135">
        <v>1007</v>
      </c>
      <c r="O135" t="s">
        <v>28</v>
      </c>
      <c r="P135" t="s">
        <v>28</v>
      </c>
      <c r="Q135">
        <v>1</v>
      </c>
      <c r="W135">
        <v>0</v>
      </c>
      <c r="X135">
        <v>1927597627</v>
      </c>
      <c r="Y135">
        <v>5</v>
      </c>
      <c r="AA135">
        <v>35.25</v>
      </c>
      <c r="AB135">
        <v>0</v>
      </c>
      <c r="AC135">
        <v>0</v>
      </c>
      <c r="AD135">
        <v>0</v>
      </c>
      <c r="AE135">
        <v>35.25</v>
      </c>
      <c r="AF135">
        <v>0</v>
      </c>
      <c r="AG135">
        <v>0</v>
      </c>
      <c r="AH135">
        <v>0</v>
      </c>
      <c r="AI135">
        <v>1</v>
      </c>
      <c r="AJ135">
        <v>1</v>
      </c>
      <c r="AK135">
        <v>1</v>
      </c>
      <c r="AL135">
        <v>1</v>
      </c>
      <c r="AN135">
        <v>0</v>
      </c>
      <c r="AO135">
        <v>1</v>
      </c>
      <c r="AP135">
        <v>0</v>
      </c>
      <c r="AQ135">
        <v>0</v>
      </c>
      <c r="AR135">
        <v>0</v>
      </c>
      <c r="AS135" t="s">
        <v>3</v>
      </c>
      <c r="AT135">
        <v>5</v>
      </c>
      <c r="AU135" t="s">
        <v>3</v>
      </c>
      <c r="AV135">
        <v>0</v>
      </c>
      <c r="AW135">
        <v>2</v>
      </c>
      <c r="AX135">
        <v>52431699</v>
      </c>
      <c r="AY135">
        <v>1</v>
      </c>
      <c r="AZ135">
        <v>0</v>
      </c>
      <c r="BA135">
        <v>128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CX135">
        <f>Y135*Source!I152</f>
        <v>0.51649999999999996</v>
      </c>
      <c r="CY135">
        <f>AA135</f>
        <v>35.25</v>
      </c>
      <c r="CZ135">
        <f>AE135</f>
        <v>35.25</v>
      </c>
      <c r="DA135">
        <f>AI135</f>
        <v>1</v>
      </c>
      <c r="DB135">
        <f t="shared" si="10"/>
        <v>176.25</v>
      </c>
      <c r="DC135">
        <f t="shared" si="11"/>
        <v>0</v>
      </c>
    </row>
    <row r="136" spans="1:107" x14ac:dyDescent="0.2">
      <c r="A136">
        <f>ROW(Source!A153)</f>
        <v>153</v>
      </c>
      <c r="B136">
        <v>52430918</v>
      </c>
      <c r="C136">
        <v>52431700</v>
      </c>
      <c r="D136">
        <v>51848379</v>
      </c>
      <c r="E136">
        <v>27</v>
      </c>
      <c r="F136">
        <v>1</v>
      </c>
      <c r="G136">
        <v>27</v>
      </c>
      <c r="H136">
        <v>1</v>
      </c>
      <c r="I136" t="s">
        <v>378</v>
      </c>
      <c r="J136" t="s">
        <v>3</v>
      </c>
      <c r="K136" t="s">
        <v>379</v>
      </c>
      <c r="L136">
        <v>1191</v>
      </c>
      <c r="N136">
        <v>1013</v>
      </c>
      <c r="O136" t="s">
        <v>380</v>
      </c>
      <c r="P136" t="s">
        <v>380</v>
      </c>
      <c r="Q136">
        <v>1</v>
      </c>
      <c r="W136">
        <v>0</v>
      </c>
      <c r="X136">
        <v>476480486</v>
      </c>
      <c r="Y136">
        <v>27.94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1</v>
      </c>
      <c r="AJ136">
        <v>1</v>
      </c>
      <c r="AK136">
        <v>1</v>
      </c>
      <c r="AL136">
        <v>1</v>
      </c>
      <c r="AN136">
        <v>0</v>
      </c>
      <c r="AO136">
        <v>1</v>
      </c>
      <c r="AP136">
        <v>0</v>
      </c>
      <c r="AQ136">
        <v>0</v>
      </c>
      <c r="AR136">
        <v>0</v>
      </c>
      <c r="AS136" t="s">
        <v>3</v>
      </c>
      <c r="AT136">
        <v>27.94</v>
      </c>
      <c r="AU136" t="s">
        <v>3</v>
      </c>
      <c r="AV136">
        <v>1</v>
      </c>
      <c r="AW136">
        <v>2</v>
      </c>
      <c r="AX136">
        <v>52431707</v>
      </c>
      <c r="AY136">
        <v>1</v>
      </c>
      <c r="AZ136">
        <v>0</v>
      </c>
      <c r="BA136">
        <v>129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CX136">
        <f>Y136*Source!I153</f>
        <v>28.588208000000005</v>
      </c>
      <c r="CY136">
        <f>AD136</f>
        <v>0</v>
      </c>
      <c r="CZ136">
        <f>AH136</f>
        <v>0</v>
      </c>
      <c r="DA136">
        <f>AL136</f>
        <v>1</v>
      </c>
      <c r="DB136">
        <f t="shared" si="10"/>
        <v>0</v>
      </c>
      <c r="DC136">
        <f t="shared" si="11"/>
        <v>0</v>
      </c>
    </row>
    <row r="137" spans="1:107" x14ac:dyDescent="0.2">
      <c r="A137">
        <f>ROW(Source!A153)</f>
        <v>153</v>
      </c>
      <c r="B137">
        <v>52430918</v>
      </c>
      <c r="C137">
        <v>52431700</v>
      </c>
      <c r="D137">
        <v>51865006</v>
      </c>
      <c r="E137">
        <v>1</v>
      </c>
      <c r="F137">
        <v>1</v>
      </c>
      <c r="G137">
        <v>27</v>
      </c>
      <c r="H137">
        <v>2</v>
      </c>
      <c r="I137" t="s">
        <v>393</v>
      </c>
      <c r="J137" t="s">
        <v>394</v>
      </c>
      <c r="K137" t="s">
        <v>395</v>
      </c>
      <c r="L137">
        <v>1368</v>
      </c>
      <c r="N137">
        <v>1011</v>
      </c>
      <c r="O137" t="s">
        <v>84</v>
      </c>
      <c r="P137" t="s">
        <v>84</v>
      </c>
      <c r="Q137">
        <v>1</v>
      </c>
      <c r="W137">
        <v>0</v>
      </c>
      <c r="X137">
        <v>2042885981</v>
      </c>
      <c r="Y137">
        <v>0.59</v>
      </c>
      <c r="AA137">
        <v>0</v>
      </c>
      <c r="AB137">
        <v>2020.59</v>
      </c>
      <c r="AC137">
        <v>458.56</v>
      </c>
      <c r="AD137">
        <v>0</v>
      </c>
      <c r="AE137">
        <v>0</v>
      </c>
      <c r="AF137">
        <v>2020.59</v>
      </c>
      <c r="AG137">
        <v>458.56</v>
      </c>
      <c r="AH137">
        <v>0</v>
      </c>
      <c r="AI137">
        <v>1</v>
      </c>
      <c r="AJ137">
        <v>1</v>
      </c>
      <c r="AK137">
        <v>1</v>
      </c>
      <c r="AL137">
        <v>1</v>
      </c>
      <c r="AN137">
        <v>0</v>
      </c>
      <c r="AO137">
        <v>1</v>
      </c>
      <c r="AP137">
        <v>0</v>
      </c>
      <c r="AQ137">
        <v>0</v>
      </c>
      <c r="AR137">
        <v>0</v>
      </c>
      <c r="AS137" t="s">
        <v>3</v>
      </c>
      <c r="AT137">
        <v>0.59</v>
      </c>
      <c r="AU137" t="s">
        <v>3</v>
      </c>
      <c r="AV137">
        <v>0</v>
      </c>
      <c r="AW137">
        <v>2</v>
      </c>
      <c r="AX137">
        <v>52431708</v>
      </c>
      <c r="AY137">
        <v>1</v>
      </c>
      <c r="AZ137">
        <v>0</v>
      </c>
      <c r="BA137">
        <v>130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CX137">
        <f>Y137*Source!I153</f>
        <v>0.603688</v>
      </c>
      <c r="CY137">
        <f>AB137</f>
        <v>2020.59</v>
      </c>
      <c r="CZ137">
        <f>AF137</f>
        <v>2020.59</v>
      </c>
      <c r="DA137">
        <f>AJ137</f>
        <v>1</v>
      </c>
      <c r="DB137">
        <f t="shared" si="10"/>
        <v>1192.1500000000001</v>
      </c>
      <c r="DC137">
        <f t="shared" si="11"/>
        <v>270.55</v>
      </c>
    </row>
    <row r="138" spans="1:107" x14ac:dyDescent="0.2">
      <c r="A138">
        <f>ROW(Source!A153)</f>
        <v>153</v>
      </c>
      <c r="B138">
        <v>52430918</v>
      </c>
      <c r="C138">
        <v>52431700</v>
      </c>
      <c r="D138">
        <v>51864991</v>
      </c>
      <c r="E138">
        <v>1</v>
      </c>
      <c r="F138">
        <v>1</v>
      </c>
      <c r="G138">
        <v>27</v>
      </c>
      <c r="H138">
        <v>2</v>
      </c>
      <c r="I138" t="s">
        <v>408</v>
      </c>
      <c r="J138" t="s">
        <v>409</v>
      </c>
      <c r="K138" t="s">
        <v>410</v>
      </c>
      <c r="L138">
        <v>1368</v>
      </c>
      <c r="N138">
        <v>1011</v>
      </c>
      <c r="O138" t="s">
        <v>84</v>
      </c>
      <c r="P138" t="s">
        <v>84</v>
      </c>
      <c r="Q138">
        <v>1</v>
      </c>
      <c r="W138">
        <v>0</v>
      </c>
      <c r="X138">
        <v>-1043398787</v>
      </c>
      <c r="Y138">
        <v>1.62</v>
      </c>
      <c r="AA138">
        <v>0</v>
      </c>
      <c r="AB138">
        <v>1261.8699999999999</v>
      </c>
      <c r="AC138">
        <v>530.02</v>
      </c>
      <c r="AD138">
        <v>0</v>
      </c>
      <c r="AE138">
        <v>0</v>
      </c>
      <c r="AF138">
        <v>1261.8699999999999</v>
      </c>
      <c r="AG138">
        <v>530.02</v>
      </c>
      <c r="AH138">
        <v>0</v>
      </c>
      <c r="AI138">
        <v>1</v>
      </c>
      <c r="AJ138">
        <v>1</v>
      </c>
      <c r="AK138">
        <v>1</v>
      </c>
      <c r="AL138">
        <v>1</v>
      </c>
      <c r="AN138">
        <v>0</v>
      </c>
      <c r="AO138">
        <v>1</v>
      </c>
      <c r="AP138">
        <v>0</v>
      </c>
      <c r="AQ138">
        <v>0</v>
      </c>
      <c r="AR138">
        <v>0</v>
      </c>
      <c r="AS138" t="s">
        <v>3</v>
      </c>
      <c r="AT138">
        <v>1.62</v>
      </c>
      <c r="AU138" t="s">
        <v>3</v>
      </c>
      <c r="AV138">
        <v>0</v>
      </c>
      <c r="AW138">
        <v>2</v>
      </c>
      <c r="AX138">
        <v>52431709</v>
      </c>
      <c r="AY138">
        <v>1</v>
      </c>
      <c r="AZ138">
        <v>0</v>
      </c>
      <c r="BA138">
        <v>131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CX138">
        <f>Y138*Source!I153</f>
        <v>1.6575840000000004</v>
      </c>
      <c r="CY138">
        <f>AB138</f>
        <v>1261.8699999999999</v>
      </c>
      <c r="CZ138">
        <f>AF138</f>
        <v>1261.8699999999999</v>
      </c>
      <c r="DA138">
        <f>AJ138</f>
        <v>1</v>
      </c>
      <c r="DB138">
        <f t="shared" si="10"/>
        <v>2044.23</v>
      </c>
      <c r="DC138">
        <f t="shared" si="11"/>
        <v>858.63</v>
      </c>
    </row>
    <row r="139" spans="1:107" x14ac:dyDescent="0.2">
      <c r="A139">
        <f>ROW(Source!A153)</f>
        <v>153</v>
      </c>
      <c r="B139">
        <v>52430918</v>
      </c>
      <c r="C139">
        <v>52431700</v>
      </c>
      <c r="D139">
        <v>51866985</v>
      </c>
      <c r="E139">
        <v>1</v>
      </c>
      <c r="F139">
        <v>1</v>
      </c>
      <c r="G139">
        <v>27</v>
      </c>
      <c r="H139">
        <v>3</v>
      </c>
      <c r="I139" t="s">
        <v>41</v>
      </c>
      <c r="J139" t="s">
        <v>43</v>
      </c>
      <c r="K139" t="s">
        <v>42</v>
      </c>
      <c r="L139">
        <v>1339</v>
      </c>
      <c r="N139">
        <v>1007</v>
      </c>
      <c r="O139" t="s">
        <v>28</v>
      </c>
      <c r="P139" t="s">
        <v>28</v>
      </c>
      <c r="Q139">
        <v>1</v>
      </c>
      <c r="W139">
        <v>0</v>
      </c>
      <c r="X139">
        <v>-886425656</v>
      </c>
      <c r="Y139">
        <v>17.399999999999999</v>
      </c>
      <c r="AA139">
        <v>1763.75</v>
      </c>
      <c r="AB139">
        <v>0</v>
      </c>
      <c r="AC139">
        <v>0</v>
      </c>
      <c r="AD139">
        <v>0</v>
      </c>
      <c r="AE139">
        <v>1763.75</v>
      </c>
      <c r="AF139">
        <v>0</v>
      </c>
      <c r="AG139">
        <v>0</v>
      </c>
      <c r="AH139">
        <v>0</v>
      </c>
      <c r="AI139">
        <v>1</v>
      </c>
      <c r="AJ139">
        <v>1</v>
      </c>
      <c r="AK139">
        <v>1</v>
      </c>
      <c r="AL139">
        <v>1</v>
      </c>
      <c r="AN139">
        <v>0</v>
      </c>
      <c r="AO139">
        <v>0</v>
      </c>
      <c r="AP139">
        <v>0</v>
      </c>
      <c r="AQ139">
        <v>0</v>
      </c>
      <c r="AR139">
        <v>0</v>
      </c>
      <c r="AS139" t="s">
        <v>3</v>
      </c>
      <c r="AT139">
        <v>17.399999999999999</v>
      </c>
      <c r="AU139" t="s">
        <v>3</v>
      </c>
      <c r="AV139">
        <v>0</v>
      </c>
      <c r="AW139">
        <v>1</v>
      </c>
      <c r="AX139">
        <v>-1</v>
      </c>
      <c r="AY139">
        <v>0</v>
      </c>
      <c r="AZ139">
        <v>0</v>
      </c>
      <c r="BA139" t="s">
        <v>3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CX139">
        <f>Y139*Source!I153</f>
        <v>17.80368</v>
      </c>
      <c r="CY139">
        <f>AA139</f>
        <v>1763.75</v>
      </c>
      <c r="CZ139">
        <f>AE139</f>
        <v>1763.75</v>
      </c>
      <c r="DA139">
        <f>AI139</f>
        <v>1</v>
      </c>
      <c r="DB139">
        <f t="shared" si="10"/>
        <v>30689.25</v>
      </c>
      <c r="DC139">
        <f t="shared" si="11"/>
        <v>0</v>
      </c>
    </row>
    <row r="140" spans="1:107" x14ac:dyDescent="0.2">
      <c r="A140">
        <f>ROW(Source!A153)</f>
        <v>153</v>
      </c>
      <c r="B140">
        <v>52430918</v>
      </c>
      <c r="C140">
        <v>52431700</v>
      </c>
      <c r="D140">
        <v>51866999</v>
      </c>
      <c r="E140">
        <v>1</v>
      </c>
      <c r="F140">
        <v>1</v>
      </c>
      <c r="G140">
        <v>27</v>
      </c>
      <c r="H140">
        <v>3</v>
      </c>
      <c r="I140" t="s">
        <v>45</v>
      </c>
      <c r="J140" t="s">
        <v>47</v>
      </c>
      <c r="K140" t="s">
        <v>46</v>
      </c>
      <c r="L140">
        <v>1339</v>
      </c>
      <c r="N140">
        <v>1007</v>
      </c>
      <c r="O140" t="s">
        <v>28</v>
      </c>
      <c r="P140" t="s">
        <v>28</v>
      </c>
      <c r="Q140">
        <v>1</v>
      </c>
      <c r="W140">
        <v>1</v>
      </c>
      <c r="X140">
        <v>1744717608</v>
      </c>
      <c r="Y140">
        <v>-17.399999999999999</v>
      </c>
      <c r="AA140">
        <v>1436.5</v>
      </c>
      <c r="AB140">
        <v>0</v>
      </c>
      <c r="AC140">
        <v>0</v>
      </c>
      <c r="AD140">
        <v>0</v>
      </c>
      <c r="AE140">
        <v>1436.5</v>
      </c>
      <c r="AF140">
        <v>0</v>
      </c>
      <c r="AG140">
        <v>0</v>
      </c>
      <c r="AH140">
        <v>0</v>
      </c>
      <c r="AI140">
        <v>1</v>
      </c>
      <c r="AJ140">
        <v>1</v>
      </c>
      <c r="AK140">
        <v>1</v>
      </c>
      <c r="AL140">
        <v>1</v>
      </c>
      <c r="AN140">
        <v>0</v>
      </c>
      <c r="AO140">
        <v>1</v>
      </c>
      <c r="AP140">
        <v>0</v>
      </c>
      <c r="AQ140">
        <v>0</v>
      </c>
      <c r="AR140">
        <v>0</v>
      </c>
      <c r="AS140" t="s">
        <v>3</v>
      </c>
      <c r="AT140">
        <v>-17.399999999999999</v>
      </c>
      <c r="AU140" t="s">
        <v>3</v>
      </c>
      <c r="AV140">
        <v>0</v>
      </c>
      <c r="AW140">
        <v>2</v>
      </c>
      <c r="AX140">
        <v>52431710</v>
      </c>
      <c r="AY140">
        <v>1</v>
      </c>
      <c r="AZ140">
        <v>6144</v>
      </c>
      <c r="BA140">
        <v>132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CX140">
        <f>Y140*Source!I153</f>
        <v>-17.80368</v>
      </c>
      <c r="CY140">
        <f>AA140</f>
        <v>1436.5</v>
      </c>
      <c r="CZ140">
        <f>AE140</f>
        <v>1436.5</v>
      </c>
      <c r="DA140">
        <f>AI140</f>
        <v>1</v>
      </c>
      <c r="DB140">
        <f t="shared" si="10"/>
        <v>-24995.1</v>
      </c>
      <c r="DC140">
        <f t="shared" si="11"/>
        <v>0</v>
      </c>
    </row>
    <row r="141" spans="1:107" x14ac:dyDescent="0.2">
      <c r="A141">
        <f>ROW(Source!A153)</f>
        <v>153</v>
      </c>
      <c r="B141">
        <v>52430918</v>
      </c>
      <c r="C141">
        <v>52431700</v>
      </c>
      <c r="D141">
        <v>51867705</v>
      </c>
      <c r="E141">
        <v>1</v>
      </c>
      <c r="F141">
        <v>1</v>
      </c>
      <c r="G141">
        <v>27</v>
      </c>
      <c r="H141">
        <v>3</v>
      </c>
      <c r="I141" t="s">
        <v>405</v>
      </c>
      <c r="J141" t="s">
        <v>406</v>
      </c>
      <c r="K141" t="s">
        <v>407</v>
      </c>
      <c r="L141">
        <v>1339</v>
      </c>
      <c r="N141">
        <v>1007</v>
      </c>
      <c r="O141" t="s">
        <v>28</v>
      </c>
      <c r="P141" t="s">
        <v>28</v>
      </c>
      <c r="Q141">
        <v>1</v>
      </c>
      <c r="W141">
        <v>0</v>
      </c>
      <c r="X141">
        <v>1927597627</v>
      </c>
      <c r="Y141">
        <v>2</v>
      </c>
      <c r="AA141">
        <v>35.25</v>
      </c>
      <c r="AB141">
        <v>0</v>
      </c>
      <c r="AC141">
        <v>0</v>
      </c>
      <c r="AD141">
        <v>0</v>
      </c>
      <c r="AE141">
        <v>35.25</v>
      </c>
      <c r="AF141">
        <v>0</v>
      </c>
      <c r="AG141">
        <v>0</v>
      </c>
      <c r="AH141">
        <v>0</v>
      </c>
      <c r="AI141">
        <v>1</v>
      </c>
      <c r="AJ141">
        <v>1</v>
      </c>
      <c r="AK141">
        <v>1</v>
      </c>
      <c r="AL141">
        <v>1</v>
      </c>
      <c r="AN141">
        <v>0</v>
      </c>
      <c r="AO141">
        <v>1</v>
      </c>
      <c r="AP141">
        <v>0</v>
      </c>
      <c r="AQ141">
        <v>0</v>
      </c>
      <c r="AR141">
        <v>0</v>
      </c>
      <c r="AS141" t="s">
        <v>3</v>
      </c>
      <c r="AT141">
        <v>2</v>
      </c>
      <c r="AU141" t="s">
        <v>3</v>
      </c>
      <c r="AV141">
        <v>0</v>
      </c>
      <c r="AW141">
        <v>2</v>
      </c>
      <c r="AX141">
        <v>52431711</v>
      </c>
      <c r="AY141">
        <v>1</v>
      </c>
      <c r="AZ141">
        <v>0</v>
      </c>
      <c r="BA141">
        <v>133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CX141">
        <f>Y141*Source!I153</f>
        <v>2.0464000000000002</v>
      </c>
      <c r="CY141">
        <f>AA141</f>
        <v>35.25</v>
      </c>
      <c r="CZ141">
        <f>AE141</f>
        <v>35.25</v>
      </c>
      <c r="DA141">
        <f>AI141</f>
        <v>1</v>
      </c>
      <c r="DB141">
        <f t="shared" si="10"/>
        <v>70.5</v>
      </c>
      <c r="DC141">
        <f t="shared" si="11"/>
        <v>0</v>
      </c>
    </row>
    <row r="142" spans="1:107" x14ac:dyDescent="0.2">
      <c r="A142">
        <f>ROW(Source!A156)</f>
        <v>156</v>
      </c>
      <c r="B142">
        <v>52430918</v>
      </c>
      <c r="C142">
        <v>52431714</v>
      </c>
      <c r="D142">
        <v>51848379</v>
      </c>
      <c r="E142">
        <v>27</v>
      </c>
      <c r="F142">
        <v>1</v>
      </c>
      <c r="G142">
        <v>27</v>
      </c>
      <c r="H142">
        <v>1</v>
      </c>
      <c r="I142" t="s">
        <v>378</v>
      </c>
      <c r="J142" t="s">
        <v>3</v>
      </c>
      <c r="K142" t="s">
        <v>379</v>
      </c>
      <c r="L142">
        <v>1191</v>
      </c>
      <c r="N142">
        <v>1013</v>
      </c>
      <c r="O142" t="s">
        <v>380</v>
      </c>
      <c r="P142" t="s">
        <v>380</v>
      </c>
      <c r="Q142">
        <v>1</v>
      </c>
      <c r="W142">
        <v>0</v>
      </c>
      <c r="X142">
        <v>476480486</v>
      </c>
      <c r="Y142">
        <v>10.3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1</v>
      </c>
      <c r="AJ142">
        <v>1</v>
      </c>
      <c r="AK142">
        <v>1</v>
      </c>
      <c r="AL142">
        <v>1</v>
      </c>
      <c r="AN142">
        <v>0</v>
      </c>
      <c r="AO142">
        <v>1</v>
      </c>
      <c r="AP142">
        <v>0</v>
      </c>
      <c r="AQ142">
        <v>0</v>
      </c>
      <c r="AR142">
        <v>0</v>
      </c>
      <c r="AS142" t="s">
        <v>3</v>
      </c>
      <c r="AT142">
        <v>10.3</v>
      </c>
      <c r="AU142" t="s">
        <v>3</v>
      </c>
      <c r="AV142">
        <v>1</v>
      </c>
      <c r="AW142">
        <v>2</v>
      </c>
      <c r="AX142">
        <v>52431719</v>
      </c>
      <c r="AY142">
        <v>1</v>
      </c>
      <c r="AZ142">
        <v>0</v>
      </c>
      <c r="BA142">
        <v>134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CX142">
        <f>Y142*Source!I156</f>
        <v>10.538960000000001</v>
      </c>
      <c r="CY142">
        <f>AD142</f>
        <v>0</v>
      </c>
      <c r="CZ142">
        <f>AH142</f>
        <v>0</v>
      </c>
      <c r="DA142">
        <f>AL142</f>
        <v>1</v>
      </c>
      <c r="DB142">
        <f t="shared" si="10"/>
        <v>0</v>
      </c>
      <c r="DC142">
        <f t="shared" si="11"/>
        <v>0</v>
      </c>
    </row>
    <row r="143" spans="1:107" x14ac:dyDescent="0.2">
      <c r="A143">
        <f>ROW(Source!A156)</f>
        <v>156</v>
      </c>
      <c r="B143">
        <v>52430918</v>
      </c>
      <c r="C143">
        <v>52431714</v>
      </c>
      <c r="D143">
        <v>51864991</v>
      </c>
      <c r="E143">
        <v>1</v>
      </c>
      <c r="F143">
        <v>1</v>
      </c>
      <c r="G143">
        <v>27</v>
      </c>
      <c r="H143">
        <v>2</v>
      </c>
      <c r="I143" t="s">
        <v>408</v>
      </c>
      <c r="J143" t="s">
        <v>409</v>
      </c>
      <c r="K143" t="s">
        <v>410</v>
      </c>
      <c r="L143">
        <v>1368</v>
      </c>
      <c r="N143">
        <v>1011</v>
      </c>
      <c r="O143" t="s">
        <v>84</v>
      </c>
      <c r="P143" t="s">
        <v>84</v>
      </c>
      <c r="Q143">
        <v>1</v>
      </c>
      <c r="W143">
        <v>0</v>
      </c>
      <c r="X143">
        <v>-1043398787</v>
      </c>
      <c r="Y143">
        <v>0.89</v>
      </c>
      <c r="AA143">
        <v>0</v>
      </c>
      <c r="AB143">
        <v>1261.8699999999999</v>
      </c>
      <c r="AC143">
        <v>530.02</v>
      </c>
      <c r="AD143">
        <v>0</v>
      </c>
      <c r="AE143">
        <v>0</v>
      </c>
      <c r="AF143">
        <v>1261.8699999999999</v>
      </c>
      <c r="AG143">
        <v>530.02</v>
      </c>
      <c r="AH143">
        <v>0</v>
      </c>
      <c r="AI143">
        <v>1</v>
      </c>
      <c r="AJ143">
        <v>1</v>
      </c>
      <c r="AK143">
        <v>1</v>
      </c>
      <c r="AL143">
        <v>1</v>
      </c>
      <c r="AN143">
        <v>0</v>
      </c>
      <c r="AO143">
        <v>1</v>
      </c>
      <c r="AP143">
        <v>0</v>
      </c>
      <c r="AQ143">
        <v>0</v>
      </c>
      <c r="AR143">
        <v>0</v>
      </c>
      <c r="AS143" t="s">
        <v>3</v>
      </c>
      <c r="AT143">
        <v>0.89</v>
      </c>
      <c r="AU143" t="s">
        <v>3</v>
      </c>
      <c r="AV143">
        <v>0</v>
      </c>
      <c r="AW143">
        <v>2</v>
      </c>
      <c r="AX143">
        <v>52431720</v>
      </c>
      <c r="AY143">
        <v>1</v>
      </c>
      <c r="AZ143">
        <v>0</v>
      </c>
      <c r="BA143">
        <v>135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CX143">
        <f>Y143*Source!I156</f>
        <v>0.91064800000000012</v>
      </c>
      <c r="CY143">
        <f>AB143</f>
        <v>1261.8699999999999</v>
      </c>
      <c r="CZ143">
        <f>AF143</f>
        <v>1261.8699999999999</v>
      </c>
      <c r="DA143">
        <f>AJ143</f>
        <v>1</v>
      </c>
      <c r="DB143">
        <f t="shared" si="10"/>
        <v>1123.06</v>
      </c>
      <c r="DC143">
        <f t="shared" si="11"/>
        <v>471.72</v>
      </c>
    </row>
    <row r="144" spans="1:107" x14ac:dyDescent="0.2">
      <c r="A144">
        <f>ROW(Source!A156)</f>
        <v>156</v>
      </c>
      <c r="B144">
        <v>52430918</v>
      </c>
      <c r="C144">
        <v>52431714</v>
      </c>
      <c r="D144">
        <v>51865798</v>
      </c>
      <c r="E144">
        <v>1</v>
      </c>
      <c r="F144">
        <v>1</v>
      </c>
      <c r="G144">
        <v>27</v>
      </c>
      <c r="H144">
        <v>3</v>
      </c>
      <c r="I144" t="s">
        <v>411</v>
      </c>
      <c r="J144" t="s">
        <v>412</v>
      </c>
      <c r="K144" t="s">
        <v>413</v>
      </c>
      <c r="L144">
        <v>1348</v>
      </c>
      <c r="N144">
        <v>1009</v>
      </c>
      <c r="O144" t="s">
        <v>101</v>
      </c>
      <c r="P144" t="s">
        <v>101</v>
      </c>
      <c r="Q144">
        <v>1000</v>
      </c>
      <c r="W144">
        <v>0</v>
      </c>
      <c r="X144">
        <v>-68218516</v>
      </c>
      <c r="Y144">
        <v>0.06</v>
      </c>
      <c r="AA144">
        <v>25888.1</v>
      </c>
      <c r="AB144">
        <v>0</v>
      </c>
      <c r="AC144">
        <v>0</v>
      </c>
      <c r="AD144">
        <v>0</v>
      </c>
      <c r="AE144">
        <v>25888.1</v>
      </c>
      <c r="AF144">
        <v>0</v>
      </c>
      <c r="AG144">
        <v>0</v>
      </c>
      <c r="AH144">
        <v>0</v>
      </c>
      <c r="AI144">
        <v>1</v>
      </c>
      <c r="AJ144">
        <v>1</v>
      </c>
      <c r="AK144">
        <v>1</v>
      </c>
      <c r="AL144">
        <v>1</v>
      </c>
      <c r="AN144">
        <v>0</v>
      </c>
      <c r="AO144">
        <v>1</v>
      </c>
      <c r="AP144">
        <v>0</v>
      </c>
      <c r="AQ144">
        <v>0</v>
      </c>
      <c r="AR144">
        <v>0</v>
      </c>
      <c r="AS144" t="s">
        <v>3</v>
      </c>
      <c r="AT144">
        <v>0.06</v>
      </c>
      <c r="AU144" t="s">
        <v>3</v>
      </c>
      <c r="AV144">
        <v>0</v>
      </c>
      <c r="AW144">
        <v>2</v>
      </c>
      <c r="AX144">
        <v>52431721</v>
      </c>
      <c r="AY144">
        <v>1</v>
      </c>
      <c r="AZ144">
        <v>0</v>
      </c>
      <c r="BA144">
        <v>136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CX144">
        <f>Y144*Source!I156</f>
        <v>6.1392000000000002E-2</v>
      </c>
      <c r="CY144">
        <f>AA144</f>
        <v>25888.1</v>
      </c>
      <c r="CZ144">
        <f>AE144</f>
        <v>25888.1</v>
      </c>
      <c r="DA144">
        <f>AI144</f>
        <v>1</v>
      </c>
      <c r="DB144">
        <f t="shared" si="10"/>
        <v>1553.29</v>
      </c>
      <c r="DC144">
        <f t="shared" si="11"/>
        <v>0</v>
      </c>
    </row>
    <row r="145" spans="1:107" x14ac:dyDescent="0.2">
      <c r="A145">
        <f>ROW(Source!A156)</f>
        <v>156</v>
      </c>
      <c r="B145">
        <v>52430918</v>
      </c>
      <c r="C145">
        <v>52431714</v>
      </c>
      <c r="D145">
        <v>51868905</v>
      </c>
      <c r="E145">
        <v>1</v>
      </c>
      <c r="F145">
        <v>1</v>
      </c>
      <c r="G145">
        <v>27</v>
      </c>
      <c r="H145">
        <v>3</v>
      </c>
      <c r="I145" t="s">
        <v>414</v>
      </c>
      <c r="J145" t="s">
        <v>415</v>
      </c>
      <c r="K145" t="s">
        <v>416</v>
      </c>
      <c r="L145">
        <v>1348</v>
      </c>
      <c r="N145">
        <v>1009</v>
      </c>
      <c r="O145" t="s">
        <v>101</v>
      </c>
      <c r="P145" t="s">
        <v>101</v>
      </c>
      <c r="Q145">
        <v>1000</v>
      </c>
      <c r="W145">
        <v>0</v>
      </c>
      <c r="X145">
        <v>2062870502</v>
      </c>
      <c r="Y145">
        <v>7.14</v>
      </c>
      <c r="AA145">
        <v>2652.04</v>
      </c>
      <c r="AB145">
        <v>0</v>
      </c>
      <c r="AC145">
        <v>0</v>
      </c>
      <c r="AD145">
        <v>0</v>
      </c>
      <c r="AE145">
        <v>2652.04</v>
      </c>
      <c r="AF145">
        <v>0</v>
      </c>
      <c r="AG145">
        <v>0</v>
      </c>
      <c r="AH145">
        <v>0</v>
      </c>
      <c r="AI145">
        <v>1</v>
      </c>
      <c r="AJ145">
        <v>1</v>
      </c>
      <c r="AK145">
        <v>1</v>
      </c>
      <c r="AL145">
        <v>1</v>
      </c>
      <c r="AN145">
        <v>0</v>
      </c>
      <c r="AO145">
        <v>1</v>
      </c>
      <c r="AP145">
        <v>0</v>
      </c>
      <c r="AQ145">
        <v>0</v>
      </c>
      <c r="AR145">
        <v>0</v>
      </c>
      <c r="AS145" t="s">
        <v>3</v>
      </c>
      <c r="AT145">
        <v>7.14</v>
      </c>
      <c r="AU145" t="s">
        <v>3</v>
      </c>
      <c r="AV145">
        <v>0</v>
      </c>
      <c r="AW145">
        <v>2</v>
      </c>
      <c r="AX145">
        <v>52431722</v>
      </c>
      <c r="AY145">
        <v>1</v>
      </c>
      <c r="AZ145">
        <v>0</v>
      </c>
      <c r="BA145">
        <v>137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CX145">
        <f>Y145*Source!I156</f>
        <v>7.3056480000000006</v>
      </c>
      <c r="CY145">
        <f>AA145</f>
        <v>2652.04</v>
      </c>
      <c r="CZ145">
        <f>AE145</f>
        <v>2652.04</v>
      </c>
      <c r="DA145">
        <f>AI145</f>
        <v>1</v>
      </c>
      <c r="DB145">
        <f t="shared" si="10"/>
        <v>18935.57</v>
      </c>
      <c r="DC145">
        <f t="shared" si="11"/>
        <v>0</v>
      </c>
    </row>
    <row r="146" spans="1:107" x14ac:dyDescent="0.2">
      <c r="A146">
        <f>ROW(Source!A157)</f>
        <v>157</v>
      </c>
      <c r="B146">
        <v>52430918</v>
      </c>
      <c r="C146">
        <v>52431723</v>
      </c>
      <c r="D146">
        <v>51848379</v>
      </c>
      <c r="E146">
        <v>27</v>
      </c>
      <c r="F146">
        <v>1</v>
      </c>
      <c r="G146">
        <v>27</v>
      </c>
      <c r="H146">
        <v>1</v>
      </c>
      <c r="I146" t="s">
        <v>378</v>
      </c>
      <c r="J146" t="s">
        <v>3</v>
      </c>
      <c r="K146" t="s">
        <v>379</v>
      </c>
      <c r="L146">
        <v>1191</v>
      </c>
      <c r="N146">
        <v>1013</v>
      </c>
      <c r="O146" t="s">
        <v>380</v>
      </c>
      <c r="P146" t="s">
        <v>380</v>
      </c>
      <c r="Q146">
        <v>1</v>
      </c>
      <c r="W146">
        <v>0</v>
      </c>
      <c r="X146">
        <v>476480486</v>
      </c>
      <c r="Y146">
        <v>18.440000000000001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1</v>
      </c>
      <c r="AJ146">
        <v>1</v>
      </c>
      <c r="AK146">
        <v>1</v>
      </c>
      <c r="AL146">
        <v>1</v>
      </c>
      <c r="AN146">
        <v>0</v>
      </c>
      <c r="AO146">
        <v>1</v>
      </c>
      <c r="AP146">
        <v>0</v>
      </c>
      <c r="AQ146">
        <v>0</v>
      </c>
      <c r="AR146">
        <v>0</v>
      </c>
      <c r="AS146" t="s">
        <v>3</v>
      </c>
      <c r="AT146">
        <v>18.440000000000001</v>
      </c>
      <c r="AU146" t="s">
        <v>3</v>
      </c>
      <c r="AV146">
        <v>1</v>
      </c>
      <c r="AW146">
        <v>2</v>
      </c>
      <c r="AX146">
        <v>52431734</v>
      </c>
      <c r="AY146">
        <v>1</v>
      </c>
      <c r="AZ146">
        <v>0</v>
      </c>
      <c r="BA146">
        <v>138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CX146">
        <f>Y146*Source!I157</f>
        <v>18.867808000000004</v>
      </c>
      <c r="CY146">
        <f>AD146</f>
        <v>0</v>
      </c>
      <c r="CZ146">
        <f>AH146</f>
        <v>0</v>
      </c>
      <c r="DA146">
        <f>AL146</f>
        <v>1</v>
      </c>
      <c r="DB146">
        <f t="shared" si="10"/>
        <v>0</v>
      </c>
      <c r="DC146">
        <f t="shared" si="11"/>
        <v>0</v>
      </c>
    </row>
    <row r="147" spans="1:107" x14ac:dyDescent="0.2">
      <c r="A147">
        <f>ROW(Source!A157)</f>
        <v>157</v>
      </c>
      <c r="B147">
        <v>52430918</v>
      </c>
      <c r="C147">
        <v>52431723</v>
      </c>
      <c r="D147">
        <v>51865492</v>
      </c>
      <c r="E147">
        <v>1</v>
      </c>
      <c r="F147">
        <v>1</v>
      </c>
      <c r="G147">
        <v>27</v>
      </c>
      <c r="H147">
        <v>2</v>
      </c>
      <c r="I147" t="s">
        <v>417</v>
      </c>
      <c r="J147" t="s">
        <v>418</v>
      </c>
      <c r="K147" t="s">
        <v>419</v>
      </c>
      <c r="L147">
        <v>1368</v>
      </c>
      <c r="N147">
        <v>1011</v>
      </c>
      <c r="O147" t="s">
        <v>84</v>
      </c>
      <c r="P147" t="s">
        <v>84</v>
      </c>
      <c r="Q147">
        <v>1</v>
      </c>
      <c r="W147">
        <v>0</v>
      </c>
      <c r="X147">
        <v>72422803</v>
      </c>
      <c r="Y147">
        <v>2.64</v>
      </c>
      <c r="AA147">
        <v>0</v>
      </c>
      <c r="AB147">
        <v>531.41</v>
      </c>
      <c r="AC147">
        <v>373.56</v>
      </c>
      <c r="AD147">
        <v>0</v>
      </c>
      <c r="AE147">
        <v>0</v>
      </c>
      <c r="AF147">
        <v>531.41</v>
      </c>
      <c r="AG147">
        <v>373.56</v>
      </c>
      <c r="AH147">
        <v>0</v>
      </c>
      <c r="AI147">
        <v>1</v>
      </c>
      <c r="AJ147">
        <v>1</v>
      </c>
      <c r="AK147">
        <v>1</v>
      </c>
      <c r="AL147">
        <v>1</v>
      </c>
      <c r="AN147">
        <v>0</v>
      </c>
      <c r="AO147">
        <v>1</v>
      </c>
      <c r="AP147">
        <v>0</v>
      </c>
      <c r="AQ147">
        <v>0</v>
      </c>
      <c r="AR147">
        <v>0</v>
      </c>
      <c r="AS147" t="s">
        <v>3</v>
      </c>
      <c r="AT147">
        <v>2.64</v>
      </c>
      <c r="AU147" t="s">
        <v>3</v>
      </c>
      <c r="AV147">
        <v>0</v>
      </c>
      <c r="AW147">
        <v>2</v>
      </c>
      <c r="AX147">
        <v>52431735</v>
      </c>
      <c r="AY147">
        <v>1</v>
      </c>
      <c r="AZ147">
        <v>0</v>
      </c>
      <c r="BA147">
        <v>139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CX147">
        <f>Y147*Source!I157</f>
        <v>2.7012480000000005</v>
      </c>
      <c r="CY147">
        <f>AB147</f>
        <v>531.41</v>
      </c>
      <c r="CZ147">
        <f>AF147</f>
        <v>531.41</v>
      </c>
      <c r="DA147">
        <f>AJ147</f>
        <v>1</v>
      </c>
      <c r="DB147">
        <f t="shared" si="10"/>
        <v>1402.92</v>
      </c>
      <c r="DC147">
        <f t="shared" si="11"/>
        <v>986.2</v>
      </c>
    </row>
    <row r="148" spans="1:107" x14ac:dyDescent="0.2">
      <c r="A148">
        <f>ROW(Source!A157)</f>
        <v>157</v>
      </c>
      <c r="B148">
        <v>52430918</v>
      </c>
      <c r="C148">
        <v>52431723</v>
      </c>
      <c r="D148">
        <v>51865715</v>
      </c>
      <c r="E148">
        <v>1</v>
      </c>
      <c r="F148">
        <v>1</v>
      </c>
      <c r="G148">
        <v>27</v>
      </c>
      <c r="H148">
        <v>2</v>
      </c>
      <c r="I148" t="s">
        <v>420</v>
      </c>
      <c r="J148" t="s">
        <v>421</v>
      </c>
      <c r="K148" t="s">
        <v>422</v>
      </c>
      <c r="L148">
        <v>1368</v>
      </c>
      <c r="N148">
        <v>1011</v>
      </c>
      <c r="O148" t="s">
        <v>84</v>
      </c>
      <c r="P148" t="s">
        <v>84</v>
      </c>
      <c r="Q148">
        <v>1</v>
      </c>
      <c r="W148">
        <v>0</v>
      </c>
      <c r="X148">
        <v>592514182</v>
      </c>
      <c r="Y148">
        <v>1.18</v>
      </c>
      <c r="AA148">
        <v>0</v>
      </c>
      <c r="AB148">
        <v>7.44</v>
      </c>
      <c r="AC148">
        <v>0.98</v>
      </c>
      <c r="AD148">
        <v>0</v>
      </c>
      <c r="AE148">
        <v>0</v>
      </c>
      <c r="AF148">
        <v>7.44</v>
      </c>
      <c r="AG148">
        <v>0.98</v>
      </c>
      <c r="AH148">
        <v>0</v>
      </c>
      <c r="AI148">
        <v>1</v>
      </c>
      <c r="AJ148">
        <v>1</v>
      </c>
      <c r="AK148">
        <v>1</v>
      </c>
      <c r="AL148">
        <v>1</v>
      </c>
      <c r="AN148">
        <v>0</v>
      </c>
      <c r="AO148">
        <v>1</v>
      </c>
      <c r="AP148">
        <v>0</v>
      </c>
      <c r="AQ148">
        <v>0</v>
      </c>
      <c r="AR148">
        <v>0</v>
      </c>
      <c r="AS148" t="s">
        <v>3</v>
      </c>
      <c r="AT148">
        <v>1.18</v>
      </c>
      <c r="AU148" t="s">
        <v>3</v>
      </c>
      <c r="AV148">
        <v>0</v>
      </c>
      <c r="AW148">
        <v>2</v>
      </c>
      <c r="AX148">
        <v>52431736</v>
      </c>
      <c r="AY148">
        <v>1</v>
      </c>
      <c r="AZ148">
        <v>0</v>
      </c>
      <c r="BA148">
        <v>140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CX148">
        <f>Y148*Source!I157</f>
        <v>1.207376</v>
      </c>
      <c r="CY148">
        <f>AB148</f>
        <v>7.44</v>
      </c>
      <c r="CZ148">
        <f>AF148</f>
        <v>7.44</v>
      </c>
      <c r="DA148">
        <f>AJ148</f>
        <v>1</v>
      </c>
      <c r="DB148">
        <f t="shared" si="10"/>
        <v>8.7799999999999994</v>
      </c>
      <c r="DC148">
        <f t="shared" si="11"/>
        <v>1.1599999999999999</v>
      </c>
    </row>
    <row r="149" spans="1:107" x14ac:dyDescent="0.2">
      <c r="A149">
        <f>ROW(Source!A157)</f>
        <v>157</v>
      </c>
      <c r="B149">
        <v>52430918</v>
      </c>
      <c r="C149">
        <v>52431723</v>
      </c>
      <c r="D149">
        <v>51864917</v>
      </c>
      <c r="E149">
        <v>1</v>
      </c>
      <c r="F149">
        <v>1</v>
      </c>
      <c r="G149">
        <v>27</v>
      </c>
      <c r="H149">
        <v>2</v>
      </c>
      <c r="I149" t="s">
        <v>423</v>
      </c>
      <c r="J149" t="s">
        <v>424</v>
      </c>
      <c r="K149" t="s">
        <v>425</v>
      </c>
      <c r="L149">
        <v>1368</v>
      </c>
      <c r="N149">
        <v>1011</v>
      </c>
      <c r="O149" t="s">
        <v>84</v>
      </c>
      <c r="P149" t="s">
        <v>84</v>
      </c>
      <c r="Q149">
        <v>1</v>
      </c>
      <c r="W149">
        <v>0</v>
      </c>
      <c r="X149">
        <v>-2052459773</v>
      </c>
      <c r="Y149">
        <v>0.01</v>
      </c>
      <c r="AA149">
        <v>0</v>
      </c>
      <c r="AB149">
        <v>616.73</v>
      </c>
      <c r="AC149">
        <v>511.29</v>
      </c>
      <c r="AD149">
        <v>0</v>
      </c>
      <c r="AE149">
        <v>0</v>
      </c>
      <c r="AF149">
        <v>616.73</v>
      </c>
      <c r="AG149">
        <v>511.29</v>
      </c>
      <c r="AH149">
        <v>0</v>
      </c>
      <c r="AI149">
        <v>1</v>
      </c>
      <c r="AJ149">
        <v>1</v>
      </c>
      <c r="AK149">
        <v>1</v>
      </c>
      <c r="AL149">
        <v>1</v>
      </c>
      <c r="AN149">
        <v>0</v>
      </c>
      <c r="AO149">
        <v>1</v>
      </c>
      <c r="AP149">
        <v>0</v>
      </c>
      <c r="AQ149">
        <v>0</v>
      </c>
      <c r="AR149">
        <v>0</v>
      </c>
      <c r="AS149" t="s">
        <v>3</v>
      </c>
      <c r="AT149">
        <v>0.01</v>
      </c>
      <c r="AU149" t="s">
        <v>3</v>
      </c>
      <c r="AV149">
        <v>0</v>
      </c>
      <c r="AW149">
        <v>2</v>
      </c>
      <c r="AX149">
        <v>52431737</v>
      </c>
      <c r="AY149">
        <v>1</v>
      </c>
      <c r="AZ149">
        <v>0</v>
      </c>
      <c r="BA149">
        <v>141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CX149">
        <f>Y149*Source!I157</f>
        <v>1.0232000000000002E-2</v>
      </c>
      <c r="CY149">
        <f>AB149</f>
        <v>616.73</v>
      </c>
      <c r="CZ149">
        <f>AF149</f>
        <v>616.73</v>
      </c>
      <c r="DA149">
        <f>AJ149</f>
        <v>1</v>
      </c>
      <c r="DB149">
        <f t="shared" si="10"/>
        <v>6.17</v>
      </c>
      <c r="DC149">
        <f t="shared" si="11"/>
        <v>5.1100000000000003</v>
      </c>
    </row>
    <row r="150" spans="1:107" x14ac:dyDescent="0.2">
      <c r="A150">
        <f>ROW(Source!A157)</f>
        <v>157</v>
      </c>
      <c r="B150">
        <v>52430918</v>
      </c>
      <c r="C150">
        <v>52431723</v>
      </c>
      <c r="D150">
        <v>51865101</v>
      </c>
      <c r="E150">
        <v>1</v>
      </c>
      <c r="F150">
        <v>1</v>
      </c>
      <c r="G150">
        <v>27</v>
      </c>
      <c r="H150">
        <v>2</v>
      </c>
      <c r="I150" t="s">
        <v>426</v>
      </c>
      <c r="J150" t="s">
        <v>427</v>
      </c>
      <c r="K150" t="s">
        <v>428</v>
      </c>
      <c r="L150">
        <v>1368</v>
      </c>
      <c r="N150">
        <v>1011</v>
      </c>
      <c r="O150" t="s">
        <v>84</v>
      </c>
      <c r="P150" t="s">
        <v>84</v>
      </c>
      <c r="Q150">
        <v>1</v>
      </c>
      <c r="W150">
        <v>0</v>
      </c>
      <c r="X150">
        <v>1110189246</v>
      </c>
      <c r="Y150">
        <v>2.64</v>
      </c>
      <c r="AA150">
        <v>0</v>
      </c>
      <c r="AB150">
        <v>454.31</v>
      </c>
      <c r="AC150">
        <v>405.68</v>
      </c>
      <c r="AD150">
        <v>0</v>
      </c>
      <c r="AE150">
        <v>0</v>
      </c>
      <c r="AF150">
        <v>454.31</v>
      </c>
      <c r="AG150">
        <v>405.68</v>
      </c>
      <c r="AH150">
        <v>0</v>
      </c>
      <c r="AI150">
        <v>1</v>
      </c>
      <c r="AJ150">
        <v>1</v>
      </c>
      <c r="AK150">
        <v>1</v>
      </c>
      <c r="AL150">
        <v>1</v>
      </c>
      <c r="AN150">
        <v>0</v>
      </c>
      <c r="AO150">
        <v>1</v>
      </c>
      <c r="AP150">
        <v>0</v>
      </c>
      <c r="AQ150">
        <v>0</v>
      </c>
      <c r="AR150">
        <v>0</v>
      </c>
      <c r="AS150" t="s">
        <v>3</v>
      </c>
      <c r="AT150">
        <v>2.64</v>
      </c>
      <c r="AU150" t="s">
        <v>3</v>
      </c>
      <c r="AV150">
        <v>0</v>
      </c>
      <c r="AW150">
        <v>2</v>
      </c>
      <c r="AX150">
        <v>52431738</v>
      </c>
      <c r="AY150">
        <v>1</v>
      </c>
      <c r="AZ150">
        <v>0</v>
      </c>
      <c r="BA150">
        <v>142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CX150">
        <f>Y150*Source!I157</f>
        <v>2.7012480000000005</v>
      </c>
      <c r="CY150">
        <f>AB150</f>
        <v>454.31</v>
      </c>
      <c r="CZ150">
        <f>AF150</f>
        <v>454.31</v>
      </c>
      <c r="DA150">
        <f>AJ150</f>
        <v>1</v>
      </c>
      <c r="DB150">
        <f t="shared" si="10"/>
        <v>1199.3800000000001</v>
      </c>
      <c r="DC150">
        <f t="shared" si="11"/>
        <v>1071</v>
      </c>
    </row>
    <row r="151" spans="1:107" x14ac:dyDescent="0.2">
      <c r="A151">
        <f>ROW(Source!A157)</f>
        <v>157</v>
      </c>
      <c r="B151">
        <v>52430918</v>
      </c>
      <c r="C151">
        <v>52431723</v>
      </c>
      <c r="D151">
        <v>51867926</v>
      </c>
      <c r="E151">
        <v>1</v>
      </c>
      <c r="F151">
        <v>1</v>
      </c>
      <c r="G151">
        <v>27</v>
      </c>
      <c r="H151">
        <v>3</v>
      </c>
      <c r="I151" t="s">
        <v>429</v>
      </c>
      <c r="J151" t="s">
        <v>430</v>
      </c>
      <c r="K151" t="s">
        <v>431</v>
      </c>
      <c r="L151">
        <v>1327</v>
      </c>
      <c r="N151">
        <v>1005</v>
      </c>
      <c r="O151" t="s">
        <v>298</v>
      </c>
      <c r="P151" t="s">
        <v>298</v>
      </c>
      <c r="Q151">
        <v>1</v>
      </c>
      <c r="W151">
        <v>0</v>
      </c>
      <c r="X151">
        <v>-1185010663</v>
      </c>
      <c r="Y151">
        <v>5.6</v>
      </c>
      <c r="AA151">
        <v>12.02</v>
      </c>
      <c r="AB151">
        <v>0</v>
      </c>
      <c r="AC151">
        <v>0</v>
      </c>
      <c r="AD151">
        <v>0</v>
      </c>
      <c r="AE151">
        <v>12.02</v>
      </c>
      <c r="AF151">
        <v>0</v>
      </c>
      <c r="AG151">
        <v>0</v>
      </c>
      <c r="AH151">
        <v>0</v>
      </c>
      <c r="AI151">
        <v>1</v>
      </c>
      <c r="AJ151">
        <v>1</v>
      </c>
      <c r="AK151">
        <v>1</v>
      </c>
      <c r="AL151">
        <v>1</v>
      </c>
      <c r="AN151">
        <v>0</v>
      </c>
      <c r="AO151">
        <v>1</v>
      </c>
      <c r="AP151">
        <v>0</v>
      </c>
      <c r="AQ151">
        <v>0</v>
      </c>
      <c r="AR151">
        <v>0</v>
      </c>
      <c r="AS151" t="s">
        <v>3</v>
      </c>
      <c r="AT151">
        <v>5.6</v>
      </c>
      <c r="AU151" t="s">
        <v>3</v>
      </c>
      <c r="AV151">
        <v>0</v>
      </c>
      <c r="AW151">
        <v>2</v>
      </c>
      <c r="AX151">
        <v>52431739</v>
      </c>
      <c r="AY151">
        <v>1</v>
      </c>
      <c r="AZ151">
        <v>0</v>
      </c>
      <c r="BA151">
        <v>143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CX151">
        <f>Y151*Source!I157</f>
        <v>5.7299199999999999</v>
      </c>
      <c r="CY151">
        <f>AA151</f>
        <v>12.02</v>
      </c>
      <c r="CZ151">
        <f>AE151</f>
        <v>12.02</v>
      </c>
      <c r="DA151">
        <f>AI151</f>
        <v>1</v>
      </c>
      <c r="DB151">
        <f t="shared" si="10"/>
        <v>67.31</v>
      </c>
      <c r="DC151">
        <f t="shared" si="11"/>
        <v>0</v>
      </c>
    </row>
    <row r="152" spans="1:107" x14ac:dyDescent="0.2">
      <c r="A152">
        <f>ROW(Source!A157)</f>
        <v>157</v>
      </c>
      <c r="B152">
        <v>52430918</v>
      </c>
      <c r="C152">
        <v>52431723</v>
      </c>
      <c r="D152">
        <v>51868013</v>
      </c>
      <c r="E152">
        <v>1</v>
      </c>
      <c r="F152">
        <v>1</v>
      </c>
      <c r="G152">
        <v>27</v>
      </c>
      <c r="H152">
        <v>3</v>
      </c>
      <c r="I152" t="s">
        <v>432</v>
      </c>
      <c r="J152" t="s">
        <v>433</v>
      </c>
      <c r="K152" t="s">
        <v>434</v>
      </c>
      <c r="L152">
        <v>1348</v>
      </c>
      <c r="N152">
        <v>1009</v>
      </c>
      <c r="O152" t="s">
        <v>101</v>
      </c>
      <c r="P152" t="s">
        <v>101</v>
      </c>
      <c r="Q152">
        <v>1000</v>
      </c>
      <c r="W152">
        <v>0</v>
      </c>
      <c r="X152">
        <v>1287476064</v>
      </c>
      <c r="Y152">
        <v>3.15E-3</v>
      </c>
      <c r="AA152">
        <v>343020.03</v>
      </c>
      <c r="AB152">
        <v>0</v>
      </c>
      <c r="AC152">
        <v>0</v>
      </c>
      <c r="AD152">
        <v>0</v>
      </c>
      <c r="AE152">
        <v>343020.03</v>
      </c>
      <c r="AF152">
        <v>0</v>
      </c>
      <c r="AG152">
        <v>0</v>
      </c>
      <c r="AH152">
        <v>0</v>
      </c>
      <c r="AI152">
        <v>1</v>
      </c>
      <c r="AJ152">
        <v>1</v>
      </c>
      <c r="AK152">
        <v>1</v>
      </c>
      <c r="AL152">
        <v>1</v>
      </c>
      <c r="AN152">
        <v>0</v>
      </c>
      <c r="AO152">
        <v>1</v>
      </c>
      <c r="AP152">
        <v>0</v>
      </c>
      <c r="AQ152">
        <v>0</v>
      </c>
      <c r="AR152">
        <v>0</v>
      </c>
      <c r="AS152" t="s">
        <v>3</v>
      </c>
      <c r="AT152">
        <v>3.15E-3</v>
      </c>
      <c r="AU152" t="s">
        <v>3</v>
      </c>
      <c r="AV152">
        <v>0</v>
      </c>
      <c r="AW152">
        <v>2</v>
      </c>
      <c r="AX152">
        <v>52431740</v>
      </c>
      <c r="AY152">
        <v>1</v>
      </c>
      <c r="AZ152">
        <v>0</v>
      </c>
      <c r="BA152">
        <v>144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CX152">
        <f>Y152*Source!I157</f>
        <v>3.2230800000000006E-3</v>
      </c>
      <c r="CY152">
        <f>AA152</f>
        <v>343020.03</v>
      </c>
      <c r="CZ152">
        <f>AE152</f>
        <v>343020.03</v>
      </c>
      <c r="DA152">
        <f>AI152</f>
        <v>1</v>
      </c>
      <c r="DB152">
        <f t="shared" si="10"/>
        <v>1080.51</v>
      </c>
      <c r="DC152">
        <f t="shared" si="11"/>
        <v>0</v>
      </c>
    </row>
    <row r="153" spans="1:107" x14ac:dyDescent="0.2">
      <c r="A153">
        <f>ROW(Source!A157)</f>
        <v>157</v>
      </c>
      <c r="B153">
        <v>52430918</v>
      </c>
      <c r="C153">
        <v>52431723</v>
      </c>
      <c r="D153">
        <v>51868230</v>
      </c>
      <c r="E153">
        <v>1</v>
      </c>
      <c r="F153">
        <v>1</v>
      </c>
      <c r="G153">
        <v>27</v>
      </c>
      <c r="H153">
        <v>3</v>
      </c>
      <c r="I153" t="s">
        <v>435</v>
      </c>
      <c r="J153" t="s">
        <v>436</v>
      </c>
      <c r="K153" t="s">
        <v>437</v>
      </c>
      <c r="L153">
        <v>1346</v>
      </c>
      <c r="N153">
        <v>1009</v>
      </c>
      <c r="O153" t="s">
        <v>438</v>
      </c>
      <c r="P153" t="s">
        <v>438</v>
      </c>
      <c r="Q153">
        <v>1</v>
      </c>
      <c r="W153">
        <v>0</v>
      </c>
      <c r="X153">
        <v>1696686191</v>
      </c>
      <c r="Y153">
        <v>735</v>
      </c>
      <c r="AA153">
        <v>17.77</v>
      </c>
      <c r="AB153">
        <v>0</v>
      </c>
      <c r="AC153">
        <v>0</v>
      </c>
      <c r="AD153">
        <v>0</v>
      </c>
      <c r="AE153">
        <v>17.77</v>
      </c>
      <c r="AF153">
        <v>0</v>
      </c>
      <c r="AG153">
        <v>0</v>
      </c>
      <c r="AH153">
        <v>0</v>
      </c>
      <c r="AI153">
        <v>1</v>
      </c>
      <c r="AJ153">
        <v>1</v>
      </c>
      <c r="AK153">
        <v>1</v>
      </c>
      <c r="AL153">
        <v>1</v>
      </c>
      <c r="AN153">
        <v>0</v>
      </c>
      <c r="AO153">
        <v>1</v>
      </c>
      <c r="AP153">
        <v>0</v>
      </c>
      <c r="AQ153">
        <v>0</v>
      </c>
      <c r="AR153">
        <v>0</v>
      </c>
      <c r="AS153" t="s">
        <v>3</v>
      </c>
      <c r="AT153">
        <v>735</v>
      </c>
      <c r="AU153" t="s">
        <v>3</v>
      </c>
      <c r="AV153">
        <v>0</v>
      </c>
      <c r="AW153">
        <v>2</v>
      </c>
      <c r="AX153">
        <v>52431741</v>
      </c>
      <c r="AY153">
        <v>1</v>
      </c>
      <c r="AZ153">
        <v>0</v>
      </c>
      <c r="BA153">
        <v>145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CX153">
        <f>Y153*Source!I157</f>
        <v>752.05200000000013</v>
      </c>
      <c r="CY153">
        <f>AA153</f>
        <v>17.77</v>
      </c>
      <c r="CZ153">
        <f>AE153</f>
        <v>17.77</v>
      </c>
      <c r="DA153">
        <f>AI153</f>
        <v>1</v>
      </c>
      <c r="DB153">
        <f t="shared" si="10"/>
        <v>13060.95</v>
      </c>
      <c r="DC153">
        <f t="shared" si="11"/>
        <v>0</v>
      </c>
    </row>
    <row r="154" spans="1:107" x14ac:dyDescent="0.2">
      <c r="A154">
        <f>ROW(Source!A157)</f>
        <v>157</v>
      </c>
      <c r="B154">
        <v>52430918</v>
      </c>
      <c r="C154">
        <v>52431723</v>
      </c>
      <c r="D154">
        <v>51868237</v>
      </c>
      <c r="E154">
        <v>1</v>
      </c>
      <c r="F154">
        <v>1</v>
      </c>
      <c r="G154">
        <v>27</v>
      </c>
      <c r="H154">
        <v>3</v>
      </c>
      <c r="I154" t="s">
        <v>439</v>
      </c>
      <c r="J154" t="s">
        <v>440</v>
      </c>
      <c r="K154" t="s">
        <v>441</v>
      </c>
      <c r="L154">
        <v>1346</v>
      </c>
      <c r="N154">
        <v>1009</v>
      </c>
      <c r="O154" t="s">
        <v>438</v>
      </c>
      <c r="P154" t="s">
        <v>438</v>
      </c>
      <c r="Q154">
        <v>1</v>
      </c>
      <c r="W154">
        <v>0</v>
      </c>
      <c r="X154">
        <v>-319511878</v>
      </c>
      <c r="Y154">
        <v>241.5</v>
      </c>
      <c r="AA154">
        <v>202.34</v>
      </c>
      <c r="AB154">
        <v>0</v>
      </c>
      <c r="AC154">
        <v>0</v>
      </c>
      <c r="AD154">
        <v>0</v>
      </c>
      <c r="AE154">
        <v>202.34</v>
      </c>
      <c r="AF154">
        <v>0</v>
      </c>
      <c r="AG154">
        <v>0</v>
      </c>
      <c r="AH154">
        <v>0</v>
      </c>
      <c r="AI154">
        <v>1</v>
      </c>
      <c r="AJ154">
        <v>1</v>
      </c>
      <c r="AK154">
        <v>1</v>
      </c>
      <c r="AL154">
        <v>1</v>
      </c>
      <c r="AN154">
        <v>0</v>
      </c>
      <c r="AO154">
        <v>1</v>
      </c>
      <c r="AP154">
        <v>0</v>
      </c>
      <c r="AQ154">
        <v>0</v>
      </c>
      <c r="AR154">
        <v>0</v>
      </c>
      <c r="AS154" t="s">
        <v>3</v>
      </c>
      <c r="AT154">
        <v>241.5</v>
      </c>
      <c r="AU154" t="s">
        <v>3</v>
      </c>
      <c r="AV154">
        <v>0</v>
      </c>
      <c r="AW154">
        <v>2</v>
      </c>
      <c r="AX154">
        <v>52431742</v>
      </c>
      <c r="AY154">
        <v>1</v>
      </c>
      <c r="AZ154">
        <v>0</v>
      </c>
      <c r="BA154">
        <v>146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CX154">
        <f>Y154*Source!I157</f>
        <v>247.10280000000003</v>
      </c>
      <c r="CY154">
        <f>AA154</f>
        <v>202.34</v>
      </c>
      <c r="CZ154">
        <f>AE154</f>
        <v>202.34</v>
      </c>
      <c r="DA154">
        <f>AI154</f>
        <v>1</v>
      </c>
      <c r="DB154">
        <f t="shared" si="10"/>
        <v>48865.11</v>
      </c>
      <c r="DC154">
        <f t="shared" si="11"/>
        <v>0</v>
      </c>
    </row>
    <row r="155" spans="1:107" x14ac:dyDescent="0.2">
      <c r="A155">
        <f>ROW(Source!A157)</f>
        <v>157</v>
      </c>
      <c r="B155">
        <v>52430918</v>
      </c>
      <c r="C155">
        <v>52431723</v>
      </c>
      <c r="D155">
        <v>51866204</v>
      </c>
      <c r="E155">
        <v>1</v>
      </c>
      <c r="F155">
        <v>1</v>
      </c>
      <c r="G155">
        <v>27</v>
      </c>
      <c r="H155">
        <v>3</v>
      </c>
      <c r="I155" t="s">
        <v>442</v>
      </c>
      <c r="J155" t="s">
        <v>443</v>
      </c>
      <c r="K155" t="s">
        <v>444</v>
      </c>
      <c r="L155">
        <v>1348</v>
      </c>
      <c r="N155">
        <v>1009</v>
      </c>
      <c r="O155" t="s">
        <v>101</v>
      </c>
      <c r="P155" t="s">
        <v>101</v>
      </c>
      <c r="Q155">
        <v>1000</v>
      </c>
      <c r="W155">
        <v>0</v>
      </c>
      <c r="X155">
        <v>-1600259051</v>
      </c>
      <c r="Y155">
        <v>5.2499999999999998E-2</v>
      </c>
      <c r="AA155">
        <v>748299.67</v>
      </c>
      <c r="AB155">
        <v>0</v>
      </c>
      <c r="AC155">
        <v>0</v>
      </c>
      <c r="AD155">
        <v>0</v>
      </c>
      <c r="AE155">
        <v>748299.67</v>
      </c>
      <c r="AF155">
        <v>0</v>
      </c>
      <c r="AG155">
        <v>0</v>
      </c>
      <c r="AH155">
        <v>0</v>
      </c>
      <c r="AI155">
        <v>1</v>
      </c>
      <c r="AJ155">
        <v>1</v>
      </c>
      <c r="AK155">
        <v>1</v>
      </c>
      <c r="AL155">
        <v>1</v>
      </c>
      <c r="AN155">
        <v>0</v>
      </c>
      <c r="AO155">
        <v>1</v>
      </c>
      <c r="AP155">
        <v>0</v>
      </c>
      <c r="AQ155">
        <v>0</v>
      </c>
      <c r="AR155">
        <v>0</v>
      </c>
      <c r="AS155" t="s">
        <v>3</v>
      </c>
      <c r="AT155">
        <v>5.2499999999999998E-2</v>
      </c>
      <c r="AU155" t="s">
        <v>3</v>
      </c>
      <c r="AV155">
        <v>0</v>
      </c>
      <c r="AW155">
        <v>2</v>
      </c>
      <c r="AX155">
        <v>52431743</v>
      </c>
      <c r="AY155">
        <v>1</v>
      </c>
      <c r="AZ155">
        <v>0</v>
      </c>
      <c r="BA155">
        <v>147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CX155">
        <f>Y155*Source!I157</f>
        <v>5.3718000000000002E-2</v>
      </c>
      <c r="CY155">
        <f>AA155</f>
        <v>748299.67</v>
      </c>
      <c r="CZ155">
        <f>AE155</f>
        <v>748299.67</v>
      </c>
      <c r="DA155">
        <f>AI155</f>
        <v>1</v>
      </c>
      <c r="DB155">
        <f t="shared" si="10"/>
        <v>39285.730000000003</v>
      </c>
      <c r="DC155">
        <f t="shared" si="11"/>
        <v>0</v>
      </c>
    </row>
    <row r="156" spans="1:107" x14ac:dyDescent="0.2">
      <c r="A156">
        <f>ROW(Source!A158)</f>
        <v>158</v>
      </c>
      <c r="B156">
        <v>52430918</v>
      </c>
      <c r="C156">
        <v>52431744</v>
      </c>
      <c r="D156">
        <v>51848379</v>
      </c>
      <c r="E156">
        <v>27</v>
      </c>
      <c r="F156">
        <v>1</v>
      </c>
      <c r="G156">
        <v>27</v>
      </c>
      <c r="H156">
        <v>1</v>
      </c>
      <c r="I156" t="s">
        <v>378</v>
      </c>
      <c r="J156" t="s">
        <v>3</v>
      </c>
      <c r="K156" t="s">
        <v>379</v>
      </c>
      <c r="L156">
        <v>1191</v>
      </c>
      <c r="N156">
        <v>1013</v>
      </c>
      <c r="O156" t="s">
        <v>380</v>
      </c>
      <c r="P156" t="s">
        <v>380</v>
      </c>
      <c r="Q156">
        <v>1</v>
      </c>
      <c r="W156">
        <v>0</v>
      </c>
      <c r="X156">
        <v>476480486</v>
      </c>
      <c r="Y156">
        <v>2.65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1</v>
      </c>
      <c r="AJ156">
        <v>1</v>
      </c>
      <c r="AK156">
        <v>1</v>
      </c>
      <c r="AL156">
        <v>1</v>
      </c>
      <c r="AN156">
        <v>0</v>
      </c>
      <c r="AO156">
        <v>1</v>
      </c>
      <c r="AP156">
        <v>0</v>
      </c>
      <c r="AQ156">
        <v>0</v>
      </c>
      <c r="AR156">
        <v>0</v>
      </c>
      <c r="AS156" t="s">
        <v>3</v>
      </c>
      <c r="AT156">
        <v>2.65</v>
      </c>
      <c r="AU156" t="s">
        <v>3</v>
      </c>
      <c r="AV156">
        <v>1</v>
      </c>
      <c r="AW156">
        <v>2</v>
      </c>
      <c r="AX156">
        <v>52431751</v>
      </c>
      <c r="AY156">
        <v>1</v>
      </c>
      <c r="AZ156">
        <v>0</v>
      </c>
      <c r="BA156">
        <v>148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CX156">
        <f>Y156*Source!I158</f>
        <v>2.7114800000000003</v>
      </c>
      <c r="CY156">
        <f>AD156</f>
        <v>0</v>
      </c>
      <c r="CZ156">
        <f>AH156</f>
        <v>0</v>
      </c>
      <c r="DA156">
        <f>AL156</f>
        <v>1</v>
      </c>
      <c r="DB156">
        <f t="shared" si="10"/>
        <v>0</v>
      </c>
      <c r="DC156">
        <f t="shared" si="11"/>
        <v>0</v>
      </c>
    </row>
    <row r="157" spans="1:107" x14ac:dyDescent="0.2">
      <c r="A157">
        <f>ROW(Source!A158)</f>
        <v>158</v>
      </c>
      <c r="B157">
        <v>52430918</v>
      </c>
      <c r="C157">
        <v>52431744</v>
      </c>
      <c r="D157">
        <v>51865492</v>
      </c>
      <c r="E157">
        <v>1</v>
      </c>
      <c r="F157">
        <v>1</v>
      </c>
      <c r="G157">
        <v>27</v>
      </c>
      <c r="H157">
        <v>2</v>
      </c>
      <c r="I157" t="s">
        <v>417</v>
      </c>
      <c r="J157" t="s">
        <v>418</v>
      </c>
      <c r="K157" t="s">
        <v>419</v>
      </c>
      <c r="L157">
        <v>1368</v>
      </c>
      <c r="N157">
        <v>1011</v>
      </c>
      <c r="O157" t="s">
        <v>84</v>
      </c>
      <c r="P157" t="s">
        <v>84</v>
      </c>
      <c r="Q157">
        <v>1</v>
      </c>
      <c r="W157">
        <v>0</v>
      </c>
      <c r="X157">
        <v>72422803</v>
      </c>
      <c r="Y157">
        <v>0.5</v>
      </c>
      <c r="AA157">
        <v>0</v>
      </c>
      <c r="AB157">
        <v>531.41</v>
      </c>
      <c r="AC157">
        <v>373.56</v>
      </c>
      <c r="AD157">
        <v>0</v>
      </c>
      <c r="AE157">
        <v>0</v>
      </c>
      <c r="AF157">
        <v>531.41</v>
      </c>
      <c r="AG157">
        <v>373.56</v>
      </c>
      <c r="AH157">
        <v>0</v>
      </c>
      <c r="AI157">
        <v>1</v>
      </c>
      <c r="AJ157">
        <v>1</v>
      </c>
      <c r="AK157">
        <v>1</v>
      </c>
      <c r="AL157">
        <v>1</v>
      </c>
      <c r="AN157">
        <v>0</v>
      </c>
      <c r="AO157">
        <v>1</v>
      </c>
      <c r="AP157">
        <v>0</v>
      </c>
      <c r="AQ157">
        <v>0</v>
      </c>
      <c r="AR157">
        <v>0</v>
      </c>
      <c r="AS157" t="s">
        <v>3</v>
      </c>
      <c r="AT157">
        <v>0.5</v>
      </c>
      <c r="AU157" t="s">
        <v>3</v>
      </c>
      <c r="AV157">
        <v>0</v>
      </c>
      <c r="AW157">
        <v>2</v>
      </c>
      <c r="AX157">
        <v>52431752</v>
      </c>
      <c r="AY157">
        <v>1</v>
      </c>
      <c r="AZ157">
        <v>0</v>
      </c>
      <c r="BA157">
        <v>149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CX157">
        <f>Y157*Source!I158</f>
        <v>0.51160000000000005</v>
      </c>
      <c r="CY157">
        <f>AB157</f>
        <v>531.41</v>
      </c>
      <c r="CZ157">
        <f>AF157</f>
        <v>531.41</v>
      </c>
      <c r="DA157">
        <f>AJ157</f>
        <v>1</v>
      </c>
      <c r="DB157">
        <f t="shared" si="10"/>
        <v>265.70999999999998</v>
      </c>
      <c r="DC157">
        <f t="shared" si="11"/>
        <v>186.78</v>
      </c>
    </row>
    <row r="158" spans="1:107" x14ac:dyDescent="0.2">
      <c r="A158">
        <f>ROW(Source!A158)</f>
        <v>158</v>
      </c>
      <c r="B158">
        <v>52430918</v>
      </c>
      <c r="C158">
        <v>52431744</v>
      </c>
      <c r="D158">
        <v>51865101</v>
      </c>
      <c r="E158">
        <v>1</v>
      </c>
      <c r="F158">
        <v>1</v>
      </c>
      <c r="G158">
        <v>27</v>
      </c>
      <c r="H158">
        <v>2</v>
      </c>
      <c r="I158" t="s">
        <v>426</v>
      </c>
      <c r="J158" t="s">
        <v>427</v>
      </c>
      <c r="K158" t="s">
        <v>428</v>
      </c>
      <c r="L158">
        <v>1368</v>
      </c>
      <c r="N158">
        <v>1011</v>
      </c>
      <c r="O158" t="s">
        <v>84</v>
      </c>
      <c r="P158" t="s">
        <v>84</v>
      </c>
      <c r="Q158">
        <v>1</v>
      </c>
      <c r="W158">
        <v>0</v>
      </c>
      <c r="X158">
        <v>1110189246</v>
      </c>
      <c r="Y158">
        <v>0.5</v>
      </c>
      <c r="AA158">
        <v>0</v>
      </c>
      <c r="AB158">
        <v>454.31</v>
      </c>
      <c r="AC158">
        <v>405.68</v>
      </c>
      <c r="AD158">
        <v>0</v>
      </c>
      <c r="AE158">
        <v>0</v>
      </c>
      <c r="AF158">
        <v>454.31</v>
      </c>
      <c r="AG158">
        <v>405.68</v>
      </c>
      <c r="AH158">
        <v>0</v>
      </c>
      <c r="AI158">
        <v>1</v>
      </c>
      <c r="AJ158">
        <v>1</v>
      </c>
      <c r="AK158">
        <v>1</v>
      </c>
      <c r="AL158">
        <v>1</v>
      </c>
      <c r="AN158">
        <v>0</v>
      </c>
      <c r="AO158">
        <v>1</v>
      </c>
      <c r="AP158">
        <v>0</v>
      </c>
      <c r="AQ158">
        <v>0</v>
      </c>
      <c r="AR158">
        <v>0</v>
      </c>
      <c r="AS158" t="s">
        <v>3</v>
      </c>
      <c r="AT158">
        <v>0.5</v>
      </c>
      <c r="AU158" t="s">
        <v>3</v>
      </c>
      <c r="AV158">
        <v>0</v>
      </c>
      <c r="AW158">
        <v>2</v>
      </c>
      <c r="AX158">
        <v>52431753</v>
      </c>
      <c r="AY158">
        <v>1</v>
      </c>
      <c r="AZ158">
        <v>0</v>
      </c>
      <c r="BA158">
        <v>150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CX158">
        <f>Y158*Source!I158</f>
        <v>0.51160000000000005</v>
      </c>
      <c r="CY158">
        <f>AB158</f>
        <v>454.31</v>
      </c>
      <c r="CZ158">
        <f>AF158</f>
        <v>454.31</v>
      </c>
      <c r="DA158">
        <f>AJ158</f>
        <v>1</v>
      </c>
      <c r="DB158">
        <f t="shared" si="10"/>
        <v>227.16</v>
      </c>
      <c r="DC158">
        <f t="shared" si="11"/>
        <v>202.84</v>
      </c>
    </row>
    <row r="159" spans="1:107" x14ac:dyDescent="0.2">
      <c r="A159">
        <f>ROW(Source!A158)</f>
        <v>158</v>
      </c>
      <c r="B159">
        <v>52430918</v>
      </c>
      <c r="C159">
        <v>52431744</v>
      </c>
      <c r="D159">
        <v>51868230</v>
      </c>
      <c r="E159">
        <v>1</v>
      </c>
      <c r="F159">
        <v>1</v>
      </c>
      <c r="G159">
        <v>27</v>
      </c>
      <c r="H159">
        <v>3</v>
      </c>
      <c r="I159" t="s">
        <v>435</v>
      </c>
      <c r="J159" t="s">
        <v>436</v>
      </c>
      <c r="K159" t="s">
        <v>437</v>
      </c>
      <c r="L159">
        <v>1346</v>
      </c>
      <c r="N159">
        <v>1009</v>
      </c>
      <c r="O159" t="s">
        <v>438</v>
      </c>
      <c r="P159" t="s">
        <v>438</v>
      </c>
      <c r="Q159">
        <v>1</v>
      </c>
      <c r="W159">
        <v>0</v>
      </c>
      <c r="X159">
        <v>1696686191</v>
      </c>
      <c r="Y159">
        <v>147</v>
      </c>
      <c r="AA159">
        <v>17.77</v>
      </c>
      <c r="AB159">
        <v>0</v>
      </c>
      <c r="AC159">
        <v>0</v>
      </c>
      <c r="AD159">
        <v>0</v>
      </c>
      <c r="AE159">
        <v>17.77</v>
      </c>
      <c r="AF159">
        <v>0</v>
      </c>
      <c r="AG159">
        <v>0</v>
      </c>
      <c r="AH159">
        <v>0</v>
      </c>
      <c r="AI159">
        <v>1</v>
      </c>
      <c r="AJ159">
        <v>1</v>
      </c>
      <c r="AK159">
        <v>1</v>
      </c>
      <c r="AL159">
        <v>1</v>
      </c>
      <c r="AN159">
        <v>0</v>
      </c>
      <c r="AO159">
        <v>1</v>
      </c>
      <c r="AP159">
        <v>0</v>
      </c>
      <c r="AQ159">
        <v>0</v>
      </c>
      <c r="AR159">
        <v>0</v>
      </c>
      <c r="AS159" t="s">
        <v>3</v>
      </c>
      <c r="AT159">
        <v>147</v>
      </c>
      <c r="AU159" t="s">
        <v>3</v>
      </c>
      <c r="AV159">
        <v>0</v>
      </c>
      <c r="AW159">
        <v>2</v>
      </c>
      <c r="AX159">
        <v>52431754</v>
      </c>
      <c r="AY159">
        <v>1</v>
      </c>
      <c r="AZ159">
        <v>0</v>
      </c>
      <c r="BA159">
        <v>151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CX159">
        <f>Y159*Source!I158</f>
        <v>150.41040000000001</v>
      </c>
      <c r="CY159">
        <f>AA159</f>
        <v>17.77</v>
      </c>
      <c r="CZ159">
        <f>AE159</f>
        <v>17.77</v>
      </c>
      <c r="DA159">
        <f>AI159</f>
        <v>1</v>
      </c>
      <c r="DB159">
        <f t="shared" si="10"/>
        <v>2612.19</v>
      </c>
      <c r="DC159">
        <f t="shared" si="11"/>
        <v>0</v>
      </c>
    </row>
    <row r="160" spans="1:107" x14ac:dyDescent="0.2">
      <c r="A160">
        <f>ROW(Source!A158)</f>
        <v>158</v>
      </c>
      <c r="B160">
        <v>52430918</v>
      </c>
      <c r="C160">
        <v>52431744</v>
      </c>
      <c r="D160">
        <v>51868237</v>
      </c>
      <c r="E160">
        <v>1</v>
      </c>
      <c r="F160">
        <v>1</v>
      </c>
      <c r="G160">
        <v>27</v>
      </c>
      <c r="H160">
        <v>3</v>
      </c>
      <c r="I160" t="s">
        <v>439</v>
      </c>
      <c r="J160" t="s">
        <v>440</v>
      </c>
      <c r="K160" t="s">
        <v>441</v>
      </c>
      <c r="L160">
        <v>1346</v>
      </c>
      <c r="N160">
        <v>1009</v>
      </c>
      <c r="O160" t="s">
        <v>438</v>
      </c>
      <c r="P160" t="s">
        <v>438</v>
      </c>
      <c r="Q160">
        <v>1</v>
      </c>
      <c r="W160">
        <v>0</v>
      </c>
      <c r="X160">
        <v>-319511878</v>
      </c>
      <c r="Y160">
        <v>42</v>
      </c>
      <c r="AA160">
        <v>202.34</v>
      </c>
      <c r="AB160">
        <v>0</v>
      </c>
      <c r="AC160">
        <v>0</v>
      </c>
      <c r="AD160">
        <v>0</v>
      </c>
      <c r="AE160">
        <v>202.34</v>
      </c>
      <c r="AF160">
        <v>0</v>
      </c>
      <c r="AG160">
        <v>0</v>
      </c>
      <c r="AH160">
        <v>0</v>
      </c>
      <c r="AI160">
        <v>1</v>
      </c>
      <c r="AJ160">
        <v>1</v>
      </c>
      <c r="AK160">
        <v>1</v>
      </c>
      <c r="AL160">
        <v>1</v>
      </c>
      <c r="AN160">
        <v>0</v>
      </c>
      <c r="AO160">
        <v>1</v>
      </c>
      <c r="AP160">
        <v>0</v>
      </c>
      <c r="AQ160">
        <v>0</v>
      </c>
      <c r="AR160">
        <v>0</v>
      </c>
      <c r="AS160" t="s">
        <v>3</v>
      </c>
      <c r="AT160">
        <v>42</v>
      </c>
      <c r="AU160" t="s">
        <v>3</v>
      </c>
      <c r="AV160">
        <v>0</v>
      </c>
      <c r="AW160">
        <v>2</v>
      </c>
      <c r="AX160">
        <v>52431755</v>
      </c>
      <c r="AY160">
        <v>1</v>
      </c>
      <c r="AZ160">
        <v>0</v>
      </c>
      <c r="BA160">
        <v>152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CX160">
        <f>Y160*Source!I158</f>
        <v>42.974400000000003</v>
      </c>
      <c r="CY160">
        <f>AA160</f>
        <v>202.34</v>
      </c>
      <c r="CZ160">
        <f>AE160</f>
        <v>202.34</v>
      </c>
      <c r="DA160">
        <f>AI160</f>
        <v>1</v>
      </c>
      <c r="DB160">
        <f t="shared" si="10"/>
        <v>8498.2800000000007</v>
      </c>
      <c r="DC160">
        <f t="shared" si="11"/>
        <v>0</v>
      </c>
    </row>
    <row r="161" spans="1:107" x14ac:dyDescent="0.2">
      <c r="A161">
        <f>ROW(Source!A158)</f>
        <v>158</v>
      </c>
      <c r="B161">
        <v>52430918</v>
      </c>
      <c r="C161">
        <v>52431744</v>
      </c>
      <c r="D161">
        <v>51866204</v>
      </c>
      <c r="E161">
        <v>1</v>
      </c>
      <c r="F161">
        <v>1</v>
      </c>
      <c r="G161">
        <v>27</v>
      </c>
      <c r="H161">
        <v>3</v>
      </c>
      <c r="I161" t="s">
        <v>442</v>
      </c>
      <c r="J161" t="s">
        <v>443</v>
      </c>
      <c r="K161" t="s">
        <v>444</v>
      </c>
      <c r="L161">
        <v>1348</v>
      </c>
      <c r="N161">
        <v>1009</v>
      </c>
      <c r="O161" t="s">
        <v>101</v>
      </c>
      <c r="P161" t="s">
        <v>101</v>
      </c>
      <c r="Q161">
        <v>1000</v>
      </c>
      <c r="W161">
        <v>0</v>
      </c>
      <c r="X161">
        <v>-1600259051</v>
      </c>
      <c r="Y161">
        <v>1.0500000000000001E-2</v>
      </c>
      <c r="AA161">
        <v>748299.67</v>
      </c>
      <c r="AB161">
        <v>0</v>
      </c>
      <c r="AC161">
        <v>0</v>
      </c>
      <c r="AD161">
        <v>0</v>
      </c>
      <c r="AE161">
        <v>748299.67</v>
      </c>
      <c r="AF161">
        <v>0</v>
      </c>
      <c r="AG161">
        <v>0</v>
      </c>
      <c r="AH161">
        <v>0</v>
      </c>
      <c r="AI161">
        <v>1</v>
      </c>
      <c r="AJ161">
        <v>1</v>
      </c>
      <c r="AK161">
        <v>1</v>
      </c>
      <c r="AL161">
        <v>1</v>
      </c>
      <c r="AN161">
        <v>0</v>
      </c>
      <c r="AO161">
        <v>1</v>
      </c>
      <c r="AP161">
        <v>0</v>
      </c>
      <c r="AQ161">
        <v>0</v>
      </c>
      <c r="AR161">
        <v>0</v>
      </c>
      <c r="AS161" t="s">
        <v>3</v>
      </c>
      <c r="AT161">
        <v>1.0500000000000001E-2</v>
      </c>
      <c r="AU161" t="s">
        <v>3</v>
      </c>
      <c r="AV161">
        <v>0</v>
      </c>
      <c r="AW161">
        <v>2</v>
      </c>
      <c r="AX161">
        <v>52431756</v>
      </c>
      <c r="AY161">
        <v>1</v>
      </c>
      <c r="AZ161">
        <v>0</v>
      </c>
      <c r="BA161">
        <v>153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CX161">
        <f>Y161*Source!I158</f>
        <v>1.0743600000000002E-2</v>
      </c>
      <c r="CY161">
        <f>AA161</f>
        <v>748299.67</v>
      </c>
      <c r="CZ161">
        <f>AE161</f>
        <v>748299.67</v>
      </c>
      <c r="DA161">
        <f>AI161</f>
        <v>1</v>
      </c>
      <c r="DB161">
        <f t="shared" si="10"/>
        <v>7857.15</v>
      </c>
      <c r="DC161">
        <f t="shared" si="11"/>
        <v>0</v>
      </c>
    </row>
    <row r="162" spans="1:107" x14ac:dyDescent="0.2">
      <c r="A162">
        <f>ROW(Source!A159)</f>
        <v>159</v>
      </c>
      <c r="B162">
        <v>52430918</v>
      </c>
      <c r="C162">
        <v>52431757</v>
      </c>
      <c r="D162">
        <v>51848379</v>
      </c>
      <c r="E162">
        <v>27</v>
      </c>
      <c r="F162">
        <v>1</v>
      </c>
      <c r="G162">
        <v>27</v>
      </c>
      <c r="H162">
        <v>1</v>
      </c>
      <c r="I162" t="s">
        <v>378</v>
      </c>
      <c r="J162" t="s">
        <v>3</v>
      </c>
      <c r="K162" t="s">
        <v>379</v>
      </c>
      <c r="L162">
        <v>1191</v>
      </c>
      <c r="N162">
        <v>1013</v>
      </c>
      <c r="O162" t="s">
        <v>380</v>
      </c>
      <c r="P162" t="s">
        <v>380</v>
      </c>
      <c r="Q162">
        <v>1</v>
      </c>
      <c r="W162">
        <v>0</v>
      </c>
      <c r="X162">
        <v>476480486</v>
      </c>
      <c r="Y162">
        <v>221.6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1</v>
      </c>
      <c r="AJ162">
        <v>1</v>
      </c>
      <c r="AK162">
        <v>1</v>
      </c>
      <c r="AL162">
        <v>1</v>
      </c>
      <c r="AN162">
        <v>0</v>
      </c>
      <c r="AO162">
        <v>1</v>
      </c>
      <c r="AP162">
        <v>0</v>
      </c>
      <c r="AQ162">
        <v>0</v>
      </c>
      <c r="AR162">
        <v>0</v>
      </c>
      <c r="AS162" t="s">
        <v>3</v>
      </c>
      <c r="AT162">
        <v>221.6</v>
      </c>
      <c r="AU162" t="s">
        <v>3</v>
      </c>
      <c r="AV162">
        <v>1</v>
      </c>
      <c r="AW162">
        <v>2</v>
      </c>
      <c r="AX162">
        <v>52431759</v>
      </c>
      <c r="AY162">
        <v>1</v>
      </c>
      <c r="AZ162">
        <v>0</v>
      </c>
      <c r="BA162">
        <v>154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CX162">
        <f>Y162*Source!I159</f>
        <v>0</v>
      </c>
      <c r="CY162">
        <f>AD162</f>
        <v>0</v>
      </c>
      <c r="CZ162">
        <f>AH162</f>
        <v>0</v>
      </c>
      <c r="DA162">
        <f>AL162</f>
        <v>1</v>
      </c>
      <c r="DB162">
        <f t="shared" si="10"/>
        <v>0</v>
      </c>
      <c r="DC162">
        <f t="shared" si="11"/>
        <v>0</v>
      </c>
    </row>
    <row r="163" spans="1:107" x14ac:dyDescent="0.2">
      <c r="A163">
        <f>ROW(Source!A160)</f>
        <v>160</v>
      </c>
      <c r="B163">
        <v>52430918</v>
      </c>
      <c r="C163">
        <v>52431760</v>
      </c>
      <c r="D163">
        <v>51848379</v>
      </c>
      <c r="E163">
        <v>27</v>
      </c>
      <c r="F163">
        <v>1</v>
      </c>
      <c r="G163">
        <v>27</v>
      </c>
      <c r="H163">
        <v>1</v>
      </c>
      <c r="I163" t="s">
        <v>378</v>
      </c>
      <c r="J163" t="s">
        <v>3</v>
      </c>
      <c r="K163" t="s">
        <v>379</v>
      </c>
      <c r="L163">
        <v>1191</v>
      </c>
      <c r="N163">
        <v>1013</v>
      </c>
      <c r="O163" t="s">
        <v>380</v>
      </c>
      <c r="P163" t="s">
        <v>380</v>
      </c>
      <c r="Q163">
        <v>1</v>
      </c>
      <c r="W163">
        <v>0</v>
      </c>
      <c r="X163">
        <v>476480486</v>
      </c>
      <c r="Y163">
        <v>16.559999999999999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1</v>
      </c>
      <c r="AJ163">
        <v>1</v>
      </c>
      <c r="AK163">
        <v>1</v>
      </c>
      <c r="AL163">
        <v>1</v>
      </c>
      <c r="AN163">
        <v>0</v>
      </c>
      <c r="AO163">
        <v>1</v>
      </c>
      <c r="AP163">
        <v>0</v>
      </c>
      <c r="AQ163">
        <v>0</v>
      </c>
      <c r="AR163">
        <v>0</v>
      </c>
      <c r="AS163" t="s">
        <v>3</v>
      </c>
      <c r="AT163">
        <v>16.559999999999999</v>
      </c>
      <c r="AU163" t="s">
        <v>3</v>
      </c>
      <c r="AV163">
        <v>1</v>
      </c>
      <c r="AW163">
        <v>2</v>
      </c>
      <c r="AX163">
        <v>52431769</v>
      </c>
      <c r="AY163">
        <v>1</v>
      </c>
      <c r="AZ163">
        <v>0</v>
      </c>
      <c r="BA163">
        <v>155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CX163">
        <f>Y163*Source!I160</f>
        <v>0</v>
      </c>
      <c r="CY163">
        <f>AD163</f>
        <v>0</v>
      </c>
      <c r="CZ163">
        <f>AH163</f>
        <v>0</v>
      </c>
      <c r="DA163">
        <f>AL163</f>
        <v>1</v>
      </c>
      <c r="DB163">
        <f t="shared" si="10"/>
        <v>0</v>
      </c>
      <c r="DC163">
        <f t="shared" si="11"/>
        <v>0</v>
      </c>
    </row>
    <row r="164" spans="1:107" x14ac:dyDescent="0.2">
      <c r="A164">
        <f>ROW(Source!A160)</f>
        <v>160</v>
      </c>
      <c r="B164">
        <v>52430918</v>
      </c>
      <c r="C164">
        <v>52431760</v>
      </c>
      <c r="D164">
        <v>51864848</v>
      </c>
      <c r="E164">
        <v>1</v>
      </c>
      <c r="F164">
        <v>1</v>
      </c>
      <c r="G164">
        <v>27</v>
      </c>
      <c r="H164">
        <v>2</v>
      </c>
      <c r="I164" t="s">
        <v>387</v>
      </c>
      <c r="J164" t="s">
        <v>388</v>
      </c>
      <c r="K164" t="s">
        <v>389</v>
      </c>
      <c r="L164">
        <v>1368</v>
      </c>
      <c r="N164">
        <v>1011</v>
      </c>
      <c r="O164" t="s">
        <v>84</v>
      </c>
      <c r="P164" t="s">
        <v>84</v>
      </c>
      <c r="Q164">
        <v>1</v>
      </c>
      <c r="W164">
        <v>0</v>
      </c>
      <c r="X164">
        <v>2108619810</v>
      </c>
      <c r="Y164">
        <v>2.08</v>
      </c>
      <c r="AA164">
        <v>0</v>
      </c>
      <c r="AB164">
        <v>740.94</v>
      </c>
      <c r="AC164">
        <v>413.22</v>
      </c>
      <c r="AD164">
        <v>0</v>
      </c>
      <c r="AE164">
        <v>0</v>
      </c>
      <c r="AF164">
        <v>740.94</v>
      </c>
      <c r="AG164">
        <v>413.22</v>
      </c>
      <c r="AH164">
        <v>0</v>
      </c>
      <c r="AI164">
        <v>1</v>
      </c>
      <c r="AJ164">
        <v>1</v>
      </c>
      <c r="AK164">
        <v>1</v>
      </c>
      <c r="AL164">
        <v>1</v>
      </c>
      <c r="AN164">
        <v>0</v>
      </c>
      <c r="AO164">
        <v>1</v>
      </c>
      <c r="AP164">
        <v>0</v>
      </c>
      <c r="AQ164">
        <v>0</v>
      </c>
      <c r="AR164">
        <v>0</v>
      </c>
      <c r="AS164" t="s">
        <v>3</v>
      </c>
      <c r="AT164">
        <v>2.08</v>
      </c>
      <c r="AU164" t="s">
        <v>3</v>
      </c>
      <c r="AV164">
        <v>0</v>
      </c>
      <c r="AW164">
        <v>2</v>
      </c>
      <c r="AX164">
        <v>52431770</v>
      </c>
      <c r="AY164">
        <v>1</v>
      </c>
      <c r="AZ164">
        <v>0</v>
      </c>
      <c r="BA164">
        <v>156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CX164">
        <f>Y164*Source!I160</f>
        <v>0</v>
      </c>
      <c r="CY164">
        <f>AB164</f>
        <v>740.94</v>
      </c>
      <c r="CZ164">
        <f>AF164</f>
        <v>740.94</v>
      </c>
      <c r="DA164">
        <f>AJ164</f>
        <v>1</v>
      </c>
      <c r="DB164">
        <f t="shared" si="10"/>
        <v>1541.16</v>
      </c>
      <c r="DC164">
        <f t="shared" si="11"/>
        <v>859.5</v>
      </c>
    </row>
    <row r="165" spans="1:107" x14ac:dyDescent="0.2">
      <c r="A165">
        <f>ROW(Source!A160)</f>
        <v>160</v>
      </c>
      <c r="B165">
        <v>52430918</v>
      </c>
      <c r="C165">
        <v>52431760</v>
      </c>
      <c r="D165">
        <v>51865003</v>
      </c>
      <c r="E165">
        <v>1</v>
      </c>
      <c r="F165">
        <v>1</v>
      </c>
      <c r="G165">
        <v>27</v>
      </c>
      <c r="H165">
        <v>2</v>
      </c>
      <c r="I165" t="s">
        <v>390</v>
      </c>
      <c r="J165" t="s">
        <v>391</v>
      </c>
      <c r="K165" t="s">
        <v>392</v>
      </c>
      <c r="L165">
        <v>1368</v>
      </c>
      <c r="N165">
        <v>1011</v>
      </c>
      <c r="O165" t="s">
        <v>84</v>
      </c>
      <c r="P165" t="s">
        <v>84</v>
      </c>
      <c r="Q165">
        <v>1</v>
      </c>
      <c r="W165">
        <v>0</v>
      </c>
      <c r="X165">
        <v>-1512295274</v>
      </c>
      <c r="Y165">
        <v>2.08</v>
      </c>
      <c r="AA165">
        <v>0</v>
      </c>
      <c r="AB165">
        <v>430.32</v>
      </c>
      <c r="AC165">
        <v>215.31</v>
      </c>
      <c r="AD165">
        <v>0</v>
      </c>
      <c r="AE165">
        <v>0</v>
      </c>
      <c r="AF165">
        <v>430.32</v>
      </c>
      <c r="AG165">
        <v>215.31</v>
      </c>
      <c r="AH165">
        <v>0</v>
      </c>
      <c r="AI165">
        <v>1</v>
      </c>
      <c r="AJ165">
        <v>1</v>
      </c>
      <c r="AK165">
        <v>1</v>
      </c>
      <c r="AL165">
        <v>1</v>
      </c>
      <c r="AN165">
        <v>0</v>
      </c>
      <c r="AO165">
        <v>1</v>
      </c>
      <c r="AP165">
        <v>0</v>
      </c>
      <c r="AQ165">
        <v>0</v>
      </c>
      <c r="AR165">
        <v>0</v>
      </c>
      <c r="AS165" t="s">
        <v>3</v>
      </c>
      <c r="AT165">
        <v>2.08</v>
      </c>
      <c r="AU165" t="s">
        <v>3</v>
      </c>
      <c r="AV165">
        <v>0</v>
      </c>
      <c r="AW165">
        <v>2</v>
      </c>
      <c r="AX165">
        <v>52431771</v>
      </c>
      <c r="AY165">
        <v>1</v>
      </c>
      <c r="AZ165">
        <v>0</v>
      </c>
      <c r="BA165">
        <v>157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CX165">
        <f>Y165*Source!I160</f>
        <v>0</v>
      </c>
      <c r="CY165">
        <f>AB165</f>
        <v>430.32</v>
      </c>
      <c r="CZ165">
        <f>AF165</f>
        <v>430.32</v>
      </c>
      <c r="DA165">
        <f>AJ165</f>
        <v>1</v>
      </c>
      <c r="DB165">
        <f t="shared" si="10"/>
        <v>895.07</v>
      </c>
      <c r="DC165">
        <f t="shared" si="11"/>
        <v>447.84</v>
      </c>
    </row>
    <row r="166" spans="1:107" x14ac:dyDescent="0.2">
      <c r="A166">
        <f>ROW(Source!A160)</f>
        <v>160</v>
      </c>
      <c r="B166">
        <v>52430918</v>
      </c>
      <c r="C166">
        <v>52431760</v>
      </c>
      <c r="D166">
        <v>51865006</v>
      </c>
      <c r="E166">
        <v>1</v>
      </c>
      <c r="F166">
        <v>1</v>
      </c>
      <c r="G166">
        <v>27</v>
      </c>
      <c r="H166">
        <v>2</v>
      </c>
      <c r="I166" t="s">
        <v>393</v>
      </c>
      <c r="J166" t="s">
        <v>394</v>
      </c>
      <c r="K166" t="s">
        <v>395</v>
      </c>
      <c r="L166">
        <v>1368</v>
      </c>
      <c r="N166">
        <v>1011</v>
      </c>
      <c r="O166" t="s">
        <v>84</v>
      </c>
      <c r="P166" t="s">
        <v>84</v>
      </c>
      <c r="Q166">
        <v>1</v>
      </c>
      <c r="W166">
        <v>0</v>
      </c>
      <c r="X166">
        <v>2042885981</v>
      </c>
      <c r="Y166">
        <v>0.81</v>
      </c>
      <c r="AA166">
        <v>0</v>
      </c>
      <c r="AB166">
        <v>2020.59</v>
      </c>
      <c r="AC166">
        <v>458.56</v>
      </c>
      <c r="AD166">
        <v>0</v>
      </c>
      <c r="AE166">
        <v>0</v>
      </c>
      <c r="AF166">
        <v>2020.59</v>
      </c>
      <c r="AG166">
        <v>458.56</v>
      </c>
      <c r="AH166">
        <v>0</v>
      </c>
      <c r="AI166">
        <v>1</v>
      </c>
      <c r="AJ166">
        <v>1</v>
      </c>
      <c r="AK166">
        <v>1</v>
      </c>
      <c r="AL166">
        <v>1</v>
      </c>
      <c r="AN166">
        <v>0</v>
      </c>
      <c r="AO166">
        <v>1</v>
      </c>
      <c r="AP166">
        <v>0</v>
      </c>
      <c r="AQ166">
        <v>0</v>
      </c>
      <c r="AR166">
        <v>0</v>
      </c>
      <c r="AS166" t="s">
        <v>3</v>
      </c>
      <c r="AT166">
        <v>0.81</v>
      </c>
      <c r="AU166" t="s">
        <v>3</v>
      </c>
      <c r="AV166">
        <v>0</v>
      </c>
      <c r="AW166">
        <v>2</v>
      </c>
      <c r="AX166">
        <v>52431772</v>
      </c>
      <c r="AY166">
        <v>1</v>
      </c>
      <c r="AZ166">
        <v>0</v>
      </c>
      <c r="BA166">
        <v>158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CX166">
        <f>Y166*Source!I160</f>
        <v>0</v>
      </c>
      <c r="CY166">
        <f>AB166</f>
        <v>2020.59</v>
      </c>
      <c r="CZ166">
        <f>AF166</f>
        <v>2020.59</v>
      </c>
      <c r="DA166">
        <f>AJ166</f>
        <v>1</v>
      </c>
      <c r="DB166">
        <f t="shared" si="10"/>
        <v>1636.68</v>
      </c>
      <c r="DC166">
        <f t="shared" si="11"/>
        <v>371.43</v>
      </c>
    </row>
    <row r="167" spans="1:107" x14ac:dyDescent="0.2">
      <c r="A167">
        <f>ROW(Source!A160)</f>
        <v>160</v>
      </c>
      <c r="B167">
        <v>52430918</v>
      </c>
      <c r="C167">
        <v>52431760</v>
      </c>
      <c r="D167">
        <v>51865030</v>
      </c>
      <c r="E167">
        <v>1</v>
      </c>
      <c r="F167">
        <v>1</v>
      </c>
      <c r="G167">
        <v>27</v>
      </c>
      <c r="H167">
        <v>2</v>
      </c>
      <c r="I167" t="s">
        <v>396</v>
      </c>
      <c r="J167" t="s">
        <v>397</v>
      </c>
      <c r="K167" t="s">
        <v>398</v>
      </c>
      <c r="L167">
        <v>1368</v>
      </c>
      <c r="N167">
        <v>1011</v>
      </c>
      <c r="O167" t="s">
        <v>84</v>
      </c>
      <c r="P167" t="s">
        <v>84</v>
      </c>
      <c r="Q167">
        <v>1</v>
      </c>
      <c r="W167">
        <v>0</v>
      </c>
      <c r="X167">
        <v>1116182101</v>
      </c>
      <c r="Y167">
        <v>1.94</v>
      </c>
      <c r="AA167">
        <v>0</v>
      </c>
      <c r="AB167">
        <v>1412.71</v>
      </c>
      <c r="AC167">
        <v>641.32000000000005</v>
      </c>
      <c r="AD167">
        <v>0</v>
      </c>
      <c r="AE167">
        <v>0</v>
      </c>
      <c r="AF167">
        <v>1412.71</v>
      </c>
      <c r="AG167">
        <v>641.32000000000005</v>
      </c>
      <c r="AH167">
        <v>0</v>
      </c>
      <c r="AI167">
        <v>1</v>
      </c>
      <c r="AJ167">
        <v>1</v>
      </c>
      <c r="AK167">
        <v>1</v>
      </c>
      <c r="AL167">
        <v>1</v>
      </c>
      <c r="AN167">
        <v>0</v>
      </c>
      <c r="AO167">
        <v>1</v>
      </c>
      <c r="AP167">
        <v>0</v>
      </c>
      <c r="AQ167">
        <v>0</v>
      </c>
      <c r="AR167">
        <v>0</v>
      </c>
      <c r="AS167" t="s">
        <v>3</v>
      </c>
      <c r="AT167">
        <v>1.94</v>
      </c>
      <c r="AU167" t="s">
        <v>3</v>
      </c>
      <c r="AV167">
        <v>0</v>
      </c>
      <c r="AW167">
        <v>2</v>
      </c>
      <c r="AX167">
        <v>52431773</v>
      </c>
      <c r="AY167">
        <v>1</v>
      </c>
      <c r="AZ167">
        <v>0</v>
      </c>
      <c r="BA167">
        <v>159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CX167">
        <f>Y167*Source!I160</f>
        <v>0</v>
      </c>
      <c r="CY167">
        <f>AB167</f>
        <v>1412.71</v>
      </c>
      <c r="CZ167">
        <f>AF167</f>
        <v>1412.71</v>
      </c>
      <c r="DA167">
        <f>AJ167</f>
        <v>1</v>
      </c>
      <c r="DB167">
        <f t="shared" si="10"/>
        <v>2740.66</v>
      </c>
      <c r="DC167">
        <f t="shared" si="11"/>
        <v>1244.1600000000001</v>
      </c>
    </row>
    <row r="168" spans="1:107" x14ac:dyDescent="0.2">
      <c r="A168">
        <f>ROW(Source!A160)</f>
        <v>160</v>
      </c>
      <c r="B168">
        <v>52430918</v>
      </c>
      <c r="C168">
        <v>52431760</v>
      </c>
      <c r="D168">
        <v>51864996</v>
      </c>
      <c r="E168">
        <v>1</v>
      </c>
      <c r="F168">
        <v>1</v>
      </c>
      <c r="G168">
        <v>27</v>
      </c>
      <c r="H168">
        <v>2</v>
      </c>
      <c r="I168" t="s">
        <v>399</v>
      </c>
      <c r="J168" t="s">
        <v>400</v>
      </c>
      <c r="K168" t="s">
        <v>401</v>
      </c>
      <c r="L168">
        <v>1368</v>
      </c>
      <c r="N168">
        <v>1011</v>
      </c>
      <c r="O168" t="s">
        <v>84</v>
      </c>
      <c r="P168" t="s">
        <v>84</v>
      </c>
      <c r="Q168">
        <v>1</v>
      </c>
      <c r="W168">
        <v>0</v>
      </c>
      <c r="X168">
        <v>2142121434</v>
      </c>
      <c r="Y168">
        <v>0.65</v>
      </c>
      <c r="AA168">
        <v>0</v>
      </c>
      <c r="AB168">
        <v>1213.3399999999999</v>
      </c>
      <c r="AC168">
        <v>461.6</v>
      </c>
      <c r="AD168">
        <v>0</v>
      </c>
      <c r="AE168">
        <v>0</v>
      </c>
      <c r="AF168">
        <v>1213.3399999999999</v>
      </c>
      <c r="AG168">
        <v>461.6</v>
      </c>
      <c r="AH168">
        <v>0</v>
      </c>
      <c r="AI168">
        <v>1</v>
      </c>
      <c r="AJ168">
        <v>1</v>
      </c>
      <c r="AK168">
        <v>1</v>
      </c>
      <c r="AL168">
        <v>1</v>
      </c>
      <c r="AN168">
        <v>0</v>
      </c>
      <c r="AO168">
        <v>1</v>
      </c>
      <c r="AP168">
        <v>0</v>
      </c>
      <c r="AQ168">
        <v>0</v>
      </c>
      <c r="AR168">
        <v>0</v>
      </c>
      <c r="AS168" t="s">
        <v>3</v>
      </c>
      <c r="AT168">
        <v>0.65</v>
      </c>
      <c r="AU168" t="s">
        <v>3</v>
      </c>
      <c r="AV168">
        <v>0</v>
      </c>
      <c r="AW168">
        <v>2</v>
      </c>
      <c r="AX168">
        <v>52431774</v>
      </c>
      <c r="AY168">
        <v>1</v>
      </c>
      <c r="AZ168">
        <v>0</v>
      </c>
      <c r="BA168">
        <v>160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CX168">
        <f>Y168*Source!I160</f>
        <v>0</v>
      </c>
      <c r="CY168">
        <f>AB168</f>
        <v>1213.3399999999999</v>
      </c>
      <c r="CZ168">
        <f>AF168</f>
        <v>1213.3399999999999</v>
      </c>
      <c r="DA168">
        <f>AJ168</f>
        <v>1</v>
      </c>
      <c r="DB168">
        <f t="shared" si="10"/>
        <v>788.67</v>
      </c>
      <c r="DC168">
        <f t="shared" si="11"/>
        <v>300.04000000000002</v>
      </c>
    </row>
    <row r="169" spans="1:107" x14ac:dyDescent="0.2">
      <c r="A169">
        <f>ROW(Source!A160)</f>
        <v>160</v>
      </c>
      <c r="B169">
        <v>52430918</v>
      </c>
      <c r="C169">
        <v>52431760</v>
      </c>
      <c r="D169">
        <v>51866959</v>
      </c>
      <c r="E169">
        <v>1</v>
      </c>
      <c r="F169">
        <v>1</v>
      </c>
      <c r="G169">
        <v>27</v>
      </c>
      <c r="H169">
        <v>3</v>
      </c>
      <c r="I169" t="s">
        <v>402</v>
      </c>
      <c r="J169" t="s">
        <v>403</v>
      </c>
      <c r="K169" t="s">
        <v>404</v>
      </c>
      <c r="L169">
        <v>1339</v>
      </c>
      <c r="N169">
        <v>1007</v>
      </c>
      <c r="O169" t="s">
        <v>28</v>
      </c>
      <c r="P169" t="s">
        <v>28</v>
      </c>
      <c r="Q169">
        <v>1</v>
      </c>
      <c r="W169">
        <v>0</v>
      </c>
      <c r="X169">
        <v>1152750853</v>
      </c>
      <c r="Y169">
        <v>110</v>
      </c>
      <c r="AA169">
        <v>590.78</v>
      </c>
      <c r="AB169">
        <v>0</v>
      </c>
      <c r="AC169">
        <v>0</v>
      </c>
      <c r="AD169">
        <v>0</v>
      </c>
      <c r="AE169">
        <v>590.78</v>
      </c>
      <c r="AF169">
        <v>0</v>
      </c>
      <c r="AG169">
        <v>0</v>
      </c>
      <c r="AH169">
        <v>0</v>
      </c>
      <c r="AI169">
        <v>1</v>
      </c>
      <c r="AJ169">
        <v>1</v>
      </c>
      <c r="AK169">
        <v>1</v>
      </c>
      <c r="AL169">
        <v>1</v>
      </c>
      <c r="AN169">
        <v>0</v>
      </c>
      <c r="AO169">
        <v>1</v>
      </c>
      <c r="AP169">
        <v>0</v>
      </c>
      <c r="AQ169">
        <v>0</v>
      </c>
      <c r="AR169">
        <v>0</v>
      </c>
      <c r="AS169" t="s">
        <v>3</v>
      </c>
      <c r="AT169">
        <v>110</v>
      </c>
      <c r="AU169" t="s">
        <v>3</v>
      </c>
      <c r="AV169">
        <v>0</v>
      </c>
      <c r="AW169">
        <v>2</v>
      </c>
      <c r="AX169">
        <v>52431775</v>
      </c>
      <c r="AY169">
        <v>1</v>
      </c>
      <c r="AZ169">
        <v>0</v>
      </c>
      <c r="BA169">
        <v>161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CX169">
        <f>Y169*Source!I160</f>
        <v>0</v>
      </c>
      <c r="CY169">
        <f>AA169</f>
        <v>590.78</v>
      </c>
      <c r="CZ169">
        <f>AE169</f>
        <v>590.78</v>
      </c>
      <c r="DA169">
        <f>AI169</f>
        <v>1</v>
      </c>
      <c r="DB169">
        <f t="shared" si="10"/>
        <v>64985.8</v>
      </c>
      <c r="DC169">
        <f t="shared" si="11"/>
        <v>0</v>
      </c>
    </row>
    <row r="170" spans="1:107" x14ac:dyDescent="0.2">
      <c r="A170">
        <f>ROW(Source!A160)</f>
        <v>160</v>
      </c>
      <c r="B170">
        <v>52430918</v>
      </c>
      <c r="C170">
        <v>52431760</v>
      </c>
      <c r="D170">
        <v>51867705</v>
      </c>
      <c r="E170">
        <v>1</v>
      </c>
      <c r="F170">
        <v>1</v>
      </c>
      <c r="G170">
        <v>27</v>
      </c>
      <c r="H170">
        <v>3</v>
      </c>
      <c r="I170" t="s">
        <v>405</v>
      </c>
      <c r="J170" t="s">
        <v>406</v>
      </c>
      <c r="K170" t="s">
        <v>407</v>
      </c>
      <c r="L170">
        <v>1339</v>
      </c>
      <c r="N170">
        <v>1007</v>
      </c>
      <c r="O170" t="s">
        <v>28</v>
      </c>
      <c r="P170" t="s">
        <v>28</v>
      </c>
      <c r="Q170">
        <v>1</v>
      </c>
      <c r="W170">
        <v>0</v>
      </c>
      <c r="X170">
        <v>1927597627</v>
      </c>
      <c r="Y170">
        <v>5</v>
      </c>
      <c r="AA170">
        <v>35.25</v>
      </c>
      <c r="AB170">
        <v>0</v>
      </c>
      <c r="AC170">
        <v>0</v>
      </c>
      <c r="AD170">
        <v>0</v>
      </c>
      <c r="AE170">
        <v>35.25</v>
      </c>
      <c r="AF170">
        <v>0</v>
      </c>
      <c r="AG170">
        <v>0</v>
      </c>
      <c r="AH170">
        <v>0</v>
      </c>
      <c r="AI170">
        <v>1</v>
      </c>
      <c r="AJ170">
        <v>1</v>
      </c>
      <c r="AK170">
        <v>1</v>
      </c>
      <c r="AL170">
        <v>1</v>
      </c>
      <c r="AN170">
        <v>0</v>
      </c>
      <c r="AO170">
        <v>1</v>
      </c>
      <c r="AP170">
        <v>0</v>
      </c>
      <c r="AQ170">
        <v>0</v>
      </c>
      <c r="AR170">
        <v>0</v>
      </c>
      <c r="AS170" t="s">
        <v>3</v>
      </c>
      <c r="AT170">
        <v>5</v>
      </c>
      <c r="AU170" t="s">
        <v>3</v>
      </c>
      <c r="AV170">
        <v>0</v>
      </c>
      <c r="AW170">
        <v>2</v>
      </c>
      <c r="AX170">
        <v>52431776</v>
      </c>
      <c r="AY170">
        <v>1</v>
      </c>
      <c r="AZ170">
        <v>0</v>
      </c>
      <c r="BA170">
        <v>162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CX170">
        <f>Y170*Source!I160</f>
        <v>0</v>
      </c>
      <c r="CY170">
        <f>AA170</f>
        <v>35.25</v>
      </c>
      <c r="CZ170">
        <f>AE170</f>
        <v>35.25</v>
      </c>
      <c r="DA170">
        <f>AI170</f>
        <v>1</v>
      </c>
      <c r="DB170">
        <f t="shared" si="10"/>
        <v>176.25</v>
      </c>
      <c r="DC170">
        <f t="shared" si="11"/>
        <v>0</v>
      </c>
    </row>
    <row r="171" spans="1:107" x14ac:dyDescent="0.2">
      <c r="A171">
        <f>ROW(Source!A161)</f>
        <v>161</v>
      </c>
      <c r="B171">
        <v>52430918</v>
      </c>
      <c r="C171">
        <v>52431777</v>
      </c>
      <c r="D171">
        <v>51848379</v>
      </c>
      <c r="E171">
        <v>27</v>
      </c>
      <c r="F171">
        <v>1</v>
      </c>
      <c r="G171">
        <v>27</v>
      </c>
      <c r="H171">
        <v>1</v>
      </c>
      <c r="I171" t="s">
        <v>378</v>
      </c>
      <c r="J171" t="s">
        <v>3</v>
      </c>
      <c r="K171" t="s">
        <v>379</v>
      </c>
      <c r="L171">
        <v>1191</v>
      </c>
      <c r="N171">
        <v>1013</v>
      </c>
      <c r="O171" t="s">
        <v>380</v>
      </c>
      <c r="P171" t="s">
        <v>380</v>
      </c>
      <c r="Q171">
        <v>1</v>
      </c>
      <c r="W171">
        <v>0</v>
      </c>
      <c r="X171">
        <v>476480486</v>
      </c>
      <c r="Y171">
        <v>72.95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1</v>
      </c>
      <c r="AJ171">
        <v>1</v>
      </c>
      <c r="AK171">
        <v>1</v>
      </c>
      <c r="AL171">
        <v>1</v>
      </c>
      <c r="AN171">
        <v>0</v>
      </c>
      <c r="AO171">
        <v>1</v>
      </c>
      <c r="AP171">
        <v>0</v>
      </c>
      <c r="AQ171">
        <v>0</v>
      </c>
      <c r="AR171">
        <v>0</v>
      </c>
      <c r="AS171" t="s">
        <v>3</v>
      </c>
      <c r="AT171">
        <v>72.95</v>
      </c>
      <c r="AU171" t="s">
        <v>3</v>
      </c>
      <c r="AV171">
        <v>1</v>
      </c>
      <c r="AW171">
        <v>2</v>
      </c>
      <c r="AX171">
        <v>52431783</v>
      </c>
      <c r="AY171">
        <v>1</v>
      </c>
      <c r="AZ171">
        <v>0</v>
      </c>
      <c r="BA171">
        <v>163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CX171">
        <f>Y171*Source!I161</f>
        <v>31.52899</v>
      </c>
      <c r="CY171">
        <f>AD171</f>
        <v>0</v>
      </c>
      <c r="CZ171">
        <f>AH171</f>
        <v>0</v>
      </c>
      <c r="DA171">
        <f>AL171</f>
        <v>1</v>
      </c>
      <c r="DB171">
        <f t="shared" si="10"/>
        <v>0</v>
      </c>
      <c r="DC171">
        <f t="shared" si="11"/>
        <v>0</v>
      </c>
    </row>
    <row r="172" spans="1:107" x14ac:dyDescent="0.2">
      <c r="A172">
        <f>ROW(Source!A161)</f>
        <v>161</v>
      </c>
      <c r="B172">
        <v>52430918</v>
      </c>
      <c r="C172">
        <v>52431777</v>
      </c>
      <c r="D172">
        <v>51864920</v>
      </c>
      <c r="E172">
        <v>1</v>
      </c>
      <c r="F172">
        <v>1</v>
      </c>
      <c r="G172">
        <v>27</v>
      </c>
      <c r="H172">
        <v>2</v>
      </c>
      <c r="I172" t="s">
        <v>445</v>
      </c>
      <c r="J172" t="s">
        <v>446</v>
      </c>
      <c r="K172" t="s">
        <v>447</v>
      </c>
      <c r="L172">
        <v>1368</v>
      </c>
      <c r="N172">
        <v>1011</v>
      </c>
      <c r="O172" t="s">
        <v>84</v>
      </c>
      <c r="P172" t="s">
        <v>84</v>
      </c>
      <c r="Q172">
        <v>1</v>
      </c>
      <c r="W172">
        <v>0</v>
      </c>
      <c r="X172">
        <v>-1323805330</v>
      </c>
      <c r="Y172">
        <v>0.26</v>
      </c>
      <c r="AA172">
        <v>0</v>
      </c>
      <c r="AB172">
        <v>683.9</v>
      </c>
      <c r="AC172">
        <v>371.27</v>
      </c>
      <c r="AD172">
        <v>0</v>
      </c>
      <c r="AE172">
        <v>0</v>
      </c>
      <c r="AF172">
        <v>683.9</v>
      </c>
      <c r="AG172">
        <v>371.27</v>
      </c>
      <c r="AH172">
        <v>0</v>
      </c>
      <c r="AI172">
        <v>1</v>
      </c>
      <c r="AJ172">
        <v>1</v>
      </c>
      <c r="AK172">
        <v>1</v>
      </c>
      <c r="AL172">
        <v>1</v>
      </c>
      <c r="AN172">
        <v>0</v>
      </c>
      <c r="AO172">
        <v>1</v>
      </c>
      <c r="AP172">
        <v>0</v>
      </c>
      <c r="AQ172">
        <v>0</v>
      </c>
      <c r="AR172">
        <v>0</v>
      </c>
      <c r="AS172" t="s">
        <v>3</v>
      </c>
      <c r="AT172">
        <v>0.26</v>
      </c>
      <c r="AU172" t="s">
        <v>3</v>
      </c>
      <c r="AV172">
        <v>0</v>
      </c>
      <c r="AW172">
        <v>2</v>
      </c>
      <c r="AX172">
        <v>52431784</v>
      </c>
      <c r="AY172">
        <v>1</v>
      </c>
      <c r="AZ172">
        <v>0</v>
      </c>
      <c r="BA172">
        <v>164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CX172">
        <f>Y172*Source!I161</f>
        <v>0.112372</v>
      </c>
      <c r="CY172">
        <f>AB172</f>
        <v>683.9</v>
      </c>
      <c r="CZ172">
        <f>AF172</f>
        <v>683.9</v>
      </c>
      <c r="DA172">
        <f>AJ172</f>
        <v>1</v>
      </c>
      <c r="DB172">
        <f t="shared" si="10"/>
        <v>177.81</v>
      </c>
      <c r="DC172">
        <f t="shared" si="11"/>
        <v>96.53</v>
      </c>
    </row>
    <row r="173" spans="1:107" x14ac:dyDescent="0.2">
      <c r="A173">
        <f>ROW(Source!A161)</f>
        <v>161</v>
      </c>
      <c r="B173">
        <v>52430918</v>
      </c>
      <c r="C173">
        <v>52431777</v>
      </c>
      <c r="D173">
        <v>51868676</v>
      </c>
      <c r="E173">
        <v>1</v>
      </c>
      <c r="F173">
        <v>1</v>
      </c>
      <c r="G173">
        <v>27</v>
      </c>
      <c r="H173">
        <v>3</v>
      </c>
      <c r="I173" t="s">
        <v>448</v>
      </c>
      <c r="J173" t="s">
        <v>449</v>
      </c>
      <c r="K173" t="s">
        <v>450</v>
      </c>
      <c r="L173">
        <v>1339</v>
      </c>
      <c r="N173">
        <v>1007</v>
      </c>
      <c r="O173" t="s">
        <v>28</v>
      </c>
      <c r="P173" t="s">
        <v>28</v>
      </c>
      <c r="Q173">
        <v>1</v>
      </c>
      <c r="W173">
        <v>0</v>
      </c>
      <c r="X173">
        <v>426331755</v>
      </c>
      <c r="Y173">
        <v>4.3</v>
      </c>
      <c r="AA173">
        <v>3714.73</v>
      </c>
      <c r="AB173">
        <v>0</v>
      </c>
      <c r="AC173">
        <v>0</v>
      </c>
      <c r="AD173">
        <v>0</v>
      </c>
      <c r="AE173">
        <v>3714.73</v>
      </c>
      <c r="AF173">
        <v>0</v>
      </c>
      <c r="AG173">
        <v>0</v>
      </c>
      <c r="AH173">
        <v>0</v>
      </c>
      <c r="AI173">
        <v>1</v>
      </c>
      <c r="AJ173">
        <v>1</v>
      </c>
      <c r="AK173">
        <v>1</v>
      </c>
      <c r="AL173">
        <v>1</v>
      </c>
      <c r="AN173">
        <v>0</v>
      </c>
      <c r="AO173">
        <v>1</v>
      </c>
      <c r="AP173">
        <v>0</v>
      </c>
      <c r="AQ173">
        <v>0</v>
      </c>
      <c r="AR173">
        <v>0</v>
      </c>
      <c r="AS173" t="s">
        <v>3</v>
      </c>
      <c r="AT173">
        <v>4.3</v>
      </c>
      <c r="AU173" t="s">
        <v>3</v>
      </c>
      <c r="AV173">
        <v>0</v>
      </c>
      <c r="AW173">
        <v>2</v>
      </c>
      <c r="AX173">
        <v>52431785</v>
      </c>
      <c r="AY173">
        <v>1</v>
      </c>
      <c r="AZ173">
        <v>0</v>
      </c>
      <c r="BA173">
        <v>165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CX173">
        <f>Y173*Source!I161</f>
        <v>1.8584599999999998</v>
      </c>
      <c r="CY173">
        <f>AA173</f>
        <v>3714.73</v>
      </c>
      <c r="CZ173">
        <f>AE173</f>
        <v>3714.73</v>
      </c>
      <c r="DA173">
        <f>AI173</f>
        <v>1</v>
      </c>
      <c r="DB173">
        <f t="shared" si="10"/>
        <v>15973.34</v>
      </c>
      <c r="DC173">
        <f t="shared" si="11"/>
        <v>0</v>
      </c>
    </row>
    <row r="174" spans="1:107" x14ac:dyDescent="0.2">
      <c r="A174">
        <f>ROW(Source!A161)</f>
        <v>161</v>
      </c>
      <c r="B174">
        <v>52430918</v>
      </c>
      <c r="C174">
        <v>52431777</v>
      </c>
      <c r="D174">
        <v>51868752</v>
      </c>
      <c r="E174">
        <v>1</v>
      </c>
      <c r="F174">
        <v>1</v>
      </c>
      <c r="G174">
        <v>27</v>
      </c>
      <c r="H174">
        <v>3</v>
      </c>
      <c r="I174" t="s">
        <v>451</v>
      </c>
      <c r="J174" t="s">
        <v>452</v>
      </c>
      <c r="K174" t="s">
        <v>453</v>
      </c>
      <c r="L174">
        <v>1339</v>
      </c>
      <c r="N174">
        <v>1007</v>
      </c>
      <c r="O174" t="s">
        <v>28</v>
      </c>
      <c r="P174" t="s">
        <v>28</v>
      </c>
      <c r="Q174">
        <v>1</v>
      </c>
      <c r="W174">
        <v>0</v>
      </c>
      <c r="X174">
        <v>853860812</v>
      </c>
      <c r="Y174">
        <v>0.02</v>
      </c>
      <c r="AA174">
        <v>3392.59</v>
      </c>
      <c r="AB174">
        <v>0</v>
      </c>
      <c r="AC174">
        <v>0</v>
      </c>
      <c r="AD174">
        <v>0</v>
      </c>
      <c r="AE174">
        <v>3392.59</v>
      </c>
      <c r="AF174">
        <v>0</v>
      </c>
      <c r="AG174">
        <v>0</v>
      </c>
      <c r="AH174">
        <v>0</v>
      </c>
      <c r="AI174">
        <v>1</v>
      </c>
      <c r="AJ174">
        <v>1</v>
      </c>
      <c r="AK174">
        <v>1</v>
      </c>
      <c r="AL174">
        <v>1</v>
      </c>
      <c r="AN174">
        <v>0</v>
      </c>
      <c r="AO174">
        <v>1</v>
      </c>
      <c r="AP174">
        <v>0</v>
      </c>
      <c r="AQ174">
        <v>0</v>
      </c>
      <c r="AR174">
        <v>0</v>
      </c>
      <c r="AS174" t="s">
        <v>3</v>
      </c>
      <c r="AT174">
        <v>0.02</v>
      </c>
      <c r="AU174" t="s">
        <v>3</v>
      </c>
      <c r="AV174">
        <v>0</v>
      </c>
      <c r="AW174">
        <v>2</v>
      </c>
      <c r="AX174">
        <v>52431786</v>
      </c>
      <c r="AY174">
        <v>1</v>
      </c>
      <c r="AZ174">
        <v>0</v>
      </c>
      <c r="BA174">
        <v>166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CX174">
        <f>Y174*Source!I161</f>
        <v>8.6439999999999989E-3</v>
      </c>
      <c r="CY174">
        <f>AA174</f>
        <v>3392.59</v>
      </c>
      <c r="CZ174">
        <f>AE174</f>
        <v>3392.59</v>
      </c>
      <c r="DA174">
        <f>AI174</f>
        <v>1</v>
      </c>
      <c r="DB174">
        <f t="shared" si="10"/>
        <v>67.849999999999994</v>
      </c>
      <c r="DC174">
        <f t="shared" si="11"/>
        <v>0</v>
      </c>
    </row>
    <row r="175" spans="1:107" x14ac:dyDescent="0.2">
      <c r="A175">
        <f>ROW(Source!A161)</f>
        <v>161</v>
      </c>
      <c r="B175">
        <v>52430918</v>
      </c>
      <c r="C175">
        <v>52431777</v>
      </c>
      <c r="D175">
        <v>51869488</v>
      </c>
      <c r="E175">
        <v>1</v>
      </c>
      <c r="F175">
        <v>1</v>
      </c>
      <c r="G175">
        <v>27</v>
      </c>
      <c r="H175">
        <v>3</v>
      </c>
      <c r="I175" t="s">
        <v>454</v>
      </c>
      <c r="J175" t="s">
        <v>455</v>
      </c>
      <c r="K175" t="s">
        <v>456</v>
      </c>
      <c r="L175">
        <v>1339</v>
      </c>
      <c r="N175">
        <v>1007</v>
      </c>
      <c r="O175" t="s">
        <v>28</v>
      </c>
      <c r="P175" t="s">
        <v>28</v>
      </c>
      <c r="Q175">
        <v>1</v>
      </c>
      <c r="W175">
        <v>0</v>
      </c>
      <c r="X175">
        <v>892889602</v>
      </c>
      <c r="Y175">
        <v>1.6</v>
      </c>
      <c r="AA175">
        <v>11566.57</v>
      </c>
      <c r="AB175">
        <v>0</v>
      </c>
      <c r="AC175">
        <v>0</v>
      </c>
      <c r="AD175">
        <v>0</v>
      </c>
      <c r="AE175">
        <v>11566.57</v>
      </c>
      <c r="AF175">
        <v>0</v>
      </c>
      <c r="AG175">
        <v>0</v>
      </c>
      <c r="AH175">
        <v>0</v>
      </c>
      <c r="AI175">
        <v>1</v>
      </c>
      <c r="AJ175">
        <v>1</v>
      </c>
      <c r="AK175">
        <v>1</v>
      </c>
      <c r="AL175">
        <v>1</v>
      </c>
      <c r="AN175">
        <v>0</v>
      </c>
      <c r="AO175">
        <v>1</v>
      </c>
      <c r="AP175">
        <v>0</v>
      </c>
      <c r="AQ175">
        <v>0</v>
      </c>
      <c r="AR175">
        <v>0</v>
      </c>
      <c r="AS175" t="s">
        <v>3</v>
      </c>
      <c r="AT175">
        <v>1.6</v>
      </c>
      <c r="AU175" t="s">
        <v>3</v>
      </c>
      <c r="AV175">
        <v>0</v>
      </c>
      <c r="AW175">
        <v>2</v>
      </c>
      <c r="AX175">
        <v>52431787</v>
      </c>
      <c r="AY175">
        <v>1</v>
      </c>
      <c r="AZ175">
        <v>0</v>
      </c>
      <c r="BA175">
        <v>167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CX175">
        <f>Y175*Source!I161</f>
        <v>0.69152000000000002</v>
      </c>
      <c r="CY175">
        <f>AA175</f>
        <v>11566.57</v>
      </c>
      <c r="CZ175">
        <f>AE175</f>
        <v>11566.57</v>
      </c>
      <c r="DA175">
        <f>AI175</f>
        <v>1</v>
      </c>
      <c r="DB175">
        <f t="shared" si="10"/>
        <v>18506.509999999998</v>
      </c>
      <c r="DC175">
        <f t="shared" si="11"/>
        <v>0</v>
      </c>
    </row>
    <row r="176" spans="1:107" x14ac:dyDescent="0.2">
      <c r="A176">
        <f>ROW(Source!A162)</f>
        <v>162</v>
      </c>
      <c r="B176">
        <v>52430918</v>
      </c>
      <c r="C176">
        <v>52431788</v>
      </c>
      <c r="D176">
        <v>51848379</v>
      </c>
      <c r="E176">
        <v>27</v>
      </c>
      <c r="F176">
        <v>1</v>
      </c>
      <c r="G176">
        <v>27</v>
      </c>
      <c r="H176">
        <v>1</v>
      </c>
      <c r="I176" t="s">
        <v>378</v>
      </c>
      <c r="J176" t="s">
        <v>3</v>
      </c>
      <c r="K176" t="s">
        <v>379</v>
      </c>
      <c r="L176">
        <v>1191</v>
      </c>
      <c r="N176">
        <v>1013</v>
      </c>
      <c r="O176" t="s">
        <v>380</v>
      </c>
      <c r="P176" t="s">
        <v>380</v>
      </c>
      <c r="Q176">
        <v>1</v>
      </c>
      <c r="W176">
        <v>0</v>
      </c>
      <c r="X176">
        <v>476480486</v>
      </c>
      <c r="Y176">
        <v>902.75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1</v>
      </c>
      <c r="AJ176">
        <v>1</v>
      </c>
      <c r="AK176">
        <v>1</v>
      </c>
      <c r="AL176">
        <v>1</v>
      </c>
      <c r="AN176">
        <v>0</v>
      </c>
      <c r="AO176">
        <v>1</v>
      </c>
      <c r="AP176">
        <v>0</v>
      </c>
      <c r="AQ176">
        <v>0</v>
      </c>
      <c r="AR176">
        <v>0</v>
      </c>
      <c r="AS176" t="s">
        <v>3</v>
      </c>
      <c r="AT176">
        <v>902.75</v>
      </c>
      <c r="AU176" t="s">
        <v>3</v>
      </c>
      <c r="AV176">
        <v>1</v>
      </c>
      <c r="AW176">
        <v>2</v>
      </c>
      <c r="AX176">
        <v>52431800</v>
      </c>
      <c r="AY176">
        <v>1</v>
      </c>
      <c r="AZ176">
        <v>0</v>
      </c>
      <c r="BA176">
        <v>168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CX176">
        <f>Y176*Source!I162</f>
        <v>27.0825</v>
      </c>
      <c r="CY176">
        <f>AD176</f>
        <v>0</v>
      </c>
      <c r="CZ176">
        <f>AH176</f>
        <v>0</v>
      </c>
      <c r="DA176">
        <f>AL176</f>
        <v>1</v>
      </c>
      <c r="DB176">
        <f t="shared" si="10"/>
        <v>0</v>
      </c>
      <c r="DC176">
        <f t="shared" si="11"/>
        <v>0</v>
      </c>
    </row>
    <row r="177" spans="1:107" x14ac:dyDescent="0.2">
      <c r="A177">
        <f>ROW(Source!A162)</f>
        <v>162</v>
      </c>
      <c r="B177">
        <v>52430918</v>
      </c>
      <c r="C177">
        <v>52431788</v>
      </c>
      <c r="D177">
        <v>51864800</v>
      </c>
      <c r="E177">
        <v>1</v>
      </c>
      <c r="F177">
        <v>1</v>
      </c>
      <c r="G177">
        <v>27</v>
      </c>
      <c r="H177">
        <v>2</v>
      </c>
      <c r="I177" t="s">
        <v>91</v>
      </c>
      <c r="J177" t="s">
        <v>93</v>
      </c>
      <c r="K177" t="s">
        <v>92</v>
      </c>
      <c r="L177">
        <v>1368</v>
      </c>
      <c r="N177">
        <v>1011</v>
      </c>
      <c r="O177" t="s">
        <v>84</v>
      </c>
      <c r="P177" t="s">
        <v>84</v>
      </c>
      <c r="Q177">
        <v>1</v>
      </c>
      <c r="W177">
        <v>1</v>
      </c>
      <c r="X177">
        <v>-1957514721</v>
      </c>
      <c r="Y177">
        <v>-0.09</v>
      </c>
      <c r="AA177">
        <v>0</v>
      </c>
      <c r="AB177">
        <v>1009.65</v>
      </c>
      <c r="AC177">
        <v>554.42999999999995</v>
      </c>
      <c r="AD177">
        <v>0</v>
      </c>
      <c r="AE177">
        <v>0</v>
      </c>
      <c r="AF177">
        <v>1009.65</v>
      </c>
      <c r="AG177">
        <v>554.42999999999995</v>
      </c>
      <c r="AH177">
        <v>0</v>
      </c>
      <c r="AI177">
        <v>1</v>
      </c>
      <c r="AJ177">
        <v>1</v>
      </c>
      <c r="AK177">
        <v>1</v>
      </c>
      <c r="AL177">
        <v>1</v>
      </c>
      <c r="AN177">
        <v>0</v>
      </c>
      <c r="AO177">
        <v>1</v>
      </c>
      <c r="AP177">
        <v>0</v>
      </c>
      <c r="AQ177">
        <v>0</v>
      </c>
      <c r="AR177">
        <v>0</v>
      </c>
      <c r="AS177" t="s">
        <v>3</v>
      </c>
      <c r="AT177">
        <v>-0.09</v>
      </c>
      <c r="AU177" t="s">
        <v>3</v>
      </c>
      <c r="AV177">
        <v>0</v>
      </c>
      <c r="AW177">
        <v>2</v>
      </c>
      <c r="AX177">
        <v>52431801</v>
      </c>
      <c r="AY177">
        <v>1</v>
      </c>
      <c r="AZ177">
        <v>6144</v>
      </c>
      <c r="BA177">
        <v>169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CX177">
        <f>Y177*Source!I162</f>
        <v>-2.6999999999999997E-3</v>
      </c>
      <c r="CY177">
        <f>AB177</f>
        <v>1009.65</v>
      </c>
      <c r="CZ177">
        <f>AF177</f>
        <v>1009.65</v>
      </c>
      <c r="DA177">
        <f>AJ177</f>
        <v>1</v>
      </c>
      <c r="DB177">
        <f t="shared" si="10"/>
        <v>-90.87</v>
      </c>
      <c r="DC177">
        <f t="shared" si="11"/>
        <v>-49.9</v>
      </c>
    </row>
    <row r="178" spans="1:107" x14ac:dyDescent="0.2">
      <c r="A178">
        <f>ROW(Source!A162)</f>
        <v>162</v>
      </c>
      <c r="B178">
        <v>52430918</v>
      </c>
      <c r="C178">
        <v>52431788</v>
      </c>
      <c r="D178">
        <v>51865257</v>
      </c>
      <c r="E178">
        <v>1</v>
      </c>
      <c r="F178">
        <v>1</v>
      </c>
      <c r="G178">
        <v>27</v>
      </c>
      <c r="H178">
        <v>2</v>
      </c>
      <c r="I178" t="s">
        <v>87</v>
      </c>
      <c r="J178" t="s">
        <v>89</v>
      </c>
      <c r="K178" t="s">
        <v>88</v>
      </c>
      <c r="L178">
        <v>1368</v>
      </c>
      <c r="N178">
        <v>1011</v>
      </c>
      <c r="O178" t="s">
        <v>84</v>
      </c>
      <c r="P178" t="s">
        <v>84</v>
      </c>
      <c r="Q178">
        <v>1</v>
      </c>
      <c r="W178">
        <v>1</v>
      </c>
      <c r="X178">
        <v>-1757825014</v>
      </c>
      <c r="Y178">
        <v>-14.5</v>
      </c>
      <c r="AA178">
        <v>0</v>
      </c>
      <c r="AB178">
        <v>27.21</v>
      </c>
      <c r="AC178">
        <v>0.13</v>
      </c>
      <c r="AD178">
        <v>0</v>
      </c>
      <c r="AE178">
        <v>0</v>
      </c>
      <c r="AF178">
        <v>27.21</v>
      </c>
      <c r="AG178">
        <v>0.13</v>
      </c>
      <c r="AH178">
        <v>0</v>
      </c>
      <c r="AI178">
        <v>1</v>
      </c>
      <c r="AJ178">
        <v>1</v>
      </c>
      <c r="AK178">
        <v>1</v>
      </c>
      <c r="AL178">
        <v>1</v>
      </c>
      <c r="AN178">
        <v>0</v>
      </c>
      <c r="AO178">
        <v>1</v>
      </c>
      <c r="AP178">
        <v>0</v>
      </c>
      <c r="AQ178">
        <v>0</v>
      </c>
      <c r="AR178">
        <v>0</v>
      </c>
      <c r="AS178" t="s">
        <v>3</v>
      </c>
      <c r="AT178">
        <v>-14.5</v>
      </c>
      <c r="AU178" t="s">
        <v>3</v>
      </c>
      <c r="AV178">
        <v>0</v>
      </c>
      <c r="AW178">
        <v>2</v>
      </c>
      <c r="AX178">
        <v>52431802</v>
      </c>
      <c r="AY178">
        <v>1</v>
      </c>
      <c r="AZ178">
        <v>6144</v>
      </c>
      <c r="BA178">
        <v>170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CX178">
        <f>Y178*Source!I162</f>
        <v>-0.435</v>
      </c>
      <c r="CY178">
        <f>AB178</f>
        <v>27.21</v>
      </c>
      <c r="CZ178">
        <f>AF178</f>
        <v>27.21</v>
      </c>
      <c r="DA178">
        <f>AJ178</f>
        <v>1</v>
      </c>
      <c r="DB178">
        <f t="shared" si="10"/>
        <v>-394.55</v>
      </c>
      <c r="DC178">
        <f t="shared" si="11"/>
        <v>-1.89</v>
      </c>
    </row>
    <row r="179" spans="1:107" x14ac:dyDescent="0.2">
      <c r="A179">
        <f>ROW(Source!A162)</f>
        <v>162</v>
      </c>
      <c r="B179">
        <v>52430918</v>
      </c>
      <c r="C179">
        <v>52431788</v>
      </c>
      <c r="D179">
        <v>51865090</v>
      </c>
      <c r="E179">
        <v>1</v>
      </c>
      <c r="F179">
        <v>1</v>
      </c>
      <c r="G179">
        <v>27</v>
      </c>
      <c r="H179">
        <v>2</v>
      </c>
      <c r="I179" t="s">
        <v>82</v>
      </c>
      <c r="J179" t="s">
        <v>85</v>
      </c>
      <c r="K179" t="s">
        <v>83</v>
      </c>
      <c r="L179">
        <v>1368</v>
      </c>
      <c r="N179">
        <v>1011</v>
      </c>
      <c r="O179" t="s">
        <v>84</v>
      </c>
      <c r="P179" t="s">
        <v>84</v>
      </c>
      <c r="Q179">
        <v>1</v>
      </c>
      <c r="W179">
        <v>1</v>
      </c>
      <c r="X179">
        <v>1349119844</v>
      </c>
      <c r="Y179">
        <v>-5.44</v>
      </c>
      <c r="AA179">
        <v>0</v>
      </c>
      <c r="AB179">
        <v>10.82</v>
      </c>
      <c r="AC179">
        <v>2.97</v>
      </c>
      <c r="AD179">
        <v>0</v>
      </c>
      <c r="AE179">
        <v>0</v>
      </c>
      <c r="AF179">
        <v>10.82</v>
      </c>
      <c r="AG179">
        <v>2.97</v>
      </c>
      <c r="AH179">
        <v>0</v>
      </c>
      <c r="AI179">
        <v>1</v>
      </c>
      <c r="AJ179">
        <v>1</v>
      </c>
      <c r="AK179">
        <v>1</v>
      </c>
      <c r="AL179">
        <v>1</v>
      </c>
      <c r="AN179">
        <v>0</v>
      </c>
      <c r="AO179">
        <v>1</v>
      </c>
      <c r="AP179">
        <v>0</v>
      </c>
      <c r="AQ179">
        <v>0</v>
      </c>
      <c r="AR179">
        <v>0</v>
      </c>
      <c r="AS179" t="s">
        <v>3</v>
      </c>
      <c r="AT179">
        <v>-5.44</v>
      </c>
      <c r="AU179" t="s">
        <v>3</v>
      </c>
      <c r="AV179">
        <v>0</v>
      </c>
      <c r="AW179">
        <v>2</v>
      </c>
      <c r="AX179">
        <v>52431803</v>
      </c>
      <c r="AY179">
        <v>1</v>
      </c>
      <c r="AZ179">
        <v>6144</v>
      </c>
      <c r="BA179">
        <v>171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CX179">
        <f>Y179*Source!I162</f>
        <v>-0.16320000000000001</v>
      </c>
      <c r="CY179">
        <f>AB179</f>
        <v>10.82</v>
      </c>
      <c r="CZ179">
        <f>AF179</f>
        <v>10.82</v>
      </c>
      <c r="DA179">
        <f>AJ179</f>
        <v>1</v>
      </c>
      <c r="DB179">
        <f t="shared" si="10"/>
        <v>-58.86</v>
      </c>
      <c r="DC179">
        <f t="shared" si="11"/>
        <v>-16.16</v>
      </c>
    </row>
    <row r="180" spans="1:107" x14ac:dyDescent="0.2">
      <c r="A180">
        <f>ROW(Source!A162)</f>
        <v>162</v>
      </c>
      <c r="B180">
        <v>52430918</v>
      </c>
      <c r="C180">
        <v>52431788</v>
      </c>
      <c r="D180">
        <v>51867612</v>
      </c>
      <c r="E180">
        <v>1</v>
      </c>
      <c r="F180">
        <v>1</v>
      </c>
      <c r="G180">
        <v>27</v>
      </c>
      <c r="H180">
        <v>3</v>
      </c>
      <c r="I180" t="s">
        <v>99</v>
      </c>
      <c r="J180" t="s">
        <v>102</v>
      </c>
      <c r="K180" t="s">
        <v>100</v>
      </c>
      <c r="L180">
        <v>1348</v>
      </c>
      <c r="N180">
        <v>1009</v>
      </c>
      <c r="O180" t="s">
        <v>101</v>
      </c>
      <c r="P180" t="s">
        <v>101</v>
      </c>
      <c r="Q180">
        <v>1000</v>
      </c>
      <c r="W180">
        <v>1</v>
      </c>
      <c r="X180">
        <v>-672771621</v>
      </c>
      <c r="Y180">
        <v>-0.02</v>
      </c>
      <c r="AA180">
        <v>110781.14</v>
      </c>
      <c r="AB180">
        <v>0</v>
      </c>
      <c r="AC180">
        <v>0</v>
      </c>
      <c r="AD180">
        <v>0</v>
      </c>
      <c r="AE180">
        <v>110781.14</v>
      </c>
      <c r="AF180">
        <v>0</v>
      </c>
      <c r="AG180">
        <v>0</v>
      </c>
      <c r="AH180">
        <v>0</v>
      </c>
      <c r="AI180">
        <v>1</v>
      </c>
      <c r="AJ180">
        <v>1</v>
      </c>
      <c r="AK180">
        <v>1</v>
      </c>
      <c r="AL180">
        <v>1</v>
      </c>
      <c r="AN180">
        <v>0</v>
      </c>
      <c r="AO180">
        <v>1</v>
      </c>
      <c r="AP180">
        <v>0</v>
      </c>
      <c r="AQ180">
        <v>0</v>
      </c>
      <c r="AR180">
        <v>0</v>
      </c>
      <c r="AS180" t="s">
        <v>3</v>
      </c>
      <c r="AT180">
        <v>-0.02</v>
      </c>
      <c r="AU180" t="s">
        <v>3</v>
      </c>
      <c r="AV180">
        <v>0</v>
      </c>
      <c r="AW180">
        <v>2</v>
      </c>
      <c r="AX180">
        <v>52431804</v>
      </c>
      <c r="AY180">
        <v>1</v>
      </c>
      <c r="AZ180">
        <v>6144</v>
      </c>
      <c r="BA180">
        <v>172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CX180">
        <f>Y180*Source!I162</f>
        <v>-5.9999999999999995E-4</v>
      </c>
      <c r="CY180">
        <f t="shared" ref="CY180:CY186" si="12">AA180</f>
        <v>110781.14</v>
      </c>
      <c r="CZ180">
        <f t="shared" ref="CZ180:CZ186" si="13">AE180</f>
        <v>110781.14</v>
      </c>
      <c r="DA180">
        <f t="shared" ref="DA180:DA186" si="14">AI180</f>
        <v>1</v>
      </c>
      <c r="DB180">
        <f t="shared" si="10"/>
        <v>-2215.62</v>
      </c>
      <c r="DC180">
        <f t="shared" si="11"/>
        <v>0</v>
      </c>
    </row>
    <row r="181" spans="1:107" x14ac:dyDescent="0.2">
      <c r="A181">
        <f>ROW(Source!A162)</f>
        <v>162</v>
      </c>
      <c r="B181">
        <v>52430918</v>
      </c>
      <c r="C181">
        <v>52431788</v>
      </c>
      <c r="D181">
        <v>51866048</v>
      </c>
      <c r="E181">
        <v>1</v>
      </c>
      <c r="F181">
        <v>1</v>
      </c>
      <c r="G181">
        <v>27</v>
      </c>
      <c r="H181">
        <v>3</v>
      </c>
      <c r="I181" t="s">
        <v>77</v>
      </c>
      <c r="J181" t="s">
        <v>80</v>
      </c>
      <c r="K181" t="s">
        <v>78</v>
      </c>
      <c r="L181">
        <v>1356</v>
      </c>
      <c r="N181">
        <v>1010</v>
      </c>
      <c r="O181" t="s">
        <v>79</v>
      </c>
      <c r="P181" t="s">
        <v>79</v>
      </c>
      <c r="Q181">
        <v>1000</v>
      </c>
      <c r="W181">
        <v>1</v>
      </c>
      <c r="X181">
        <v>-477329452</v>
      </c>
      <c r="Y181">
        <v>-3.6999999999999998E-2</v>
      </c>
      <c r="AA181">
        <v>10419.43</v>
      </c>
      <c r="AB181">
        <v>0</v>
      </c>
      <c r="AC181">
        <v>0</v>
      </c>
      <c r="AD181">
        <v>0</v>
      </c>
      <c r="AE181">
        <v>10419.43</v>
      </c>
      <c r="AF181">
        <v>0</v>
      </c>
      <c r="AG181">
        <v>0</v>
      </c>
      <c r="AH181">
        <v>0</v>
      </c>
      <c r="AI181">
        <v>1</v>
      </c>
      <c r="AJ181">
        <v>1</v>
      </c>
      <c r="AK181">
        <v>1</v>
      </c>
      <c r="AL181">
        <v>1</v>
      </c>
      <c r="AN181">
        <v>0</v>
      </c>
      <c r="AO181">
        <v>1</v>
      </c>
      <c r="AP181">
        <v>0</v>
      </c>
      <c r="AQ181">
        <v>0</v>
      </c>
      <c r="AR181">
        <v>0</v>
      </c>
      <c r="AS181" t="s">
        <v>3</v>
      </c>
      <c r="AT181">
        <v>-3.6999999999999998E-2</v>
      </c>
      <c r="AU181" t="s">
        <v>3</v>
      </c>
      <c r="AV181">
        <v>0</v>
      </c>
      <c r="AW181">
        <v>2</v>
      </c>
      <c r="AX181">
        <v>52431805</v>
      </c>
      <c r="AY181">
        <v>1</v>
      </c>
      <c r="AZ181">
        <v>6144</v>
      </c>
      <c r="BA181">
        <v>173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CX181">
        <f>Y181*Source!I162</f>
        <v>-1.1099999999999999E-3</v>
      </c>
      <c r="CY181">
        <f t="shared" si="12"/>
        <v>10419.43</v>
      </c>
      <c r="CZ181">
        <f t="shared" si="13"/>
        <v>10419.43</v>
      </c>
      <c r="DA181">
        <f t="shared" si="14"/>
        <v>1</v>
      </c>
      <c r="DB181">
        <f t="shared" si="10"/>
        <v>-385.52</v>
      </c>
      <c r="DC181">
        <f t="shared" si="11"/>
        <v>0</v>
      </c>
    </row>
    <row r="182" spans="1:107" x14ac:dyDescent="0.2">
      <c r="A182">
        <f>ROW(Source!A162)</f>
        <v>162</v>
      </c>
      <c r="B182">
        <v>52430918</v>
      </c>
      <c r="C182">
        <v>52431788</v>
      </c>
      <c r="D182">
        <v>51868609</v>
      </c>
      <c r="E182">
        <v>1</v>
      </c>
      <c r="F182">
        <v>1</v>
      </c>
      <c r="G182">
        <v>27</v>
      </c>
      <c r="H182">
        <v>3</v>
      </c>
      <c r="I182" t="s">
        <v>95</v>
      </c>
      <c r="J182" t="s">
        <v>97</v>
      </c>
      <c r="K182" t="s">
        <v>96</v>
      </c>
      <c r="L182">
        <v>1339</v>
      </c>
      <c r="N182">
        <v>1007</v>
      </c>
      <c r="O182" t="s">
        <v>28</v>
      </c>
      <c r="P182" t="s">
        <v>28</v>
      </c>
      <c r="Q182">
        <v>1</v>
      </c>
      <c r="W182">
        <v>1</v>
      </c>
      <c r="X182">
        <v>395141172</v>
      </c>
      <c r="Y182">
        <v>-5</v>
      </c>
      <c r="AA182">
        <v>3040.38</v>
      </c>
      <c r="AB182">
        <v>0</v>
      </c>
      <c r="AC182">
        <v>0</v>
      </c>
      <c r="AD182">
        <v>0</v>
      </c>
      <c r="AE182">
        <v>3040.38</v>
      </c>
      <c r="AF182">
        <v>0</v>
      </c>
      <c r="AG182">
        <v>0</v>
      </c>
      <c r="AH182">
        <v>0</v>
      </c>
      <c r="AI182">
        <v>1</v>
      </c>
      <c r="AJ182">
        <v>1</v>
      </c>
      <c r="AK182">
        <v>1</v>
      </c>
      <c r="AL182">
        <v>1</v>
      </c>
      <c r="AN182">
        <v>0</v>
      </c>
      <c r="AO182">
        <v>1</v>
      </c>
      <c r="AP182">
        <v>0</v>
      </c>
      <c r="AQ182">
        <v>0</v>
      </c>
      <c r="AR182">
        <v>0</v>
      </c>
      <c r="AS182" t="s">
        <v>3</v>
      </c>
      <c r="AT182">
        <v>-5</v>
      </c>
      <c r="AU182" t="s">
        <v>3</v>
      </c>
      <c r="AV182">
        <v>0</v>
      </c>
      <c r="AW182">
        <v>2</v>
      </c>
      <c r="AX182">
        <v>52431806</v>
      </c>
      <c r="AY182">
        <v>1</v>
      </c>
      <c r="AZ182">
        <v>6144</v>
      </c>
      <c r="BA182">
        <v>174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CX182">
        <f>Y182*Source!I162</f>
        <v>-0.15</v>
      </c>
      <c r="CY182">
        <f t="shared" si="12"/>
        <v>3040.38</v>
      </c>
      <c r="CZ182">
        <f t="shared" si="13"/>
        <v>3040.38</v>
      </c>
      <c r="DA182">
        <f t="shared" si="14"/>
        <v>1</v>
      </c>
      <c r="DB182">
        <f t="shared" si="10"/>
        <v>-15201.9</v>
      </c>
      <c r="DC182">
        <f t="shared" si="11"/>
        <v>0</v>
      </c>
    </row>
    <row r="183" spans="1:107" x14ac:dyDescent="0.2">
      <c r="A183">
        <f>ROW(Source!A162)</f>
        <v>162</v>
      </c>
      <c r="B183">
        <v>52430918</v>
      </c>
      <c r="C183">
        <v>52431788</v>
      </c>
      <c r="D183">
        <v>51868749</v>
      </c>
      <c r="E183">
        <v>1</v>
      </c>
      <c r="F183">
        <v>1</v>
      </c>
      <c r="G183">
        <v>27</v>
      </c>
      <c r="H183">
        <v>3</v>
      </c>
      <c r="I183" t="s">
        <v>457</v>
      </c>
      <c r="J183" t="s">
        <v>458</v>
      </c>
      <c r="K183" t="s">
        <v>459</v>
      </c>
      <c r="L183">
        <v>1339</v>
      </c>
      <c r="N183">
        <v>1007</v>
      </c>
      <c r="O183" t="s">
        <v>28</v>
      </c>
      <c r="P183" t="s">
        <v>28</v>
      </c>
      <c r="Q183">
        <v>1</v>
      </c>
      <c r="W183">
        <v>0</v>
      </c>
      <c r="X183">
        <v>416525707</v>
      </c>
      <c r="Y183">
        <v>1.4999999999999999E-2</v>
      </c>
      <c r="AA183">
        <v>3323.4</v>
      </c>
      <c r="AB183">
        <v>0</v>
      </c>
      <c r="AC183">
        <v>0</v>
      </c>
      <c r="AD183">
        <v>0</v>
      </c>
      <c r="AE183">
        <v>3323.4</v>
      </c>
      <c r="AF183">
        <v>0</v>
      </c>
      <c r="AG183">
        <v>0</v>
      </c>
      <c r="AH183">
        <v>0</v>
      </c>
      <c r="AI183">
        <v>1</v>
      </c>
      <c r="AJ183">
        <v>1</v>
      </c>
      <c r="AK183">
        <v>1</v>
      </c>
      <c r="AL183">
        <v>1</v>
      </c>
      <c r="AN183">
        <v>0</v>
      </c>
      <c r="AO183">
        <v>1</v>
      </c>
      <c r="AP183">
        <v>0</v>
      </c>
      <c r="AQ183">
        <v>0</v>
      </c>
      <c r="AR183">
        <v>0</v>
      </c>
      <c r="AS183" t="s">
        <v>3</v>
      </c>
      <c r="AT183">
        <v>1.4999999999999999E-2</v>
      </c>
      <c r="AU183" t="s">
        <v>3</v>
      </c>
      <c r="AV183">
        <v>0</v>
      </c>
      <c r="AW183">
        <v>2</v>
      </c>
      <c r="AX183">
        <v>52431807</v>
      </c>
      <c r="AY183">
        <v>1</v>
      </c>
      <c r="AZ183">
        <v>0</v>
      </c>
      <c r="BA183">
        <v>175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CX183">
        <f>Y183*Source!I162</f>
        <v>4.4999999999999999E-4</v>
      </c>
      <c r="CY183">
        <f t="shared" si="12"/>
        <v>3323.4</v>
      </c>
      <c r="CZ183">
        <f t="shared" si="13"/>
        <v>3323.4</v>
      </c>
      <c r="DA183">
        <f t="shared" si="14"/>
        <v>1</v>
      </c>
      <c r="DB183">
        <f t="shared" si="10"/>
        <v>49.85</v>
      </c>
      <c r="DC183">
        <f t="shared" si="11"/>
        <v>0</v>
      </c>
    </row>
    <row r="184" spans="1:107" x14ac:dyDescent="0.2">
      <c r="A184">
        <f>ROW(Source!A162)</f>
        <v>162</v>
      </c>
      <c r="B184">
        <v>52430918</v>
      </c>
      <c r="C184">
        <v>52431788</v>
      </c>
      <c r="D184">
        <v>0</v>
      </c>
      <c r="E184">
        <v>27</v>
      </c>
      <c r="F184">
        <v>1</v>
      </c>
      <c r="G184">
        <v>27</v>
      </c>
      <c r="H184">
        <v>3</v>
      </c>
      <c r="I184" t="s">
        <v>104</v>
      </c>
      <c r="J184" t="s">
        <v>3</v>
      </c>
      <c r="K184" t="s">
        <v>105</v>
      </c>
      <c r="L184">
        <v>1354</v>
      </c>
      <c r="N184">
        <v>1010</v>
      </c>
      <c r="O184" t="s">
        <v>106</v>
      </c>
      <c r="P184" t="s">
        <v>106</v>
      </c>
      <c r="Q184">
        <v>1</v>
      </c>
      <c r="W184">
        <v>0</v>
      </c>
      <c r="X184">
        <v>-292158938</v>
      </c>
      <c r="Y184">
        <v>33.333333000000003</v>
      </c>
      <c r="AA184">
        <v>17250</v>
      </c>
      <c r="AB184">
        <v>0</v>
      </c>
      <c r="AC184">
        <v>0</v>
      </c>
      <c r="AD184">
        <v>0</v>
      </c>
      <c r="AE184">
        <v>17250</v>
      </c>
      <c r="AF184">
        <v>0</v>
      </c>
      <c r="AG184">
        <v>0</v>
      </c>
      <c r="AH184">
        <v>0</v>
      </c>
      <c r="AI184">
        <v>1</v>
      </c>
      <c r="AJ184">
        <v>1</v>
      </c>
      <c r="AK184">
        <v>1</v>
      </c>
      <c r="AL184">
        <v>1</v>
      </c>
      <c r="AN184">
        <v>0</v>
      </c>
      <c r="AO184">
        <v>0</v>
      </c>
      <c r="AP184">
        <v>0</v>
      </c>
      <c r="AQ184">
        <v>0</v>
      </c>
      <c r="AR184">
        <v>0</v>
      </c>
      <c r="AS184" t="s">
        <v>3</v>
      </c>
      <c r="AT184">
        <v>33.333333000000003</v>
      </c>
      <c r="AU184" t="s">
        <v>3</v>
      </c>
      <c r="AV184">
        <v>0</v>
      </c>
      <c r="AW184">
        <v>1</v>
      </c>
      <c r="AX184">
        <v>-1</v>
      </c>
      <c r="AY184">
        <v>0</v>
      </c>
      <c r="AZ184">
        <v>0</v>
      </c>
      <c r="BA184" t="s">
        <v>3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CX184">
        <f>Y184*Source!I162</f>
        <v>0.99999999000000006</v>
      </c>
      <c r="CY184">
        <f t="shared" si="12"/>
        <v>17250</v>
      </c>
      <c r="CZ184">
        <f t="shared" si="13"/>
        <v>17250</v>
      </c>
      <c r="DA184">
        <f t="shared" si="14"/>
        <v>1</v>
      </c>
      <c r="DB184">
        <f t="shared" si="10"/>
        <v>574999.99</v>
      </c>
      <c r="DC184">
        <f t="shared" si="11"/>
        <v>0</v>
      </c>
    </row>
    <row r="185" spans="1:107" x14ac:dyDescent="0.2">
      <c r="A185">
        <f>ROW(Source!A162)</f>
        <v>162</v>
      </c>
      <c r="B185">
        <v>52430918</v>
      </c>
      <c r="C185">
        <v>52431788</v>
      </c>
      <c r="D185">
        <v>0</v>
      </c>
      <c r="E185">
        <v>27</v>
      </c>
      <c r="F185">
        <v>1</v>
      </c>
      <c r="G185">
        <v>27</v>
      </c>
      <c r="H185">
        <v>3</v>
      </c>
      <c r="I185" t="s">
        <v>104</v>
      </c>
      <c r="J185" t="s">
        <v>3</v>
      </c>
      <c r="K185" t="s">
        <v>203</v>
      </c>
      <c r="L185">
        <v>1354</v>
      </c>
      <c r="N185">
        <v>1010</v>
      </c>
      <c r="O185" t="s">
        <v>106</v>
      </c>
      <c r="P185" t="s">
        <v>106</v>
      </c>
      <c r="Q185">
        <v>1</v>
      </c>
      <c r="W185">
        <v>0</v>
      </c>
      <c r="X185">
        <v>954585822</v>
      </c>
      <c r="Y185">
        <v>33.333333000000003</v>
      </c>
      <c r="AA185">
        <v>40166.67</v>
      </c>
      <c r="AB185">
        <v>0</v>
      </c>
      <c r="AC185">
        <v>0</v>
      </c>
      <c r="AD185">
        <v>0</v>
      </c>
      <c r="AE185">
        <v>40166.67</v>
      </c>
      <c r="AF185">
        <v>0</v>
      </c>
      <c r="AG185">
        <v>0</v>
      </c>
      <c r="AH185">
        <v>0</v>
      </c>
      <c r="AI185">
        <v>1</v>
      </c>
      <c r="AJ185">
        <v>1</v>
      </c>
      <c r="AK185">
        <v>1</v>
      </c>
      <c r="AL185">
        <v>1</v>
      </c>
      <c r="AN185">
        <v>0</v>
      </c>
      <c r="AO185">
        <v>0</v>
      </c>
      <c r="AP185">
        <v>0</v>
      </c>
      <c r="AQ185">
        <v>0</v>
      </c>
      <c r="AR185">
        <v>0</v>
      </c>
      <c r="AS185" t="s">
        <v>3</v>
      </c>
      <c r="AT185">
        <v>33.333333000000003</v>
      </c>
      <c r="AU185" t="s">
        <v>3</v>
      </c>
      <c r="AV185">
        <v>0</v>
      </c>
      <c r="AW185">
        <v>1</v>
      </c>
      <c r="AX185">
        <v>-1</v>
      </c>
      <c r="AY185">
        <v>0</v>
      </c>
      <c r="AZ185">
        <v>0</v>
      </c>
      <c r="BA185" t="s">
        <v>3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CX185">
        <f>Y185*Source!I162</f>
        <v>0.99999999000000006</v>
      </c>
      <c r="CY185">
        <f t="shared" si="12"/>
        <v>40166.67</v>
      </c>
      <c r="CZ185">
        <f t="shared" si="13"/>
        <v>40166.67</v>
      </c>
      <c r="DA185">
        <f t="shared" si="14"/>
        <v>1</v>
      </c>
      <c r="DB185">
        <f t="shared" si="10"/>
        <v>1338888.99</v>
      </c>
      <c r="DC185">
        <f t="shared" si="11"/>
        <v>0</v>
      </c>
    </row>
    <row r="186" spans="1:107" x14ac:dyDescent="0.2">
      <c r="A186">
        <f>ROW(Source!A162)</f>
        <v>162</v>
      </c>
      <c r="B186">
        <v>52430918</v>
      </c>
      <c r="C186">
        <v>52431788</v>
      </c>
      <c r="D186">
        <v>0</v>
      </c>
      <c r="E186">
        <v>27</v>
      </c>
      <c r="F186">
        <v>1</v>
      </c>
      <c r="G186">
        <v>27</v>
      </c>
      <c r="H186">
        <v>3</v>
      </c>
      <c r="I186" t="s">
        <v>104</v>
      </c>
      <c r="J186" t="s">
        <v>3</v>
      </c>
      <c r="K186" t="s">
        <v>116</v>
      </c>
      <c r="L186">
        <v>1354</v>
      </c>
      <c r="N186">
        <v>1010</v>
      </c>
      <c r="O186" t="s">
        <v>106</v>
      </c>
      <c r="P186" t="s">
        <v>106</v>
      </c>
      <c r="Q186">
        <v>1</v>
      </c>
      <c r="W186">
        <v>0</v>
      </c>
      <c r="X186">
        <v>-106681237</v>
      </c>
      <c r="Y186">
        <v>33.333333000000003</v>
      </c>
      <c r="AA186">
        <v>12391.67</v>
      </c>
      <c r="AB186">
        <v>0</v>
      </c>
      <c r="AC186">
        <v>0</v>
      </c>
      <c r="AD186">
        <v>0</v>
      </c>
      <c r="AE186">
        <v>12391.67</v>
      </c>
      <c r="AF186">
        <v>0</v>
      </c>
      <c r="AG186">
        <v>0</v>
      </c>
      <c r="AH186">
        <v>0</v>
      </c>
      <c r="AI186">
        <v>1</v>
      </c>
      <c r="AJ186">
        <v>1</v>
      </c>
      <c r="AK186">
        <v>1</v>
      </c>
      <c r="AL186">
        <v>1</v>
      </c>
      <c r="AN186">
        <v>0</v>
      </c>
      <c r="AO186">
        <v>0</v>
      </c>
      <c r="AP186">
        <v>0</v>
      </c>
      <c r="AQ186">
        <v>0</v>
      </c>
      <c r="AR186">
        <v>0</v>
      </c>
      <c r="AS186" t="s">
        <v>3</v>
      </c>
      <c r="AT186">
        <v>33.333333000000003</v>
      </c>
      <c r="AU186" t="s">
        <v>3</v>
      </c>
      <c r="AV186">
        <v>0</v>
      </c>
      <c r="AW186">
        <v>1</v>
      </c>
      <c r="AX186">
        <v>-1</v>
      </c>
      <c r="AY186">
        <v>0</v>
      </c>
      <c r="AZ186">
        <v>0</v>
      </c>
      <c r="BA186" t="s">
        <v>3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CX186">
        <f>Y186*Source!I162</f>
        <v>0.99999999000000006</v>
      </c>
      <c r="CY186">
        <f t="shared" si="12"/>
        <v>12391.67</v>
      </c>
      <c r="CZ186">
        <f t="shared" si="13"/>
        <v>12391.67</v>
      </c>
      <c r="DA186">
        <f t="shared" si="14"/>
        <v>1</v>
      </c>
      <c r="DB186">
        <f t="shared" si="10"/>
        <v>413055.66</v>
      </c>
      <c r="DC186">
        <f t="shared" si="11"/>
        <v>0</v>
      </c>
    </row>
    <row r="187" spans="1:107" x14ac:dyDescent="0.2">
      <c r="A187">
        <f>ROW(Source!A207)</f>
        <v>207</v>
      </c>
      <c r="B187">
        <v>52430918</v>
      </c>
      <c r="C187">
        <v>52431819</v>
      </c>
      <c r="D187">
        <v>51848379</v>
      </c>
      <c r="E187">
        <v>27</v>
      </c>
      <c r="F187">
        <v>1</v>
      </c>
      <c r="G187">
        <v>27</v>
      </c>
      <c r="H187">
        <v>1</v>
      </c>
      <c r="I187" t="s">
        <v>378</v>
      </c>
      <c r="J187" t="s">
        <v>3</v>
      </c>
      <c r="K187" t="s">
        <v>379</v>
      </c>
      <c r="L187">
        <v>1191</v>
      </c>
      <c r="N187">
        <v>1013</v>
      </c>
      <c r="O187" t="s">
        <v>380</v>
      </c>
      <c r="P187" t="s">
        <v>380</v>
      </c>
      <c r="Q187">
        <v>1</v>
      </c>
      <c r="W187">
        <v>0</v>
      </c>
      <c r="X187">
        <v>476480486</v>
      </c>
      <c r="Y187">
        <v>2.66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1</v>
      </c>
      <c r="AJ187">
        <v>1</v>
      </c>
      <c r="AK187">
        <v>1</v>
      </c>
      <c r="AL187">
        <v>1</v>
      </c>
      <c r="AN187">
        <v>0</v>
      </c>
      <c r="AO187">
        <v>1</v>
      </c>
      <c r="AP187">
        <v>0</v>
      </c>
      <c r="AQ187">
        <v>0</v>
      </c>
      <c r="AR187">
        <v>0</v>
      </c>
      <c r="AS187" t="s">
        <v>3</v>
      </c>
      <c r="AT187">
        <v>2.66</v>
      </c>
      <c r="AU187" t="s">
        <v>3</v>
      </c>
      <c r="AV187">
        <v>1</v>
      </c>
      <c r="AW187">
        <v>2</v>
      </c>
      <c r="AX187">
        <v>52431821</v>
      </c>
      <c r="AY187">
        <v>1</v>
      </c>
      <c r="AZ187">
        <v>0</v>
      </c>
      <c r="BA187">
        <v>178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CX187">
        <f>Y187*Source!I207</f>
        <v>67.031999999999996</v>
      </c>
      <c r="CY187">
        <f>AD187</f>
        <v>0</v>
      </c>
      <c r="CZ187">
        <f>AH187</f>
        <v>0</v>
      </c>
      <c r="DA187">
        <f>AL187</f>
        <v>1</v>
      </c>
      <c r="DB187">
        <f t="shared" si="10"/>
        <v>0</v>
      </c>
      <c r="DC187">
        <f t="shared" si="11"/>
        <v>0</v>
      </c>
    </row>
    <row r="188" spans="1:107" x14ac:dyDescent="0.2">
      <c r="A188">
        <f>ROW(Source!A208)</f>
        <v>208</v>
      </c>
      <c r="B188">
        <v>52430918</v>
      </c>
      <c r="C188">
        <v>52431822</v>
      </c>
      <c r="D188">
        <v>51848379</v>
      </c>
      <c r="E188">
        <v>27</v>
      </c>
      <c r="F188">
        <v>1</v>
      </c>
      <c r="G188">
        <v>27</v>
      </c>
      <c r="H188">
        <v>1</v>
      </c>
      <c r="I188" t="s">
        <v>378</v>
      </c>
      <c r="J188" t="s">
        <v>3</v>
      </c>
      <c r="K188" t="s">
        <v>379</v>
      </c>
      <c r="L188">
        <v>1191</v>
      </c>
      <c r="N188">
        <v>1013</v>
      </c>
      <c r="O188" t="s">
        <v>380</v>
      </c>
      <c r="P188" t="s">
        <v>380</v>
      </c>
      <c r="Q188">
        <v>1</v>
      </c>
      <c r="W188">
        <v>0</v>
      </c>
      <c r="X188">
        <v>476480486</v>
      </c>
      <c r="Y188">
        <v>16.559999999999999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1</v>
      </c>
      <c r="AJ188">
        <v>1</v>
      </c>
      <c r="AK188">
        <v>1</v>
      </c>
      <c r="AL188">
        <v>1</v>
      </c>
      <c r="AN188">
        <v>0</v>
      </c>
      <c r="AO188">
        <v>1</v>
      </c>
      <c r="AP188">
        <v>0</v>
      </c>
      <c r="AQ188">
        <v>0</v>
      </c>
      <c r="AR188">
        <v>0</v>
      </c>
      <c r="AS188" t="s">
        <v>3</v>
      </c>
      <c r="AT188">
        <v>16.559999999999999</v>
      </c>
      <c r="AU188" t="s">
        <v>3</v>
      </c>
      <c r="AV188">
        <v>1</v>
      </c>
      <c r="AW188">
        <v>2</v>
      </c>
      <c r="AX188">
        <v>52431831</v>
      </c>
      <c r="AY188">
        <v>1</v>
      </c>
      <c r="AZ188">
        <v>0</v>
      </c>
      <c r="BA188">
        <v>179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CX188">
        <f>Y188*Source!I208</f>
        <v>1.4903999999999997</v>
      </c>
      <c r="CY188">
        <f>AD188</f>
        <v>0</v>
      </c>
      <c r="CZ188">
        <f>AH188</f>
        <v>0</v>
      </c>
      <c r="DA188">
        <f>AL188</f>
        <v>1</v>
      </c>
      <c r="DB188">
        <f t="shared" si="10"/>
        <v>0</v>
      </c>
      <c r="DC188">
        <f t="shared" si="11"/>
        <v>0</v>
      </c>
    </row>
    <row r="189" spans="1:107" x14ac:dyDescent="0.2">
      <c r="A189">
        <f>ROW(Source!A208)</f>
        <v>208</v>
      </c>
      <c r="B189">
        <v>52430918</v>
      </c>
      <c r="C189">
        <v>52431822</v>
      </c>
      <c r="D189">
        <v>51864848</v>
      </c>
      <c r="E189">
        <v>1</v>
      </c>
      <c r="F189">
        <v>1</v>
      </c>
      <c r="G189">
        <v>27</v>
      </c>
      <c r="H189">
        <v>2</v>
      </c>
      <c r="I189" t="s">
        <v>387</v>
      </c>
      <c r="J189" t="s">
        <v>388</v>
      </c>
      <c r="K189" t="s">
        <v>389</v>
      </c>
      <c r="L189">
        <v>1368</v>
      </c>
      <c r="N189">
        <v>1011</v>
      </c>
      <c r="O189" t="s">
        <v>84</v>
      </c>
      <c r="P189" t="s">
        <v>84</v>
      </c>
      <c r="Q189">
        <v>1</v>
      </c>
      <c r="W189">
        <v>0</v>
      </c>
      <c r="X189">
        <v>2108619810</v>
      </c>
      <c r="Y189">
        <v>2.08</v>
      </c>
      <c r="AA189">
        <v>0</v>
      </c>
      <c r="AB189">
        <v>740.94</v>
      </c>
      <c r="AC189">
        <v>413.22</v>
      </c>
      <c r="AD189">
        <v>0</v>
      </c>
      <c r="AE189">
        <v>0</v>
      </c>
      <c r="AF189">
        <v>740.94</v>
      </c>
      <c r="AG189">
        <v>413.22</v>
      </c>
      <c r="AH189">
        <v>0</v>
      </c>
      <c r="AI189">
        <v>1</v>
      </c>
      <c r="AJ189">
        <v>1</v>
      </c>
      <c r="AK189">
        <v>1</v>
      </c>
      <c r="AL189">
        <v>1</v>
      </c>
      <c r="AN189">
        <v>0</v>
      </c>
      <c r="AO189">
        <v>1</v>
      </c>
      <c r="AP189">
        <v>0</v>
      </c>
      <c r="AQ189">
        <v>0</v>
      </c>
      <c r="AR189">
        <v>0</v>
      </c>
      <c r="AS189" t="s">
        <v>3</v>
      </c>
      <c r="AT189">
        <v>2.08</v>
      </c>
      <c r="AU189" t="s">
        <v>3</v>
      </c>
      <c r="AV189">
        <v>0</v>
      </c>
      <c r="AW189">
        <v>2</v>
      </c>
      <c r="AX189">
        <v>52431832</v>
      </c>
      <c r="AY189">
        <v>1</v>
      </c>
      <c r="AZ189">
        <v>0</v>
      </c>
      <c r="BA189">
        <v>180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CX189">
        <f>Y189*Source!I208</f>
        <v>0.18720000000000001</v>
      </c>
      <c r="CY189">
        <f>AB189</f>
        <v>740.94</v>
      </c>
      <c r="CZ189">
        <f>AF189</f>
        <v>740.94</v>
      </c>
      <c r="DA189">
        <f>AJ189</f>
        <v>1</v>
      </c>
      <c r="DB189">
        <f t="shared" si="10"/>
        <v>1541.16</v>
      </c>
      <c r="DC189">
        <f t="shared" si="11"/>
        <v>859.5</v>
      </c>
    </row>
    <row r="190" spans="1:107" x14ac:dyDescent="0.2">
      <c r="A190">
        <f>ROW(Source!A208)</f>
        <v>208</v>
      </c>
      <c r="B190">
        <v>52430918</v>
      </c>
      <c r="C190">
        <v>52431822</v>
      </c>
      <c r="D190">
        <v>51865003</v>
      </c>
      <c r="E190">
        <v>1</v>
      </c>
      <c r="F190">
        <v>1</v>
      </c>
      <c r="G190">
        <v>27</v>
      </c>
      <c r="H190">
        <v>2</v>
      </c>
      <c r="I190" t="s">
        <v>390</v>
      </c>
      <c r="J190" t="s">
        <v>391</v>
      </c>
      <c r="K190" t="s">
        <v>392</v>
      </c>
      <c r="L190">
        <v>1368</v>
      </c>
      <c r="N190">
        <v>1011</v>
      </c>
      <c r="O190" t="s">
        <v>84</v>
      </c>
      <c r="P190" t="s">
        <v>84</v>
      </c>
      <c r="Q190">
        <v>1</v>
      </c>
      <c r="W190">
        <v>0</v>
      </c>
      <c r="X190">
        <v>-1512295274</v>
      </c>
      <c r="Y190">
        <v>2.08</v>
      </c>
      <c r="AA190">
        <v>0</v>
      </c>
      <c r="AB190">
        <v>430.32</v>
      </c>
      <c r="AC190">
        <v>215.31</v>
      </c>
      <c r="AD190">
        <v>0</v>
      </c>
      <c r="AE190">
        <v>0</v>
      </c>
      <c r="AF190">
        <v>430.32</v>
      </c>
      <c r="AG190">
        <v>215.31</v>
      </c>
      <c r="AH190">
        <v>0</v>
      </c>
      <c r="AI190">
        <v>1</v>
      </c>
      <c r="AJ190">
        <v>1</v>
      </c>
      <c r="AK190">
        <v>1</v>
      </c>
      <c r="AL190">
        <v>1</v>
      </c>
      <c r="AN190">
        <v>0</v>
      </c>
      <c r="AO190">
        <v>1</v>
      </c>
      <c r="AP190">
        <v>0</v>
      </c>
      <c r="AQ190">
        <v>0</v>
      </c>
      <c r="AR190">
        <v>0</v>
      </c>
      <c r="AS190" t="s">
        <v>3</v>
      </c>
      <c r="AT190">
        <v>2.08</v>
      </c>
      <c r="AU190" t="s">
        <v>3</v>
      </c>
      <c r="AV190">
        <v>0</v>
      </c>
      <c r="AW190">
        <v>2</v>
      </c>
      <c r="AX190">
        <v>52431833</v>
      </c>
      <c r="AY190">
        <v>1</v>
      </c>
      <c r="AZ190">
        <v>0</v>
      </c>
      <c r="BA190">
        <v>181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CX190">
        <f>Y190*Source!I208</f>
        <v>0.18720000000000001</v>
      </c>
      <c r="CY190">
        <f>AB190</f>
        <v>430.32</v>
      </c>
      <c r="CZ190">
        <f>AF190</f>
        <v>430.32</v>
      </c>
      <c r="DA190">
        <f>AJ190</f>
        <v>1</v>
      </c>
      <c r="DB190">
        <f t="shared" si="10"/>
        <v>895.07</v>
      </c>
      <c r="DC190">
        <f t="shared" si="11"/>
        <v>447.84</v>
      </c>
    </row>
    <row r="191" spans="1:107" x14ac:dyDescent="0.2">
      <c r="A191">
        <f>ROW(Source!A208)</f>
        <v>208</v>
      </c>
      <c r="B191">
        <v>52430918</v>
      </c>
      <c r="C191">
        <v>52431822</v>
      </c>
      <c r="D191">
        <v>51865006</v>
      </c>
      <c r="E191">
        <v>1</v>
      </c>
      <c r="F191">
        <v>1</v>
      </c>
      <c r="G191">
        <v>27</v>
      </c>
      <c r="H191">
        <v>2</v>
      </c>
      <c r="I191" t="s">
        <v>393</v>
      </c>
      <c r="J191" t="s">
        <v>394</v>
      </c>
      <c r="K191" t="s">
        <v>395</v>
      </c>
      <c r="L191">
        <v>1368</v>
      </c>
      <c r="N191">
        <v>1011</v>
      </c>
      <c r="O191" t="s">
        <v>84</v>
      </c>
      <c r="P191" t="s">
        <v>84</v>
      </c>
      <c r="Q191">
        <v>1</v>
      </c>
      <c r="W191">
        <v>0</v>
      </c>
      <c r="X191">
        <v>2042885981</v>
      </c>
      <c r="Y191">
        <v>0.81</v>
      </c>
      <c r="AA191">
        <v>0</v>
      </c>
      <c r="AB191">
        <v>2020.59</v>
      </c>
      <c r="AC191">
        <v>458.56</v>
      </c>
      <c r="AD191">
        <v>0</v>
      </c>
      <c r="AE191">
        <v>0</v>
      </c>
      <c r="AF191">
        <v>2020.59</v>
      </c>
      <c r="AG191">
        <v>458.56</v>
      </c>
      <c r="AH191">
        <v>0</v>
      </c>
      <c r="AI191">
        <v>1</v>
      </c>
      <c r="AJ191">
        <v>1</v>
      </c>
      <c r="AK191">
        <v>1</v>
      </c>
      <c r="AL191">
        <v>1</v>
      </c>
      <c r="AN191">
        <v>0</v>
      </c>
      <c r="AO191">
        <v>1</v>
      </c>
      <c r="AP191">
        <v>0</v>
      </c>
      <c r="AQ191">
        <v>0</v>
      </c>
      <c r="AR191">
        <v>0</v>
      </c>
      <c r="AS191" t="s">
        <v>3</v>
      </c>
      <c r="AT191">
        <v>0.81</v>
      </c>
      <c r="AU191" t="s">
        <v>3</v>
      </c>
      <c r="AV191">
        <v>0</v>
      </c>
      <c r="AW191">
        <v>2</v>
      </c>
      <c r="AX191">
        <v>52431834</v>
      </c>
      <c r="AY191">
        <v>1</v>
      </c>
      <c r="AZ191">
        <v>0</v>
      </c>
      <c r="BA191">
        <v>182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CX191">
        <f>Y191*Source!I208</f>
        <v>7.2900000000000006E-2</v>
      </c>
      <c r="CY191">
        <f>AB191</f>
        <v>2020.59</v>
      </c>
      <c r="CZ191">
        <f>AF191</f>
        <v>2020.59</v>
      </c>
      <c r="DA191">
        <f>AJ191</f>
        <v>1</v>
      </c>
      <c r="DB191">
        <f t="shared" si="10"/>
        <v>1636.68</v>
      </c>
      <c r="DC191">
        <f t="shared" si="11"/>
        <v>371.43</v>
      </c>
    </row>
    <row r="192" spans="1:107" x14ac:dyDescent="0.2">
      <c r="A192">
        <f>ROW(Source!A208)</f>
        <v>208</v>
      </c>
      <c r="B192">
        <v>52430918</v>
      </c>
      <c r="C192">
        <v>52431822</v>
      </c>
      <c r="D192">
        <v>51865030</v>
      </c>
      <c r="E192">
        <v>1</v>
      </c>
      <c r="F192">
        <v>1</v>
      </c>
      <c r="G192">
        <v>27</v>
      </c>
      <c r="H192">
        <v>2</v>
      </c>
      <c r="I192" t="s">
        <v>396</v>
      </c>
      <c r="J192" t="s">
        <v>397</v>
      </c>
      <c r="K192" t="s">
        <v>398</v>
      </c>
      <c r="L192">
        <v>1368</v>
      </c>
      <c r="N192">
        <v>1011</v>
      </c>
      <c r="O192" t="s">
        <v>84</v>
      </c>
      <c r="P192" t="s">
        <v>84</v>
      </c>
      <c r="Q192">
        <v>1</v>
      </c>
      <c r="W192">
        <v>0</v>
      </c>
      <c r="X192">
        <v>1116182101</v>
      </c>
      <c r="Y192">
        <v>1.94</v>
      </c>
      <c r="AA192">
        <v>0</v>
      </c>
      <c r="AB192">
        <v>1412.71</v>
      </c>
      <c r="AC192">
        <v>641.32000000000005</v>
      </c>
      <c r="AD192">
        <v>0</v>
      </c>
      <c r="AE192">
        <v>0</v>
      </c>
      <c r="AF192">
        <v>1412.71</v>
      </c>
      <c r="AG192">
        <v>641.32000000000005</v>
      </c>
      <c r="AH192">
        <v>0</v>
      </c>
      <c r="AI192">
        <v>1</v>
      </c>
      <c r="AJ192">
        <v>1</v>
      </c>
      <c r="AK192">
        <v>1</v>
      </c>
      <c r="AL192">
        <v>1</v>
      </c>
      <c r="AN192">
        <v>0</v>
      </c>
      <c r="AO192">
        <v>1</v>
      </c>
      <c r="AP192">
        <v>0</v>
      </c>
      <c r="AQ192">
        <v>0</v>
      </c>
      <c r="AR192">
        <v>0</v>
      </c>
      <c r="AS192" t="s">
        <v>3</v>
      </c>
      <c r="AT192">
        <v>1.94</v>
      </c>
      <c r="AU192" t="s">
        <v>3</v>
      </c>
      <c r="AV192">
        <v>0</v>
      </c>
      <c r="AW192">
        <v>2</v>
      </c>
      <c r="AX192">
        <v>52431835</v>
      </c>
      <c r="AY192">
        <v>1</v>
      </c>
      <c r="AZ192">
        <v>0</v>
      </c>
      <c r="BA192">
        <v>183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CX192">
        <f>Y192*Source!I208</f>
        <v>0.17459999999999998</v>
      </c>
      <c r="CY192">
        <f>AB192</f>
        <v>1412.71</v>
      </c>
      <c r="CZ192">
        <f>AF192</f>
        <v>1412.71</v>
      </c>
      <c r="DA192">
        <f>AJ192</f>
        <v>1</v>
      </c>
      <c r="DB192">
        <f t="shared" si="10"/>
        <v>2740.66</v>
      </c>
      <c r="DC192">
        <f t="shared" si="11"/>
        <v>1244.1600000000001</v>
      </c>
    </row>
    <row r="193" spans="1:107" x14ac:dyDescent="0.2">
      <c r="A193">
        <f>ROW(Source!A208)</f>
        <v>208</v>
      </c>
      <c r="B193">
        <v>52430918</v>
      </c>
      <c r="C193">
        <v>52431822</v>
      </c>
      <c r="D193">
        <v>51864996</v>
      </c>
      <c r="E193">
        <v>1</v>
      </c>
      <c r="F193">
        <v>1</v>
      </c>
      <c r="G193">
        <v>27</v>
      </c>
      <c r="H193">
        <v>2</v>
      </c>
      <c r="I193" t="s">
        <v>399</v>
      </c>
      <c r="J193" t="s">
        <v>400</v>
      </c>
      <c r="K193" t="s">
        <v>401</v>
      </c>
      <c r="L193">
        <v>1368</v>
      </c>
      <c r="N193">
        <v>1011</v>
      </c>
      <c r="O193" t="s">
        <v>84</v>
      </c>
      <c r="P193" t="s">
        <v>84</v>
      </c>
      <c r="Q193">
        <v>1</v>
      </c>
      <c r="W193">
        <v>0</v>
      </c>
      <c r="X193">
        <v>2142121434</v>
      </c>
      <c r="Y193">
        <v>0.65</v>
      </c>
      <c r="AA193">
        <v>0</v>
      </c>
      <c r="AB193">
        <v>1213.3399999999999</v>
      </c>
      <c r="AC193">
        <v>461.6</v>
      </c>
      <c r="AD193">
        <v>0</v>
      </c>
      <c r="AE193">
        <v>0</v>
      </c>
      <c r="AF193">
        <v>1213.3399999999999</v>
      </c>
      <c r="AG193">
        <v>461.6</v>
      </c>
      <c r="AH193">
        <v>0</v>
      </c>
      <c r="AI193">
        <v>1</v>
      </c>
      <c r="AJ193">
        <v>1</v>
      </c>
      <c r="AK193">
        <v>1</v>
      </c>
      <c r="AL193">
        <v>1</v>
      </c>
      <c r="AN193">
        <v>0</v>
      </c>
      <c r="AO193">
        <v>1</v>
      </c>
      <c r="AP193">
        <v>0</v>
      </c>
      <c r="AQ193">
        <v>0</v>
      </c>
      <c r="AR193">
        <v>0</v>
      </c>
      <c r="AS193" t="s">
        <v>3</v>
      </c>
      <c r="AT193">
        <v>0.65</v>
      </c>
      <c r="AU193" t="s">
        <v>3</v>
      </c>
      <c r="AV193">
        <v>0</v>
      </c>
      <c r="AW193">
        <v>2</v>
      </c>
      <c r="AX193">
        <v>52431836</v>
      </c>
      <c r="AY193">
        <v>1</v>
      </c>
      <c r="AZ193">
        <v>0</v>
      </c>
      <c r="BA193">
        <v>184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CX193">
        <f>Y193*Source!I208</f>
        <v>5.8499999999999996E-2</v>
      </c>
      <c r="CY193">
        <f>AB193</f>
        <v>1213.3399999999999</v>
      </c>
      <c r="CZ193">
        <f>AF193</f>
        <v>1213.3399999999999</v>
      </c>
      <c r="DA193">
        <f>AJ193</f>
        <v>1</v>
      </c>
      <c r="DB193">
        <f t="shared" ref="DB193:DB256" si="15">ROUND(ROUND(AT193*CZ193,2),6)</f>
        <v>788.67</v>
      </c>
      <c r="DC193">
        <f t="shared" ref="DC193:DC256" si="16">ROUND(ROUND(AT193*AG193,2),6)</f>
        <v>300.04000000000002</v>
      </c>
    </row>
    <row r="194" spans="1:107" x14ac:dyDescent="0.2">
      <c r="A194">
        <f>ROW(Source!A208)</f>
        <v>208</v>
      </c>
      <c r="B194">
        <v>52430918</v>
      </c>
      <c r="C194">
        <v>52431822</v>
      </c>
      <c r="D194">
        <v>51866959</v>
      </c>
      <c r="E194">
        <v>1</v>
      </c>
      <c r="F194">
        <v>1</v>
      </c>
      <c r="G194">
        <v>27</v>
      </c>
      <c r="H194">
        <v>3</v>
      </c>
      <c r="I194" t="s">
        <v>402</v>
      </c>
      <c r="J194" t="s">
        <v>403</v>
      </c>
      <c r="K194" t="s">
        <v>404</v>
      </c>
      <c r="L194">
        <v>1339</v>
      </c>
      <c r="N194">
        <v>1007</v>
      </c>
      <c r="O194" t="s">
        <v>28</v>
      </c>
      <c r="P194" t="s">
        <v>28</v>
      </c>
      <c r="Q194">
        <v>1</v>
      </c>
      <c r="W194">
        <v>0</v>
      </c>
      <c r="X194">
        <v>1152750853</v>
      </c>
      <c r="Y194">
        <v>110</v>
      </c>
      <c r="AA194">
        <v>590.78</v>
      </c>
      <c r="AB194">
        <v>0</v>
      </c>
      <c r="AC194">
        <v>0</v>
      </c>
      <c r="AD194">
        <v>0</v>
      </c>
      <c r="AE194">
        <v>590.78</v>
      </c>
      <c r="AF194">
        <v>0</v>
      </c>
      <c r="AG194">
        <v>0</v>
      </c>
      <c r="AH194">
        <v>0</v>
      </c>
      <c r="AI194">
        <v>1</v>
      </c>
      <c r="AJ194">
        <v>1</v>
      </c>
      <c r="AK194">
        <v>1</v>
      </c>
      <c r="AL194">
        <v>1</v>
      </c>
      <c r="AN194">
        <v>0</v>
      </c>
      <c r="AO194">
        <v>1</v>
      </c>
      <c r="AP194">
        <v>0</v>
      </c>
      <c r="AQ194">
        <v>0</v>
      </c>
      <c r="AR194">
        <v>0</v>
      </c>
      <c r="AS194" t="s">
        <v>3</v>
      </c>
      <c r="AT194">
        <v>110</v>
      </c>
      <c r="AU194" t="s">
        <v>3</v>
      </c>
      <c r="AV194">
        <v>0</v>
      </c>
      <c r="AW194">
        <v>2</v>
      </c>
      <c r="AX194">
        <v>52431837</v>
      </c>
      <c r="AY194">
        <v>1</v>
      </c>
      <c r="AZ194">
        <v>0</v>
      </c>
      <c r="BA194">
        <v>185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  <c r="CX194">
        <f>Y194*Source!I208</f>
        <v>9.9</v>
      </c>
      <c r="CY194">
        <f>AA194</f>
        <v>590.78</v>
      </c>
      <c r="CZ194">
        <f>AE194</f>
        <v>590.78</v>
      </c>
      <c r="DA194">
        <f>AI194</f>
        <v>1</v>
      </c>
      <c r="DB194">
        <f t="shared" si="15"/>
        <v>64985.8</v>
      </c>
      <c r="DC194">
        <f t="shared" si="16"/>
        <v>0</v>
      </c>
    </row>
    <row r="195" spans="1:107" x14ac:dyDescent="0.2">
      <c r="A195">
        <f>ROW(Source!A208)</f>
        <v>208</v>
      </c>
      <c r="B195">
        <v>52430918</v>
      </c>
      <c r="C195">
        <v>52431822</v>
      </c>
      <c r="D195">
        <v>51867705</v>
      </c>
      <c r="E195">
        <v>1</v>
      </c>
      <c r="F195">
        <v>1</v>
      </c>
      <c r="G195">
        <v>27</v>
      </c>
      <c r="H195">
        <v>3</v>
      </c>
      <c r="I195" t="s">
        <v>405</v>
      </c>
      <c r="J195" t="s">
        <v>406</v>
      </c>
      <c r="K195" t="s">
        <v>407</v>
      </c>
      <c r="L195">
        <v>1339</v>
      </c>
      <c r="N195">
        <v>1007</v>
      </c>
      <c r="O195" t="s">
        <v>28</v>
      </c>
      <c r="P195" t="s">
        <v>28</v>
      </c>
      <c r="Q195">
        <v>1</v>
      </c>
      <c r="W195">
        <v>0</v>
      </c>
      <c r="X195">
        <v>1927597627</v>
      </c>
      <c r="Y195">
        <v>5</v>
      </c>
      <c r="AA195">
        <v>35.25</v>
      </c>
      <c r="AB195">
        <v>0</v>
      </c>
      <c r="AC195">
        <v>0</v>
      </c>
      <c r="AD195">
        <v>0</v>
      </c>
      <c r="AE195">
        <v>35.25</v>
      </c>
      <c r="AF195">
        <v>0</v>
      </c>
      <c r="AG195">
        <v>0</v>
      </c>
      <c r="AH195">
        <v>0</v>
      </c>
      <c r="AI195">
        <v>1</v>
      </c>
      <c r="AJ195">
        <v>1</v>
      </c>
      <c r="AK195">
        <v>1</v>
      </c>
      <c r="AL195">
        <v>1</v>
      </c>
      <c r="AN195">
        <v>0</v>
      </c>
      <c r="AO195">
        <v>1</v>
      </c>
      <c r="AP195">
        <v>0</v>
      </c>
      <c r="AQ195">
        <v>0</v>
      </c>
      <c r="AR195">
        <v>0</v>
      </c>
      <c r="AS195" t="s">
        <v>3</v>
      </c>
      <c r="AT195">
        <v>5</v>
      </c>
      <c r="AU195" t="s">
        <v>3</v>
      </c>
      <c r="AV195">
        <v>0</v>
      </c>
      <c r="AW195">
        <v>2</v>
      </c>
      <c r="AX195">
        <v>52431838</v>
      </c>
      <c r="AY195">
        <v>1</v>
      </c>
      <c r="AZ195">
        <v>0</v>
      </c>
      <c r="BA195">
        <v>186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CX195">
        <f>Y195*Source!I208</f>
        <v>0.44999999999999996</v>
      </c>
      <c r="CY195">
        <f>AA195</f>
        <v>35.25</v>
      </c>
      <c r="CZ195">
        <f>AE195</f>
        <v>35.25</v>
      </c>
      <c r="DA195">
        <f>AI195</f>
        <v>1</v>
      </c>
      <c r="DB195">
        <f t="shared" si="15"/>
        <v>176.25</v>
      </c>
      <c r="DC195">
        <f t="shared" si="16"/>
        <v>0</v>
      </c>
    </row>
    <row r="196" spans="1:107" x14ac:dyDescent="0.2">
      <c r="A196">
        <f>ROW(Source!A209)</f>
        <v>209</v>
      </c>
      <c r="B196">
        <v>52430918</v>
      </c>
      <c r="C196">
        <v>52431839</v>
      </c>
      <c r="D196">
        <v>51848379</v>
      </c>
      <c r="E196">
        <v>27</v>
      </c>
      <c r="F196">
        <v>1</v>
      </c>
      <c r="G196">
        <v>27</v>
      </c>
      <c r="H196">
        <v>1</v>
      </c>
      <c r="I196" t="s">
        <v>378</v>
      </c>
      <c r="J196" t="s">
        <v>3</v>
      </c>
      <c r="K196" t="s">
        <v>379</v>
      </c>
      <c r="L196">
        <v>1191</v>
      </c>
      <c r="N196">
        <v>1013</v>
      </c>
      <c r="O196" t="s">
        <v>380</v>
      </c>
      <c r="P196" t="s">
        <v>380</v>
      </c>
      <c r="Q196">
        <v>1</v>
      </c>
      <c r="W196">
        <v>0</v>
      </c>
      <c r="X196">
        <v>476480486</v>
      </c>
      <c r="Y196">
        <v>27.94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1</v>
      </c>
      <c r="AJ196">
        <v>1</v>
      </c>
      <c r="AK196">
        <v>1</v>
      </c>
      <c r="AL196">
        <v>1</v>
      </c>
      <c r="AN196">
        <v>0</v>
      </c>
      <c r="AO196">
        <v>1</v>
      </c>
      <c r="AP196">
        <v>0</v>
      </c>
      <c r="AQ196">
        <v>0</v>
      </c>
      <c r="AR196">
        <v>0</v>
      </c>
      <c r="AS196" t="s">
        <v>3</v>
      </c>
      <c r="AT196">
        <v>27.94</v>
      </c>
      <c r="AU196" t="s">
        <v>3</v>
      </c>
      <c r="AV196">
        <v>1</v>
      </c>
      <c r="AW196">
        <v>2</v>
      </c>
      <c r="AX196">
        <v>52431846</v>
      </c>
      <c r="AY196">
        <v>1</v>
      </c>
      <c r="AZ196">
        <v>0</v>
      </c>
      <c r="BA196">
        <v>187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CX196">
        <f>Y196*Source!I209</f>
        <v>25.146000000000001</v>
      </c>
      <c r="CY196">
        <f>AD196</f>
        <v>0</v>
      </c>
      <c r="CZ196">
        <f>AH196</f>
        <v>0</v>
      </c>
      <c r="DA196">
        <f>AL196</f>
        <v>1</v>
      </c>
      <c r="DB196">
        <f t="shared" si="15"/>
        <v>0</v>
      </c>
      <c r="DC196">
        <f t="shared" si="16"/>
        <v>0</v>
      </c>
    </row>
    <row r="197" spans="1:107" x14ac:dyDescent="0.2">
      <c r="A197">
        <f>ROW(Source!A209)</f>
        <v>209</v>
      </c>
      <c r="B197">
        <v>52430918</v>
      </c>
      <c r="C197">
        <v>52431839</v>
      </c>
      <c r="D197">
        <v>51865006</v>
      </c>
      <c r="E197">
        <v>1</v>
      </c>
      <c r="F197">
        <v>1</v>
      </c>
      <c r="G197">
        <v>27</v>
      </c>
      <c r="H197">
        <v>2</v>
      </c>
      <c r="I197" t="s">
        <v>393</v>
      </c>
      <c r="J197" t="s">
        <v>394</v>
      </c>
      <c r="K197" t="s">
        <v>395</v>
      </c>
      <c r="L197">
        <v>1368</v>
      </c>
      <c r="N197">
        <v>1011</v>
      </c>
      <c r="O197" t="s">
        <v>84</v>
      </c>
      <c r="P197" t="s">
        <v>84</v>
      </c>
      <c r="Q197">
        <v>1</v>
      </c>
      <c r="W197">
        <v>0</v>
      </c>
      <c r="X197">
        <v>2042885981</v>
      </c>
      <c r="Y197">
        <v>0.59</v>
      </c>
      <c r="AA197">
        <v>0</v>
      </c>
      <c r="AB197">
        <v>2020.59</v>
      </c>
      <c r="AC197">
        <v>458.56</v>
      </c>
      <c r="AD197">
        <v>0</v>
      </c>
      <c r="AE197">
        <v>0</v>
      </c>
      <c r="AF197">
        <v>2020.59</v>
      </c>
      <c r="AG197">
        <v>458.56</v>
      </c>
      <c r="AH197">
        <v>0</v>
      </c>
      <c r="AI197">
        <v>1</v>
      </c>
      <c r="AJ197">
        <v>1</v>
      </c>
      <c r="AK197">
        <v>1</v>
      </c>
      <c r="AL197">
        <v>1</v>
      </c>
      <c r="AN197">
        <v>0</v>
      </c>
      <c r="AO197">
        <v>1</v>
      </c>
      <c r="AP197">
        <v>0</v>
      </c>
      <c r="AQ197">
        <v>0</v>
      </c>
      <c r="AR197">
        <v>0</v>
      </c>
      <c r="AS197" t="s">
        <v>3</v>
      </c>
      <c r="AT197">
        <v>0.59</v>
      </c>
      <c r="AU197" t="s">
        <v>3</v>
      </c>
      <c r="AV197">
        <v>0</v>
      </c>
      <c r="AW197">
        <v>2</v>
      </c>
      <c r="AX197">
        <v>52431847</v>
      </c>
      <c r="AY197">
        <v>1</v>
      </c>
      <c r="AZ197">
        <v>0</v>
      </c>
      <c r="BA197">
        <v>188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CX197">
        <f>Y197*Source!I209</f>
        <v>0.53100000000000003</v>
      </c>
      <c r="CY197">
        <f>AB197</f>
        <v>2020.59</v>
      </c>
      <c r="CZ197">
        <f>AF197</f>
        <v>2020.59</v>
      </c>
      <c r="DA197">
        <f>AJ197</f>
        <v>1</v>
      </c>
      <c r="DB197">
        <f t="shared" si="15"/>
        <v>1192.1500000000001</v>
      </c>
      <c r="DC197">
        <f t="shared" si="16"/>
        <v>270.55</v>
      </c>
    </row>
    <row r="198" spans="1:107" x14ac:dyDescent="0.2">
      <c r="A198">
        <f>ROW(Source!A209)</f>
        <v>209</v>
      </c>
      <c r="B198">
        <v>52430918</v>
      </c>
      <c r="C198">
        <v>52431839</v>
      </c>
      <c r="D198">
        <v>51864991</v>
      </c>
      <c r="E198">
        <v>1</v>
      </c>
      <c r="F198">
        <v>1</v>
      </c>
      <c r="G198">
        <v>27</v>
      </c>
      <c r="H198">
        <v>2</v>
      </c>
      <c r="I198" t="s">
        <v>408</v>
      </c>
      <c r="J198" t="s">
        <v>409</v>
      </c>
      <c r="K198" t="s">
        <v>410</v>
      </c>
      <c r="L198">
        <v>1368</v>
      </c>
      <c r="N198">
        <v>1011</v>
      </c>
      <c r="O198" t="s">
        <v>84</v>
      </c>
      <c r="P198" t="s">
        <v>84</v>
      </c>
      <c r="Q198">
        <v>1</v>
      </c>
      <c r="W198">
        <v>0</v>
      </c>
      <c r="X198">
        <v>-1043398787</v>
      </c>
      <c r="Y198">
        <v>1.62</v>
      </c>
      <c r="AA198">
        <v>0</v>
      </c>
      <c r="AB198">
        <v>1261.8699999999999</v>
      </c>
      <c r="AC198">
        <v>530.02</v>
      </c>
      <c r="AD198">
        <v>0</v>
      </c>
      <c r="AE198">
        <v>0</v>
      </c>
      <c r="AF198">
        <v>1261.8699999999999</v>
      </c>
      <c r="AG198">
        <v>530.02</v>
      </c>
      <c r="AH198">
        <v>0</v>
      </c>
      <c r="AI198">
        <v>1</v>
      </c>
      <c r="AJ198">
        <v>1</v>
      </c>
      <c r="AK198">
        <v>1</v>
      </c>
      <c r="AL198">
        <v>1</v>
      </c>
      <c r="AN198">
        <v>0</v>
      </c>
      <c r="AO198">
        <v>1</v>
      </c>
      <c r="AP198">
        <v>0</v>
      </c>
      <c r="AQ198">
        <v>0</v>
      </c>
      <c r="AR198">
        <v>0</v>
      </c>
      <c r="AS198" t="s">
        <v>3</v>
      </c>
      <c r="AT198">
        <v>1.62</v>
      </c>
      <c r="AU198" t="s">
        <v>3</v>
      </c>
      <c r="AV198">
        <v>0</v>
      </c>
      <c r="AW198">
        <v>2</v>
      </c>
      <c r="AX198">
        <v>52431848</v>
      </c>
      <c r="AY198">
        <v>1</v>
      </c>
      <c r="AZ198">
        <v>0</v>
      </c>
      <c r="BA198">
        <v>189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CX198">
        <f>Y198*Source!I209</f>
        <v>1.4580000000000002</v>
      </c>
      <c r="CY198">
        <f>AB198</f>
        <v>1261.8699999999999</v>
      </c>
      <c r="CZ198">
        <f>AF198</f>
        <v>1261.8699999999999</v>
      </c>
      <c r="DA198">
        <f>AJ198</f>
        <v>1</v>
      </c>
      <c r="DB198">
        <f t="shared" si="15"/>
        <v>2044.23</v>
      </c>
      <c r="DC198">
        <f t="shared" si="16"/>
        <v>858.63</v>
      </c>
    </row>
    <row r="199" spans="1:107" x14ac:dyDescent="0.2">
      <c r="A199">
        <f>ROW(Source!A209)</f>
        <v>209</v>
      </c>
      <c r="B199">
        <v>52430918</v>
      </c>
      <c r="C199">
        <v>52431839</v>
      </c>
      <c r="D199">
        <v>51866985</v>
      </c>
      <c r="E199">
        <v>1</v>
      </c>
      <c r="F199">
        <v>1</v>
      </c>
      <c r="G199">
        <v>27</v>
      </c>
      <c r="H199">
        <v>3</v>
      </c>
      <c r="I199" t="s">
        <v>41</v>
      </c>
      <c r="J199" t="s">
        <v>43</v>
      </c>
      <c r="K199" t="s">
        <v>42</v>
      </c>
      <c r="L199">
        <v>1339</v>
      </c>
      <c r="N199">
        <v>1007</v>
      </c>
      <c r="O199" t="s">
        <v>28</v>
      </c>
      <c r="P199" t="s">
        <v>28</v>
      </c>
      <c r="Q199">
        <v>1</v>
      </c>
      <c r="W199">
        <v>0</v>
      </c>
      <c r="X199">
        <v>-886425656</v>
      </c>
      <c r="Y199">
        <v>17.399999999999999</v>
      </c>
      <c r="AA199">
        <v>1763.75</v>
      </c>
      <c r="AB199">
        <v>0</v>
      </c>
      <c r="AC199">
        <v>0</v>
      </c>
      <c r="AD199">
        <v>0</v>
      </c>
      <c r="AE199">
        <v>1763.75</v>
      </c>
      <c r="AF199">
        <v>0</v>
      </c>
      <c r="AG199">
        <v>0</v>
      </c>
      <c r="AH199">
        <v>0</v>
      </c>
      <c r="AI199">
        <v>1</v>
      </c>
      <c r="AJ199">
        <v>1</v>
      </c>
      <c r="AK199">
        <v>1</v>
      </c>
      <c r="AL199">
        <v>1</v>
      </c>
      <c r="AN199">
        <v>0</v>
      </c>
      <c r="AO199">
        <v>0</v>
      </c>
      <c r="AP199">
        <v>0</v>
      </c>
      <c r="AQ199">
        <v>0</v>
      </c>
      <c r="AR199">
        <v>0</v>
      </c>
      <c r="AS199" t="s">
        <v>3</v>
      </c>
      <c r="AT199">
        <v>17.399999999999999</v>
      </c>
      <c r="AU199" t="s">
        <v>3</v>
      </c>
      <c r="AV199">
        <v>0</v>
      </c>
      <c r="AW199">
        <v>1</v>
      </c>
      <c r="AX199">
        <v>-1</v>
      </c>
      <c r="AY199">
        <v>0</v>
      </c>
      <c r="AZ199">
        <v>0</v>
      </c>
      <c r="BA199" t="s">
        <v>3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0</v>
      </c>
      <c r="CX199">
        <f>Y199*Source!I209</f>
        <v>15.659999999999998</v>
      </c>
      <c r="CY199">
        <f>AA199</f>
        <v>1763.75</v>
      </c>
      <c r="CZ199">
        <f>AE199</f>
        <v>1763.75</v>
      </c>
      <c r="DA199">
        <f>AI199</f>
        <v>1</v>
      </c>
      <c r="DB199">
        <f t="shared" si="15"/>
        <v>30689.25</v>
      </c>
      <c r="DC199">
        <f t="shared" si="16"/>
        <v>0</v>
      </c>
    </row>
    <row r="200" spans="1:107" x14ac:dyDescent="0.2">
      <c r="A200">
        <f>ROW(Source!A209)</f>
        <v>209</v>
      </c>
      <c r="B200">
        <v>52430918</v>
      </c>
      <c r="C200">
        <v>52431839</v>
      </c>
      <c r="D200">
        <v>51866999</v>
      </c>
      <c r="E200">
        <v>1</v>
      </c>
      <c r="F200">
        <v>1</v>
      </c>
      <c r="G200">
        <v>27</v>
      </c>
      <c r="H200">
        <v>3</v>
      </c>
      <c r="I200" t="s">
        <v>45</v>
      </c>
      <c r="J200" t="s">
        <v>47</v>
      </c>
      <c r="K200" t="s">
        <v>46</v>
      </c>
      <c r="L200">
        <v>1339</v>
      </c>
      <c r="N200">
        <v>1007</v>
      </c>
      <c r="O200" t="s">
        <v>28</v>
      </c>
      <c r="P200" t="s">
        <v>28</v>
      </c>
      <c r="Q200">
        <v>1</v>
      </c>
      <c r="W200">
        <v>1</v>
      </c>
      <c r="X200">
        <v>1744717608</v>
      </c>
      <c r="Y200">
        <v>-17.399999999999999</v>
      </c>
      <c r="AA200">
        <v>1436.5</v>
      </c>
      <c r="AB200">
        <v>0</v>
      </c>
      <c r="AC200">
        <v>0</v>
      </c>
      <c r="AD200">
        <v>0</v>
      </c>
      <c r="AE200">
        <v>1436.5</v>
      </c>
      <c r="AF200">
        <v>0</v>
      </c>
      <c r="AG200">
        <v>0</v>
      </c>
      <c r="AH200">
        <v>0</v>
      </c>
      <c r="AI200">
        <v>1</v>
      </c>
      <c r="AJ200">
        <v>1</v>
      </c>
      <c r="AK200">
        <v>1</v>
      </c>
      <c r="AL200">
        <v>1</v>
      </c>
      <c r="AN200">
        <v>0</v>
      </c>
      <c r="AO200">
        <v>1</v>
      </c>
      <c r="AP200">
        <v>0</v>
      </c>
      <c r="AQ200">
        <v>0</v>
      </c>
      <c r="AR200">
        <v>0</v>
      </c>
      <c r="AS200" t="s">
        <v>3</v>
      </c>
      <c r="AT200">
        <v>-17.399999999999999</v>
      </c>
      <c r="AU200" t="s">
        <v>3</v>
      </c>
      <c r="AV200">
        <v>0</v>
      </c>
      <c r="AW200">
        <v>2</v>
      </c>
      <c r="AX200">
        <v>52431849</v>
      </c>
      <c r="AY200">
        <v>1</v>
      </c>
      <c r="AZ200">
        <v>6144</v>
      </c>
      <c r="BA200">
        <v>190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0</v>
      </c>
      <c r="BW200">
        <v>0</v>
      </c>
      <c r="CX200">
        <f>Y200*Source!I209</f>
        <v>-15.659999999999998</v>
      </c>
      <c r="CY200">
        <f>AA200</f>
        <v>1436.5</v>
      </c>
      <c r="CZ200">
        <f>AE200</f>
        <v>1436.5</v>
      </c>
      <c r="DA200">
        <f>AI200</f>
        <v>1</v>
      </c>
      <c r="DB200">
        <f t="shared" si="15"/>
        <v>-24995.1</v>
      </c>
      <c r="DC200">
        <f t="shared" si="16"/>
        <v>0</v>
      </c>
    </row>
    <row r="201" spans="1:107" x14ac:dyDescent="0.2">
      <c r="A201">
        <f>ROW(Source!A209)</f>
        <v>209</v>
      </c>
      <c r="B201">
        <v>52430918</v>
      </c>
      <c r="C201">
        <v>52431839</v>
      </c>
      <c r="D201">
        <v>51867705</v>
      </c>
      <c r="E201">
        <v>1</v>
      </c>
      <c r="F201">
        <v>1</v>
      </c>
      <c r="G201">
        <v>27</v>
      </c>
      <c r="H201">
        <v>3</v>
      </c>
      <c r="I201" t="s">
        <v>405</v>
      </c>
      <c r="J201" t="s">
        <v>406</v>
      </c>
      <c r="K201" t="s">
        <v>407</v>
      </c>
      <c r="L201">
        <v>1339</v>
      </c>
      <c r="N201">
        <v>1007</v>
      </c>
      <c r="O201" t="s">
        <v>28</v>
      </c>
      <c r="P201" t="s">
        <v>28</v>
      </c>
      <c r="Q201">
        <v>1</v>
      </c>
      <c r="W201">
        <v>0</v>
      </c>
      <c r="X201">
        <v>1927597627</v>
      </c>
      <c r="Y201">
        <v>2</v>
      </c>
      <c r="AA201">
        <v>35.25</v>
      </c>
      <c r="AB201">
        <v>0</v>
      </c>
      <c r="AC201">
        <v>0</v>
      </c>
      <c r="AD201">
        <v>0</v>
      </c>
      <c r="AE201">
        <v>35.25</v>
      </c>
      <c r="AF201">
        <v>0</v>
      </c>
      <c r="AG201">
        <v>0</v>
      </c>
      <c r="AH201">
        <v>0</v>
      </c>
      <c r="AI201">
        <v>1</v>
      </c>
      <c r="AJ201">
        <v>1</v>
      </c>
      <c r="AK201">
        <v>1</v>
      </c>
      <c r="AL201">
        <v>1</v>
      </c>
      <c r="AN201">
        <v>0</v>
      </c>
      <c r="AO201">
        <v>1</v>
      </c>
      <c r="AP201">
        <v>0</v>
      </c>
      <c r="AQ201">
        <v>0</v>
      </c>
      <c r="AR201">
        <v>0</v>
      </c>
      <c r="AS201" t="s">
        <v>3</v>
      </c>
      <c r="AT201">
        <v>2</v>
      </c>
      <c r="AU201" t="s">
        <v>3</v>
      </c>
      <c r="AV201">
        <v>0</v>
      </c>
      <c r="AW201">
        <v>2</v>
      </c>
      <c r="AX201">
        <v>52431850</v>
      </c>
      <c r="AY201">
        <v>1</v>
      </c>
      <c r="AZ201">
        <v>0</v>
      </c>
      <c r="BA201">
        <v>191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0</v>
      </c>
      <c r="BT201">
        <v>0</v>
      </c>
      <c r="BU201">
        <v>0</v>
      </c>
      <c r="BV201">
        <v>0</v>
      </c>
      <c r="BW201">
        <v>0</v>
      </c>
      <c r="CX201">
        <f>Y201*Source!I209</f>
        <v>1.8</v>
      </c>
      <c r="CY201">
        <f>AA201</f>
        <v>35.25</v>
      </c>
      <c r="CZ201">
        <f>AE201</f>
        <v>35.25</v>
      </c>
      <c r="DA201">
        <f>AI201</f>
        <v>1</v>
      </c>
      <c r="DB201">
        <f t="shared" si="15"/>
        <v>70.5</v>
      </c>
      <c r="DC201">
        <f t="shared" si="16"/>
        <v>0</v>
      </c>
    </row>
    <row r="202" spans="1:107" x14ac:dyDescent="0.2">
      <c r="A202">
        <f>ROW(Source!A212)</f>
        <v>212</v>
      </c>
      <c r="B202">
        <v>52430918</v>
      </c>
      <c r="C202">
        <v>52431853</v>
      </c>
      <c r="D202">
        <v>51848379</v>
      </c>
      <c r="E202">
        <v>27</v>
      </c>
      <c r="F202">
        <v>1</v>
      </c>
      <c r="G202">
        <v>27</v>
      </c>
      <c r="H202">
        <v>1</v>
      </c>
      <c r="I202" t="s">
        <v>378</v>
      </c>
      <c r="J202" t="s">
        <v>3</v>
      </c>
      <c r="K202" t="s">
        <v>379</v>
      </c>
      <c r="L202">
        <v>1191</v>
      </c>
      <c r="N202">
        <v>1013</v>
      </c>
      <c r="O202" t="s">
        <v>380</v>
      </c>
      <c r="P202" t="s">
        <v>380</v>
      </c>
      <c r="Q202">
        <v>1</v>
      </c>
      <c r="W202">
        <v>0</v>
      </c>
      <c r="X202">
        <v>476480486</v>
      </c>
      <c r="Y202">
        <v>10.3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1</v>
      </c>
      <c r="AJ202">
        <v>1</v>
      </c>
      <c r="AK202">
        <v>1</v>
      </c>
      <c r="AL202">
        <v>1</v>
      </c>
      <c r="AN202">
        <v>0</v>
      </c>
      <c r="AO202">
        <v>1</v>
      </c>
      <c r="AP202">
        <v>0</v>
      </c>
      <c r="AQ202">
        <v>0</v>
      </c>
      <c r="AR202">
        <v>0</v>
      </c>
      <c r="AS202" t="s">
        <v>3</v>
      </c>
      <c r="AT202">
        <v>10.3</v>
      </c>
      <c r="AU202" t="s">
        <v>3</v>
      </c>
      <c r="AV202">
        <v>1</v>
      </c>
      <c r="AW202">
        <v>2</v>
      </c>
      <c r="AX202">
        <v>52431858</v>
      </c>
      <c r="AY202">
        <v>1</v>
      </c>
      <c r="AZ202">
        <v>0</v>
      </c>
      <c r="BA202">
        <v>192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  <c r="BT202">
        <v>0</v>
      </c>
      <c r="BU202">
        <v>0</v>
      </c>
      <c r="BV202">
        <v>0</v>
      </c>
      <c r="BW202">
        <v>0</v>
      </c>
      <c r="CX202">
        <f>Y202*Source!I212</f>
        <v>9.2700000000000014</v>
      </c>
      <c r="CY202">
        <f>AD202</f>
        <v>0</v>
      </c>
      <c r="CZ202">
        <f>AH202</f>
        <v>0</v>
      </c>
      <c r="DA202">
        <f>AL202</f>
        <v>1</v>
      </c>
      <c r="DB202">
        <f t="shared" si="15"/>
        <v>0</v>
      </c>
      <c r="DC202">
        <f t="shared" si="16"/>
        <v>0</v>
      </c>
    </row>
    <row r="203" spans="1:107" x14ac:dyDescent="0.2">
      <c r="A203">
        <f>ROW(Source!A212)</f>
        <v>212</v>
      </c>
      <c r="B203">
        <v>52430918</v>
      </c>
      <c r="C203">
        <v>52431853</v>
      </c>
      <c r="D203">
        <v>51864991</v>
      </c>
      <c r="E203">
        <v>1</v>
      </c>
      <c r="F203">
        <v>1</v>
      </c>
      <c r="G203">
        <v>27</v>
      </c>
      <c r="H203">
        <v>2</v>
      </c>
      <c r="I203" t="s">
        <v>408</v>
      </c>
      <c r="J203" t="s">
        <v>409</v>
      </c>
      <c r="K203" t="s">
        <v>410</v>
      </c>
      <c r="L203">
        <v>1368</v>
      </c>
      <c r="N203">
        <v>1011</v>
      </c>
      <c r="O203" t="s">
        <v>84</v>
      </c>
      <c r="P203" t="s">
        <v>84</v>
      </c>
      <c r="Q203">
        <v>1</v>
      </c>
      <c r="W203">
        <v>0</v>
      </c>
      <c r="X203">
        <v>-1043398787</v>
      </c>
      <c r="Y203">
        <v>0.89</v>
      </c>
      <c r="AA203">
        <v>0</v>
      </c>
      <c r="AB203">
        <v>1261.8699999999999</v>
      </c>
      <c r="AC203">
        <v>530.02</v>
      </c>
      <c r="AD203">
        <v>0</v>
      </c>
      <c r="AE203">
        <v>0</v>
      </c>
      <c r="AF203">
        <v>1261.8699999999999</v>
      </c>
      <c r="AG203">
        <v>530.02</v>
      </c>
      <c r="AH203">
        <v>0</v>
      </c>
      <c r="AI203">
        <v>1</v>
      </c>
      <c r="AJ203">
        <v>1</v>
      </c>
      <c r="AK203">
        <v>1</v>
      </c>
      <c r="AL203">
        <v>1</v>
      </c>
      <c r="AN203">
        <v>0</v>
      </c>
      <c r="AO203">
        <v>1</v>
      </c>
      <c r="AP203">
        <v>0</v>
      </c>
      <c r="AQ203">
        <v>0</v>
      </c>
      <c r="AR203">
        <v>0</v>
      </c>
      <c r="AS203" t="s">
        <v>3</v>
      </c>
      <c r="AT203">
        <v>0.89</v>
      </c>
      <c r="AU203" t="s">
        <v>3</v>
      </c>
      <c r="AV203">
        <v>0</v>
      </c>
      <c r="AW203">
        <v>2</v>
      </c>
      <c r="AX203">
        <v>52431859</v>
      </c>
      <c r="AY203">
        <v>1</v>
      </c>
      <c r="AZ203">
        <v>0</v>
      </c>
      <c r="BA203">
        <v>193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0</v>
      </c>
      <c r="BS203">
        <v>0</v>
      </c>
      <c r="BT203">
        <v>0</v>
      </c>
      <c r="BU203">
        <v>0</v>
      </c>
      <c r="BV203">
        <v>0</v>
      </c>
      <c r="BW203">
        <v>0</v>
      </c>
      <c r="CX203">
        <f>Y203*Source!I212</f>
        <v>0.80100000000000005</v>
      </c>
      <c r="CY203">
        <f>AB203</f>
        <v>1261.8699999999999</v>
      </c>
      <c r="CZ203">
        <f>AF203</f>
        <v>1261.8699999999999</v>
      </c>
      <c r="DA203">
        <f>AJ203</f>
        <v>1</v>
      </c>
      <c r="DB203">
        <f t="shared" si="15"/>
        <v>1123.06</v>
      </c>
      <c r="DC203">
        <f t="shared" si="16"/>
        <v>471.72</v>
      </c>
    </row>
    <row r="204" spans="1:107" x14ac:dyDescent="0.2">
      <c r="A204">
        <f>ROW(Source!A212)</f>
        <v>212</v>
      </c>
      <c r="B204">
        <v>52430918</v>
      </c>
      <c r="C204">
        <v>52431853</v>
      </c>
      <c r="D204">
        <v>51865798</v>
      </c>
      <c r="E204">
        <v>1</v>
      </c>
      <c r="F204">
        <v>1</v>
      </c>
      <c r="G204">
        <v>27</v>
      </c>
      <c r="H204">
        <v>3</v>
      </c>
      <c r="I204" t="s">
        <v>411</v>
      </c>
      <c r="J204" t="s">
        <v>412</v>
      </c>
      <c r="K204" t="s">
        <v>413</v>
      </c>
      <c r="L204">
        <v>1348</v>
      </c>
      <c r="N204">
        <v>1009</v>
      </c>
      <c r="O204" t="s">
        <v>101</v>
      </c>
      <c r="P204" t="s">
        <v>101</v>
      </c>
      <c r="Q204">
        <v>1000</v>
      </c>
      <c r="W204">
        <v>0</v>
      </c>
      <c r="X204">
        <v>-68218516</v>
      </c>
      <c r="Y204">
        <v>0.06</v>
      </c>
      <c r="AA204">
        <v>25888.1</v>
      </c>
      <c r="AB204">
        <v>0</v>
      </c>
      <c r="AC204">
        <v>0</v>
      </c>
      <c r="AD204">
        <v>0</v>
      </c>
      <c r="AE204">
        <v>25888.1</v>
      </c>
      <c r="AF204">
        <v>0</v>
      </c>
      <c r="AG204">
        <v>0</v>
      </c>
      <c r="AH204">
        <v>0</v>
      </c>
      <c r="AI204">
        <v>1</v>
      </c>
      <c r="AJ204">
        <v>1</v>
      </c>
      <c r="AK204">
        <v>1</v>
      </c>
      <c r="AL204">
        <v>1</v>
      </c>
      <c r="AN204">
        <v>0</v>
      </c>
      <c r="AO204">
        <v>1</v>
      </c>
      <c r="AP204">
        <v>0</v>
      </c>
      <c r="AQ204">
        <v>0</v>
      </c>
      <c r="AR204">
        <v>0</v>
      </c>
      <c r="AS204" t="s">
        <v>3</v>
      </c>
      <c r="AT204">
        <v>0.06</v>
      </c>
      <c r="AU204" t="s">
        <v>3</v>
      </c>
      <c r="AV204">
        <v>0</v>
      </c>
      <c r="AW204">
        <v>2</v>
      </c>
      <c r="AX204">
        <v>52431860</v>
      </c>
      <c r="AY204">
        <v>1</v>
      </c>
      <c r="AZ204">
        <v>0</v>
      </c>
      <c r="BA204">
        <v>194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0</v>
      </c>
      <c r="BV204">
        <v>0</v>
      </c>
      <c r="BW204">
        <v>0</v>
      </c>
      <c r="CX204">
        <f>Y204*Source!I212</f>
        <v>5.3999999999999999E-2</v>
      </c>
      <c r="CY204">
        <f>AA204</f>
        <v>25888.1</v>
      </c>
      <c r="CZ204">
        <f>AE204</f>
        <v>25888.1</v>
      </c>
      <c r="DA204">
        <f>AI204</f>
        <v>1</v>
      </c>
      <c r="DB204">
        <f t="shared" si="15"/>
        <v>1553.29</v>
      </c>
      <c r="DC204">
        <f t="shared" si="16"/>
        <v>0</v>
      </c>
    </row>
    <row r="205" spans="1:107" x14ac:dyDescent="0.2">
      <c r="A205">
        <f>ROW(Source!A212)</f>
        <v>212</v>
      </c>
      <c r="B205">
        <v>52430918</v>
      </c>
      <c r="C205">
        <v>52431853</v>
      </c>
      <c r="D205">
        <v>51868905</v>
      </c>
      <c r="E205">
        <v>1</v>
      </c>
      <c r="F205">
        <v>1</v>
      </c>
      <c r="G205">
        <v>27</v>
      </c>
      <c r="H205">
        <v>3</v>
      </c>
      <c r="I205" t="s">
        <v>414</v>
      </c>
      <c r="J205" t="s">
        <v>415</v>
      </c>
      <c r="K205" t="s">
        <v>416</v>
      </c>
      <c r="L205">
        <v>1348</v>
      </c>
      <c r="N205">
        <v>1009</v>
      </c>
      <c r="O205" t="s">
        <v>101</v>
      </c>
      <c r="P205" t="s">
        <v>101</v>
      </c>
      <c r="Q205">
        <v>1000</v>
      </c>
      <c r="W205">
        <v>0</v>
      </c>
      <c r="X205">
        <v>2062870502</v>
      </c>
      <c r="Y205">
        <v>7.14</v>
      </c>
      <c r="AA205">
        <v>2652.04</v>
      </c>
      <c r="AB205">
        <v>0</v>
      </c>
      <c r="AC205">
        <v>0</v>
      </c>
      <c r="AD205">
        <v>0</v>
      </c>
      <c r="AE205">
        <v>2652.04</v>
      </c>
      <c r="AF205">
        <v>0</v>
      </c>
      <c r="AG205">
        <v>0</v>
      </c>
      <c r="AH205">
        <v>0</v>
      </c>
      <c r="AI205">
        <v>1</v>
      </c>
      <c r="AJ205">
        <v>1</v>
      </c>
      <c r="AK205">
        <v>1</v>
      </c>
      <c r="AL205">
        <v>1</v>
      </c>
      <c r="AN205">
        <v>0</v>
      </c>
      <c r="AO205">
        <v>1</v>
      </c>
      <c r="AP205">
        <v>0</v>
      </c>
      <c r="AQ205">
        <v>0</v>
      </c>
      <c r="AR205">
        <v>0</v>
      </c>
      <c r="AS205" t="s">
        <v>3</v>
      </c>
      <c r="AT205">
        <v>7.14</v>
      </c>
      <c r="AU205" t="s">
        <v>3</v>
      </c>
      <c r="AV205">
        <v>0</v>
      </c>
      <c r="AW205">
        <v>2</v>
      </c>
      <c r="AX205">
        <v>52431861</v>
      </c>
      <c r="AY205">
        <v>1</v>
      </c>
      <c r="AZ205">
        <v>0</v>
      </c>
      <c r="BA205">
        <v>195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0</v>
      </c>
      <c r="BV205">
        <v>0</v>
      </c>
      <c r="BW205">
        <v>0</v>
      </c>
      <c r="CX205">
        <f>Y205*Source!I212</f>
        <v>6.4260000000000002</v>
      </c>
      <c r="CY205">
        <f>AA205</f>
        <v>2652.04</v>
      </c>
      <c r="CZ205">
        <f>AE205</f>
        <v>2652.04</v>
      </c>
      <c r="DA205">
        <f>AI205</f>
        <v>1</v>
      </c>
      <c r="DB205">
        <f t="shared" si="15"/>
        <v>18935.57</v>
      </c>
      <c r="DC205">
        <f t="shared" si="16"/>
        <v>0</v>
      </c>
    </row>
    <row r="206" spans="1:107" x14ac:dyDescent="0.2">
      <c r="A206">
        <f>ROW(Source!A213)</f>
        <v>213</v>
      </c>
      <c r="B206">
        <v>52430918</v>
      </c>
      <c r="C206">
        <v>52431862</v>
      </c>
      <c r="D206">
        <v>51848379</v>
      </c>
      <c r="E206">
        <v>27</v>
      </c>
      <c r="F206">
        <v>1</v>
      </c>
      <c r="G206">
        <v>27</v>
      </c>
      <c r="H206">
        <v>1</v>
      </c>
      <c r="I206" t="s">
        <v>378</v>
      </c>
      <c r="J206" t="s">
        <v>3</v>
      </c>
      <c r="K206" t="s">
        <v>379</v>
      </c>
      <c r="L206">
        <v>1191</v>
      </c>
      <c r="N206">
        <v>1013</v>
      </c>
      <c r="O206" t="s">
        <v>380</v>
      </c>
      <c r="P206" t="s">
        <v>380</v>
      </c>
      <c r="Q206">
        <v>1</v>
      </c>
      <c r="W206">
        <v>0</v>
      </c>
      <c r="X206">
        <v>476480486</v>
      </c>
      <c r="Y206">
        <v>18.440000000000001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1</v>
      </c>
      <c r="AJ206">
        <v>1</v>
      </c>
      <c r="AK206">
        <v>1</v>
      </c>
      <c r="AL206">
        <v>1</v>
      </c>
      <c r="AN206">
        <v>0</v>
      </c>
      <c r="AO206">
        <v>1</v>
      </c>
      <c r="AP206">
        <v>0</v>
      </c>
      <c r="AQ206">
        <v>0</v>
      </c>
      <c r="AR206">
        <v>0</v>
      </c>
      <c r="AS206" t="s">
        <v>3</v>
      </c>
      <c r="AT206">
        <v>18.440000000000001</v>
      </c>
      <c r="AU206" t="s">
        <v>3</v>
      </c>
      <c r="AV206">
        <v>1</v>
      </c>
      <c r="AW206">
        <v>2</v>
      </c>
      <c r="AX206">
        <v>52431873</v>
      </c>
      <c r="AY206">
        <v>1</v>
      </c>
      <c r="AZ206">
        <v>0</v>
      </c>
      <c r="BA206">
        <v>196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0</v>
      </c>
      <c r="BT206">
        <v>0</v>
      </c>
      <c r="BU206">
        <v>0</v>
      </c>
      <c r="BV206">
        <v>0</v>
      </c>
      <c r="BW206">
        <v>0</v>
      </c>
      <c r="CX206">
        <f>Y206*Source!I213</f>
        <v>16.596</v>
      </c>
      <c r="CY206">
        <f>AD206</f>
        <v>0</v>
      </c>
      <c r="CZ206">
        <f>AH206</f>
        <v>0</v>
      </c>
      <c r="DA206">
        <f>AL206</f>
        <v>1</v>
      </c>
      <c r="DB206">
        <f t="shared" si="15"/>
        <v>0</v>
      </c>
      <c r="DC206">
        <f t="shared" si="16"/>
        <v>0</v>
      </c>
    </row>
    <row r="207" spans="1:107" x14ac:dyDescent="0.2">
      <c r="A207">
        <f>ROW(Source!A213)</f>
        <v>213</v>
      </c>
      <c r="B207">
        <v>52430918</v>
      </c>
      <c r="C207">
        <v>52431862</v>
      </c>
      <c r="D207">
        <v>51865492</v>
      </c>
      <c r="E207">
        <v>1</v>
      </c>
      <c r="F207">
        <v>1</v>
      </c>
      <c r="G207">
        <v>27</v>
      </c>
      <c r="H207">
        <v>2</v>
      </c>
      <c r="I207" t="s">
        <v>417</v>
      </c>
      <c r="J207" t="s">
        <v>418</v>
      </c>
      <c r="K207" t="s">
        <v>419</v>
      </c>
      <c r="L207">
        <v>1368</v>
      </c>
      <c r="N207">
        <v>1011</v>
      </c>
      <c r="O207" t="s">
        <v>84</v>
      </c>
      <c r="P207" t="s">
        <v>84</v>
      </c>
      <c r="Q207">
        <v>1</v>
      </c>
      <c r="W207">
        <v>0</v>
      </c>
      <c r="X207">
        <v>72422803</v>
      </c>
      <c r="Y207">
        <v>2.64</v>
      </c>
      <c r="AA207">
        <v>0</v>
      </c>
      <c r="AB207">
        <v>531.41</v>
      </c>
      <c r="AC207">
        <v>373.56</v>
      </c>
      <c r="AD207">
        <v>0</v>
      </c>
      <c r="AE207">
        <v>0</v>
      </c>
      <c r="AF207">
        <v>531.41</v>
      </c>
      <c r="AG207">
        <v>373.56</v>
      </c>
      <c r="AH207">
        <v>0</v>
      </c>
      <c r="AI207">
        <v>1</v>
      </c>
      <c r="AJ207">
        <v>1</v>
      </c>
      <c r="AK207">
        <v>1</v>
      </c>
      <c r="AL207">
        <v>1</v>
      </c>
      <c r="AN207">
        <v>0</v>
      </c>
      <c r="AO207">
        <v>1</v>
      </c>
      <c r="AP207">
        <v>0</v>
      </c>
      <c r="AQ207">
        <v>0</v>
      </c>
      <c r="AR207">
        <v>0</v>
      </c>
      <c r="AS207" t="s">
        <v>3</v>
      </c>
      <c r="AT207">
        <v>2.64</v>
      </c>
      <c r="AU207" t="s">
        <v>3</v>
      </c>
      <c r="AV207">
        <v>0</v>
      </c>
      <c r="AW207">
        <v>2</v>
      </c>
      <c r="AX207">
        <v>52431874</v>
      </c>
      <c r="AY207">
        <v>1</v>
      </c>
      <c r="AZ207">
        <v>0</v>
      </c>
      <c r="BA207">
        <v>197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0</v>
      </c>
      <c r="BV207">
        <v>0</v>
      </c>
      <c r="BW207">
        <v>0</v>
      </c>
      <c r="CX207">
        <f>Y207*Source!I213</f>
        <v>2.3760000000000003</v>
      </c>
      <c r="CY207">
        <f>AB207</f>
        <v>531.41</v>
      </c>
      <c r="CZ207">
        <f>AF207</f>
        <v>531.41</v>
      </c>
      <c r="DA207">
        <f>AJ207</f>
        <v>1</v>
      </c>
      <c r="DB207">
        <f t="shared" si="15"/>
        <v>1402.92</v>
      </c>
      <c r="DC207">
        <f t="shared" si="16"/>
        <v>986.2</v>
      </c>
    </row>
    <row r="208" spans="1:107" x14ac:dyDescent="0.2">
      <c r="A208">
        <f>ROW(Source!A213)</f>
        <v>213</v>
      </c>
      <c r="B208">
        <v>52430918</v>
      </c>
      <c r="C208">
        <v>52431862</v>
      </c>
      <c r="D208">
        <v>51865715</v>
      </c>
      <c r="E208">
        <v>1</v>
      </c>
      <c r="F208">
        <v>1</v>
      </c>
      <c r="G208">
        <v>27</v>
      </c>
      <c r="H208">
        <v>2</v>
      </c>
      <c r="I208" t="s">
        <v>420</v>
      </c>
      <c r="J208" t="s">
        <v>421</v>
      </c>
      <c r="K208" t="s">
        <v>422</v>
      </c>
      <c r="L208">
        <v>1368</v>
      </c>
      <c r="N208">
        <v>1011</v>
      </c>
      <c r="O208" t="s">
        <v>84</v>
      </c>
      <c r="P208" t="s">
        <v>84</v>
      </c>
      <c r="Q208">
        <v>1</v>
      </c>
      <c r="W208">
        <v>0</v>
      </c>
      <c r="X208">
        <v>592514182</v>
      </c>
      <c r="Y208">
        <v>1.18</v>
      </c>
      <c r="AA208">
        <v>0</v>
      </c>
      <c r="AB208">
        <v>7.44</v>
      </c>
      <c r="AC208">
        <v>0.98</v>
      </c>
      <c r="AD208">
        <v>0</v>
      </c>
      <c r="AE208">
        <v>0</v>
      </c>
      <c r="AF208">
        <v>7.44</v>
      </c>
      <c r="AG208">
        <v>0.98</v>
      </c>
      <c r="AH208">
        <v>0</v>
      </c>
      <c r="AI208">
        <v>1</v>
      </c>
      <c r="AJ208">
        <v>1</v>
      </c>
      <c r="AK208">
        <v>1</v>
      </c>
      <c r="AL208">
        <v>1</v>
      </c>
      <c r="AN208">
        <v>0</v>
      </c>
      <c r="AO208">
        <v>1</v>
      </c>
      <c r="AP208">
        <v>0</v>
      </c>
      <c r="AQ208">
        <v>0</v>
      </c>
      <c r="AR208">
        <v>0</v>
      </c>
      <c r="AS208" t="s">
        <v>3</v>
      </c>
      <c r="AT208">
        <v>1.18</v>
      </c>
      <c r="AU208" t="s">
        <v>3</v>
      </c>
      <c r="AV208">
        <v>0</v>
      </c>
      <c r="AW208">
        <v>2</v>
      </c>
      <c r="AX208">
        <v>52431875</v>
      </c>
      <c r="AY208">
        <v>1</v>
      </c>
      <c r="AZ208">
        <v>0</v>
      </c>
      <c r="BA208">
        <v>198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  <c r="BT208">
        <v>0</v>
      </c>
      <c r="BU208">
        <v>0</v>
      </c>
      <c r="BV208">
        <v>0</v>
      </c>
      <c r="BW208">
        <v>0</v>
      </c>
      <c r="CX208">
        <f>Y208*Source!I213</f>
        <v>1.0620000000000001</v>
      </c>
      <c r="CY208">
        <f>AB208</f>
        <v>7.44</v>
      </c>
      <c r="CZ208">
        <f>AF208</f>
        <v>7.44</v>
      </c>
      <c r="DA208">
        <f>AJ208</f>
        <v>1</v>
      </c>
      <c r="DB208">
        <f t="shared" si="15"/>
        <v>8.7799999999999994</v>
      </c>
      <c r="DC208">
        <f t="shared" si="16"/>
        <v>1.1599999999999999</v>
      </c>
    </row>
    <row r="209" spans="1:107" x14ac:dyDescent="0.2">
      <c r="A209">
        <f>ROW(Source!A213)</f>
        <v>213</v>
      </c>
      <c r="B209">
        <v>52430918</v>
      </c>
      <c r="C209">
        <v>52431862</v>
      </c>
      <c r="D209">
        <v>51864917</v>
      </c>
      <c r="E209">
        <v>1</v>
      </c>
      <c r="F209">
        <v>1</v>
      </c>
      <c r="G209">
        <v>27</v>
      </c>
      <c r="H209">
        <v>2</v>
      </c>
      <c r="I209" t="s">
        <v>423</v>
      </c>
      <c r="J209" t="s">
        <v>424</v>
      </c>
      <c r="K209" t="s">
        <v>425</v>
      </c>
      <c r="L209">
        <v>1368</v>
      </c>
      <c r="N209">
        <v>1011</v>
      </c>
      <c r="O209" t="s">
        <v>84</v>
      </c>
      <c r="P209" t="s">
        <v>84</v>
      </c>
      <c r="Q209">
        <v>1</v>
      </c>
      <c r="W209">
        <v>0</v>
      </c>
      <c r="X209">
        <v>-2052459773</v>
      </c>
      <c r="Y209">
        <v>0.01</v>
      </c>
      <c r="AA209">
        <v>0</v>
      </c>
      <c r="AB209">
        <v>616.73</v>
      </c>
      <c r="AC209">
        <v>511.29</v>
      </c>
      <c r="AD209">
        <v>0</v>
      </c>
      <c r="AE209">
        <v>0</v>
      </c>
      <c r="AF209">
        <v>616.73</v>
      </c>
      <c r="AG209">
        <v>511.29</v>
      </c>
      <c r="AH209">
        <v>0</v>
      </c>
      <c r="AI209">
        <v>1</v>
      </c>
      <c r="AJ209">
        <v>1</v>
      </c>
      <c r="AK209">
        <v>1</v>
      </c>
      <c r="AL209">
        <v>1</v>
      </c>
      <c r="AN209">
        <v>0</v>
      </c>
      <c r="AO209">
        <v>1</v>
      </c>
      <c r="AP209">
        <v>0</v>
      </c>
      <c r="AQ209">
        <v>0</v>
      </c>
      <c r="AR209">
        <v>0</v>
      </c>
      <c r="AS209" t="s">
        <v>3</v>
      </c>
      <c r="AT209">
        <v>0.01</v>
      </c>
      <c r="AU209" t="s">
        <v>3</v>
      </c>
      <c r="AV209">
        <v>0</v>
      </c>
      <c r="AW209">
        <v>2</v>
      </c>
      <c r="AX209">
        <v>52431876</v>
      </c>
      <c r="AY209">
        <v>1</v>
      </c>
      <c r="AZ209">
        <v>0</v>
      </c>
      <c r="BA209">
        <v>199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0</v>
      </c>
      <c r="BR209">
        <v>0</v>
      </c>
      <c r="BS209">
        <v>0</v>
      </c>
      <c r="BT209">
        <v>0</v>
      </c>
      <c r="BU209">
        <v>0</v>
      </c>
      <c r="BV209">
        <v>0</v>
      </c>
      <c r="BW209">
        <v>0</v>
      </c>
      <c r="CX209">
        <f>Y209*Source!I213</f>
        <v>9.0000000000000011E-3</v>
      </c>
      <c r="CY209">
        <f>AB209</f>
        <v>616.73</v>
      </c>
      <c r="CZ209">
        <f>AF209</f>
        <v>616.73</v>
      </c>
      <c r="DA209">
        <f>AJ209</f>
        <v>1</v>
      </c>
      <c r="DB209">
        <f t="shared" si="15"/>
        <v>6.17</v>
      </c>
      <c r="DC209">
        <f t="shared" si="16"/>
        <v>5.1100000000000003</v>
      </c>
    </row>
    <row r="210" spans="1:107" x14ac:dyDescent="0.2">
      <c r="A210">
        <f>ROW(Source!A213)</f>
        <v>213</v>
      </c>
      <c r="B210">
        <v>52430918</v>
      </c>
      <c r="C210">
        <v>52431862</v>
      </c>
      <c r="D210">
        <v>51865101</v>
      </c>
      <c r="E210">
        <v>1</v>
      </c>
      <c r="F210">
        <v>1</v>
      </c>
      <c r="G210">
        <v>27</v>
      </c>
      <c r="H210">
        <v>2</v>
      </c>
      <c r="I210" t="s">
        <v>426</v>
      </c>
      <c r="J210" t="s">
        <v>427</v>
      </c>
      <c r="K210" t="s">
        <v>428</v>
      </c>
      <c r="L210">
        <v>1368</v>
      </c>
      <c r="N210">
        <v>1011</v>
      </c>
      <c r="O210" t="s">
        <v>84</v>
      </c>
      <c r="P210" t="s">
        <v>84</v>
      </c>
      <c r="Q210">
        <v>1</v>
      </c>
      <c r="W210">
        <v>0</v>
      </c>
      <c r="X210">
        <v>1110189246</v>
      </c>
      <c r="Y210">
        <v>2.64</v>
      </c>
      <c r="AA210">
        <v>0</v>
      </c>
      <c r="AB210">
        <v>454.31</v>
      </c>
      <c r="AC210">
        <v>405.68</v>
      </c>
      <c r="AD210">
        <v>0</v>
      </c>
      <c r="AE210">
        <v>0</v>
      </c>
      <c r="AF210">
        <v>454.31</v>
      </c>
      <c r="AG210">
        <v>405.68</v>
      </c>
      <c r="AH210">
        <v>0</v>
      </c>
      <c r="AI210">
        <v>1</v>
      </c>
      <c r="AJ210">
        <v>1</v>
      </c>
      <c r="AK210">
        <v>1</v>
      </c>
      <c r="AL210">
        <v>1</v>
      </c>
      <c r="AN210">
        <v>0</v>
      </c>
      <c r="AO210">
        <v>1</v>
      </c>
      <c r="AP210">
        <v>0</v>
      </c>
      <c r="AQ210">
        <v>0</v>
      </c>
      <c r="AR210">
        <v>0</v>
      </c>
      <c r="AS210" t="s">
        <v>3</v>
      </c>
      <c r="AT210">
        <v>2.64</v>
      </c>
      <c r="AU210" t="s">
        <v>3</v>
      </c>
      <c r="AV210">
        <v>0</v>
      </c>
      <c r="AW210">
        <v>2</v>
      </c>
      <c r="AX210">
        <v>52431877</v>
      </c>
      <c r="AY210">
        <v>1</v>
      </c>
      <c r="AZ210">
        <v>0</v>
      </c>
      <c r="BA210">
        <v>200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0</v>
      </c>
      <c r="BS210">
        <v>0</v>
      </c>
      <c r="BT210">
        <v>0</v>
      </c>
      <c r="BU210">
        <v>0</v>
      </c>
      <c r="BV210">
        <v>0</v>
      </c>
      <c r="BW210">
        <v>0</v>
      </c>
      <c r="CX210">
        <f>Y210*Source!I213</f>
        <v>2.3760000000000003</v>
      </c>
      <c r="CY210">
        <f>AB210</f>
        <v>454.31</v>
      </c>
      <c r="CZ210">
        <f>AF210</f>
        <v>454.31</v>
      </c>
      <c r="DA210">
        <f>AJ210</f>
        <v>1</v>
      </c>
      <c r="DB210">
        <f t="shared" si="15"/>
        <v>1199.3800000000001</v>
      </c>
      <c r="DC210">
        <f t="shared" si="16"/>
        <v>1071</v>
      </c>
    </row>
    <row r="211" spans="1:107" x14ac:dyDescent="0.2">
      <c r="A211">
        <f>ROW(Source!A213)</f>
        <v>213</v>
      </c>
      <c r="B211">
        <v>52430918</v>
      </c>
      <c r="C211">
        <v>52431862</v>
      </c>
      <c r="D211">
        <v>51867926</v>
      </c>
      <c r="E211">
        <v>1</v>
      </c>
      <c r="F211">
        <v>1</v>
      </c>
      <c r="G211">
        <v>27</v>
      </c>
      <c r="H211">
        <v>3</v>
      </c>
      <c r="I211" t="s">
        <v>429</v>
      </c>
      <c r="J211" t="s">
        <v>430</v>
      </c>
      <c r="K211" t="s">
        <v>431</v>
      </c>
      <c r="L211">
        <v>1327</v>
      </c>
      <c r="N211">
        <v>1005</v>
      </c>
      <c r="O211" t="s">
        <v>298</v>
      </c>
      <c r="P211" t="s">
        <v>298</v>
      </c>
      <c r="Q211">
        <v>1</v>
      </c>
      <c r="W211">
        <v>0</v>
      </c>
      <c r="X211">
        <v>-1185010663</v>
      </c>
      <c r="Y211">
        <v>5.6</v>
      </c>
      <c r="AA211">
        <v>12.02</v>
      </c>
      <c r="AB211">
        <v>0</v>
      </c>
      <c r="AC211">
        <v>0</v>
      </c>
      <c r="AD211">
        <v>0</v>
      </c>
      <c r="AE211">
        <v>12.02</v>
      </c>
      <c r="AF211">
        <v>0</v>
      </c>
      <c r="AG211">
        <v>0</v>
      </c>
      <c r="AH211">
        <v>0</v>
      </c>
      <c r="AI211">
        <v>1</v>
      </c>
      <c r="AJ211">
        <v>1</v>
      </c>
      <c r="AK211">
        <v>1</v>
      </c>
      <c r="AL211">
        <v>1</v>
      </c>
      <c r="AN211">
        <v>0</v>
      </c>
      <c r="AO211">
        <v>1</v>
      </c>
      <c r="AP211">
        <v>0</v>
      </c>
      <c r="AQ211">
        <v>0</v>
      </c>
      <c r="AR211">
        <v>0</v>
      </c>
      <c r="AS211" t="s">
        <v>3</v>
      </c>
      <c r="AT211">
        <v>5.6</v>
      </c>
      <c r="AU211" t="s">
        <v>3</v>
      </c>
      <c r="AV211">
        <v>0</v>
      </c>
      <c r="AW211">
        <v>2</v>
      </c>
      <c r="AX211">
        <v>52431878</v>
      </c>
      <c r="AY211">
        <v>1</v>
      </c>
      <c r="AZ211">
        <v>0</v>
      </c>
      <c r="BA211">
        <v>201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0</v>
      </c>
      <c r="BU211">
        <v>0</v>
      </c>
      <c r="BV211">
        <v>0</v>
      </c>
      <c r="BW211">
        <v>0</v>
      </c>
      <c r="CX211">
        <f>Y211*Source!I213</f>
        <v>5.04</v>
      </c>
      <c r="CY211">
        <f>AA211</f>
        <v>12.02</v>
      </c>
      <c r="CZ211">
        <f>AE211</f>
        <v>12.02</v>
      </c>
      <c r="DA211">
        <f>AI211</f>
        <v>1</v>
      </c>
      <c r="DB211">
        <f t="shared" si="15"/>
        <v>67.31</v>
      </c>
      <c r="DC211">
        <f t="shared" si="16"/>
        <v>0</v>
      </c>
    </row>
    <row r="212" spans="1:107" x14ac:dyDescent="0.2">
      <c r="A212">
        <f>ROW(Source!A213)</f>
        <v>213</v>
      </c>
      <c r="B212">
        <v>52430918</v>
      </c>
      <c r="C212">
        <v>52431862</v>
      </c>
      <c r="D212">
        <v>51868013</v>
      </c>
      <c r="E212">
        <v>1</v>
      </c>
      <c r="F212">
        <v>1</v>
      </c>
      <c r="G212">
        <v>27</v>
      </c>
      <c r="H212">
        <v>3</v>
      </c>
      <c r="I212" t="s">
        <v>432</v>
      </c>
      <c r="J212" t="s">
        <v>433</v>
      </c>
      <c r="K212" t="s">
        <v>434</v>
      </c>
      <c r="L212">
        <v>1348</v>
      </c>
      <c r="N212">
        <v>1009</v>
      </c>
      <c r="O212" t="s">
        <v>101</v>
      </c>
      <c r="P212" t="s">
        <v>101</v>
      </c>
      <c r="Q212">
        <v>1000</v>
      </c>
      <c r="W212">
        <v>0</v>
      </c>
      <c r="X212">
        <v>1287476064</v>
      </c>
      <c r="Y212">
        <v>3.15E-3</v>
      </c>
      <c r="AA212">
        <v>343020.03</v>
      </c>
      <c r="AB212">
        <v>0</v>
      </c>
      <c r="AC212">
        <v>0</v>
      </c>
      <c r="AD212">
        <v>0</v>
      </c>
      <c r="AE212">
        <v>343020.03</v>
      </c>
      <c r="AF212">
        <v>0</v>
      </c>
      <c r="AG212">
        <v>0</v>
      </c>
      <c r="AH212">
        <v>0</v>
      </c>
      <c r="AI212">
        <v>1</v>
      </c>
      <c r="AJ212">
        <v>1</v>
      </c>
      <c r="AK212">
        <v>1</v>
      </c>
      <c r="AL212">
        <v>1</v>
      </c>
      <c r="AN212">
        <v>0</v>
      </c>
      <c r="AO212">
        <v>1</v>
      </c>
      <c r="AP212">
        <v>0</v>
      </c>
      <c r="AQ212">
        <v>0</v>
      </c>
      <c r="AR212">
        <v>0</v>
      </c>
      <c r="AS212" t="s">
        <v>3</v>
      </c>
      <c r="AT212">
        <v>3.15E-3</v>
      </c>
      <c r="AU212" t="s">
        <v>3</v>
      </c>
      <c r="AV212">
        <v>0</v>
      </c>
      <c r="AW212">
        <v>2</v>
      </c>
      <c r="AX212">
        <v>52431879</v>
      </c>
      <c r="AY212">
        <v>1</v>
      </c>
      <c r="AZ212">
        <v>0</v>
      </c>
      <c r="BA212">
        <v>202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0</v>
      </c>
      <c r="BU212">
        <v>0</v>
      </c>
      <c r="BV212">
        <v>0</v>
      </c>
      <c r="BW212">
        <v>0</v>
      </c>
      <c r="CX212">
        <f>Y212*Source!I213</f>
        <v>2.8350000000000003E-3</v>
      </c>
      <c r="CY212">
        <f>AA212</f>
        <v>343020.03</v>
      </c>
      <c r="CZ212">
        <f>AE212</f>
        <v>343020.03</v>
      </c>
      <c r="DA212">
        <f>AI212</f>
        <v>1</v>
      </c>
      <c r="DB212">
        <f t="shared" si="15"/>
        <v>1080.51</v>
      </c>
      <c r="DC212">
        <f t="shared" si="16"/>
        <v>0</v>
      </c>
    </row>
    <row r="213" spans="1:107" x14ac:dyDescent="0.2">
      <c r="A213">
        <f>ROW(Source!A213)</f>
        <v>213</v>
      </c>
      <c r="B213">
        <v>52430918</v>
      </c>
      <c r="C213">
        <v>52431862</v>
      </c>
      <c r="D213">
        <v>51868230</v>
      </c>
      <c r="E213">
        <v>1</v>
      </c>
      <c r="F213">
        <v>1</v>
      </c>
      <c r="G213">
        <v>27</v>
      </c>
      <c r="H213">
        <v>3</v>
      </c>
      <c r="I213" t="s">
        <v>435</v>
      </c>
      <c r="J213" t="s">
        <v>436</v>
      </c>
      <c r="K213" t="s">
        <v>437</v>
      </c>
      <c r="L213">
        <v>1346</v>
      </c>
      <c r="N213">
        <v>1009</v>
      </c>
      <c r="O213" t="s">
        <v>438</v>
      </c>
      <c r="P213" t="s">
        <v>438</v>
      </c>
      <c r="Q213">
        <v>1</v>
      </c>
      <c r="W213">
        <v>0</v>
      </c>
      <c r="X213">
        <v>1696686191</v>
      </c>
      <c r="Y213">
        <v>735</v>
      </c>
      <c r="AA213">
        <v>17.77</v>
      </c>
      <c r="AB213">
        <v>0</v>
      </c>
      <c r="AC213">
        <v>0</v>
      </c>
      <c r="AD213">
        <v>0</v>
      </c>
      <c r="AE213">
        <v>17.77</v>
      </c>
      <c r="AF213">
        <v>0</v>
      </c>
      <c r="AG213">
        <v>0</v>
      </c>
      <c r="AH213">
        <v>0</v>
      </c>
      <c r="AI213">
        <v>1</v>
      </c>
      <c r="AJ213">
        <v>1</v>
      </c>
      <c r="AK213">
        <v>1</v>
      </c>
      <c r="AL213">
        <v>1</v>
      </c>
      <c r="AN213">
        <v>0</v>
      </c>
      <c r="AO213">
        <v>1</v>
      </c>
      <c r="AP213">
        <v>0</v>
      </c>
      <c r="AQ213">
        <v>0</v>
      </c>
      <c r="AR213">
        <v>0</v>
      </c>
      <c r="AS213" t="s">
        <v>3</v>
      </c>
      <c r="AT213">
        <v>735</v>
      </c>
      <c r="AU213" t="s">
        <v>3</v>
      </c>
      <c r="AV213">
        <v>0</v>
      </c>
      <c r="AW213">
        <v>2</v>
      </c>
      <c r="AX213">
        <v>52431880</v>
      </c>
      <c r="AY213">
        <v>1</v>
      </c>
      <c r="AZ213">
        <v>0</v>
      </c>
      <c r="BA213">
        <v>203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0</v>
      </c>
      <c r="BS213">
        <v>0</v>
      </c>
      <c r="BT213">
        <v>0</v>
      </c>
      <c r="BU213">
        <v>0</v>
      </c>
      <c r="BV213">
        <v>0</v>
      </c>
      <c r="BW213">
        <v>0</v>
      </c>
      <c r="CX213">
        <f>Y213*Source!I213</f>
        <v>661.5</v>
      </c>
      <c r="CY213">
        <f>AA213</f>
        <v>17.77</v>
      </c>
      <c r="CZ213">
        <f>AE213</f>
        <v>17.77</v>
      </c>
      <c r="DA213">
        <f>AI213</f>
        <v>1</v>
      </c>
      <c r="DB213">
        <f t="shared" si="15"/>
        <v>13060.95</v>
      </c>
      <c r="DC213">
        <f t="shared" si="16"/>
        <v>0</v>
      </c>
    </row>
    <row r="214" spans="1:107" x14ac:dyDescent="0.2">
      <c r="A214">
        <f>ROW(Source!A213)</f>
        <v>213</v>
      </c>
      <c r="B214">
        <v>52430918</v>
      </c>
      <c r="C214">
        <v>52431862</v>
      </c>
      <c r="D214">
        <v>51868237</v>
      </c>
      <c r="E214">
        <v>1</v>
      </c>
      <c r="F214">
        <v>1</v>
      </c>
      <c r="G214">
        <v>27</v>
      </c>
      <c r="H214">
        <v>3</v>
      </c>
      <c r="I214" t="s">
        <v>439</v>
      </c>
      <c r="J214" t="s">
        <v>440</v>
      </c>
      <c r="K214" t="s">
        <v>441</v>
      </c>
      <c r="L214">
        <v>1346</v>
      </c>
      <c r="N214">
        <v>1009</v>
      </c>
      <c r="O214" t="s">
        <v>438</v>
      </c>
      <c r="P214" t="s">
        <v>438</v>
      </c>
      <c r="Q214">
        <v>1</v>
      </c>
      <c r="W214">
        <v>0</v>
      </c>
      <c r="X214">
        <v>-319511878</v>
      </c>
      <c r="Y214">
        <v>241.5</v>
      </c>
      <c r="AA214">
        <v>202.34</v>
      </c>
      <c r="AB214">
        <v>0</v>
      </c>
      <c r="AC214">
        <v>0</v>
      </c>
      <c r="AD214">
        <v>0</v>
      </c>
      <c r="AE214">
        <v>202.34</v>
      </c>
      <c r="AF214">
        <v>0</v>
      </c>
      <c r="AG214">
        <v>0</v>
      </c>
      <c r="AH214">
        <v>0</v>
      </c>
      <c r="AI214">
        <v>1</v>
      </c>
      <c r="AJ214">
        <v>1</v>
      </c>
      <c r="AK214">
        <v>1</v>
      </c>
      <c r="AL214">
        <v>1</v>
      </c>
      <c r="AN214">
        <v>0</v>
      </c>
      <c r="AO214">
        <v>1</v>
      </c>
      <c r="AP214">
        <v>0</v>
      </c>
      <c r="AQ214">
        <v>0</v>
      </c>
      <c r="AR214">
        <v>0</v>
      </c>
      <c r="AS214" t="s">
        <v>3</v>
      </c>
      <c r="AT214">
        <v>241.5</v>
      </c>
      <c r="AU214" t="s">
        <v>3</v>
      </c>
      <c r="AV214">
        <v>0</v>
      </c>
      <c r="AW214">
        <v>2</v>
      </c>
      <c r="AX214">
        <v>52431881</v>
      </c>
      <c r="AY214">
        <v>1</v>
      </c>
      <c r="AZ214">
        <v>0</v>
      </c>
      <c r="BA214">
        <v>204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0</v>
      </c>
      <c r="BQ214">
        <v>0</v>
      </c>
      <c r="BR214">
        <v>0</v>
      </c>
      <c r="BS214">
        <v>0</v>
      </c>
      <c r="BT214">
        <v>0</v>
      </c>
      <c r="BU214">
        <v>0</v>
      </c>
      <c r="BV214">
        <v>0</v>
      </c>
      <c r="BW214">
        <v>0</v>
      </c>
      <c r="CX214">
        <f>Y214*Source!I213</f>
        <v>217.35</v>
      </c>
      <c r="CY214">
        <f>AA214</f>
        <v>202.34</v>
      </c>
      <c r="CZ214">
        <f>AE214</f>
        <v>202.34</v>
      </c>
      <c r="DA214">
        <f>AI214</f>
        <v>1</v>
      </c>
      <c r="DB214">
        <f t="shared" si="15"/>
        <v>48865.11</v>
      </c>
      <c r="DC214">
        <f t="shared" si="16"/>
        <v>0</v>
      </c>
    </row>
    <row r="215" spans="1:107" x14ac:dyDescent="0.2">
      <c r="A215">
        <f>ROW(Source!A213)</f>
        <v>213</v>
      </c>
      <c r="B215">
        <v>52430918</v>
      </c>
      <c r="C215">
        <v>52431862</v>
      </c>
      <c r="D215">
        <v>51866204</v>
      </c>
      <c r="E215">
        <v>1</v>
      </c>
      <c r="F215">
        <v>1</v>
      </c>
      <c r="G215">
        <v>27</v>
      </c>
      <c r="H215">
        <v>3</v>
      </c>
      <c r="I215" t="s">
        <v>442</v>
      </c>
      <c r="J215" t="s">
        <v>443</v>
      </c>
      <c r="K215" t="s">
        <v>444</v>
      </c>
      <c r="L215">
        <v>1348</v>
      </c>
      <c r="N215">
        <v>1009</v>
      </c>
      <c r="O215" t="s">
        <v>101</v>
      </c>
      <c r="P215" t="s">
        <v>101</v>
      </c>
      <c r="Q215">
        <v>1000</v>
      </c>
      <c r="W215">
        <v>0</v>
      </c>
      <c r="X215">
        <v>-1600259051</v>
      </c>
      <c r="Y215">
        <v>5.2499999999999998E-2</v>
      </c>
      <c r="AA215">
        <v>748299.67</v>
      </c>
      <c r="AB215">
        <v>0</v>
      </c>
      <c r="AC215">
        <v>0</v>
      </c>
      <c r="AD215">
        <v>0</v>
      </c>
      <c r="AE215">
        <v>748299.67</v>
      </c>
      <c r="AF215">
        <v>0</v>
      </c>
      <c r="AG215">
        <v>0</v>
      </c>
      <c r="AH215">
        <v>0</v>
      </c>
      <c r="AI215">
        <v>1</v>
      </c>
      <c r="AJ215">
        <v>1</v>
      </c>
      <c r="AK215">
        <v>1</v>
      </c>
      <c r="AL215">
        <v>1</v>
      </c>
      <c r="AN215">
        <v>0</v>
      </c>
      <c r="AO215">
        <v>1</v>
      </c>
      <c r="AP215">
        <v>0</v>
      </c>
      <c r="AQ215">
        <v>0</v>
      </c>
      <c r="AR215">
        <v>0</v>
      </c>
      <c r="AS215" t="s">
        <v>3</v>
      </c>
      <c r="AT215">
        <v>5.2499999999999998E-2</v>
      </c>
      <c r="AU215" t="s">
        <v>3</v>
      </c>
      <c r="AV215">
        <v>0</v>
      </c>
      <c r="AW215">
        <v>2</v>
      </c>
      <c r="AX215">
        <v>52431882</v>
      </c>
      <c r="AY215">
        <v>1</v>
      </c>
      <c r="AZ215">
        <v>0</v>
      </c>
      <c r="BA215">
        <v>205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0</v>
      </c>
      <c r="BR215">
        <v>0</v>
      </c>
      <c r="BS215">
        <v>0</v>
      </c>
      <c r="BT215">
        <v>0</v>
      </c>
      <c r="BU215">
        <v>0</v>
      </c>
      <c r="BV215">
        <v>0</v>
      </c>
      <c r="BW215">
        <v>0</v>
      </c>
      <c r="CX215">
        <f>Y215*Source!I213</f>
        <v>4.725E-2</v>
      </c>
      <c r="CY215">
        <f>AA215</f>
        <v>748299.67</v>
      </c>
      <c r="CZ215">
        <f>AE215</f>
        <v>748299.67</v>
      </c>
      <c r="DA215">
        <f>AI215</f>
        <v>1</v>
      </c>
      <c r="DB215">
        <f t="shared" si="15"/>
        <v>39285.730000000003</v>
      </c>
      <c r="DC215">
        <f t="shared" si="16"/>
        <v>0</v>
      </c>
    </row>
    <row r="216" spans="1:107" x14ac:dyDescent="0.2">
      <c r="A216">
        <f>ROW(Source!A214)</f>
        <v>214</v>
      </c>
      <c r="B216">
        <v>52430918</v>
      </c>
      <c r="C216">
        <v>52431883</v>
      </c>
      <c r="D216">
        <v>51848379</v>
      </c>
      <c r="E216">
        <v>27</v>
      </c>
      <c r="F216">
        <v>1</v>
      </c>
      <c r="G216">
        <v>27</v>
      </c>
      <c r="H216">
        <v>1</v>
      </c>
      <c r="I216" t="s">
        <v>378</v>
      </c>
      <c r="J216" t="s">
        <v>3</v>
      </c>
      <c r="K216" t="s">
        <v>379</v>
      </c>
      <c r="L216">
        <v>1191</v>
      </c>
      <c r="N216">
        <v>1013</v>
      </c>
      <c r="O216" t="s">
        <v>380</v>
      </c>
      <c r="P216" t="s">
        <v>380</v>
      </c>
      <c r="Q216">
        <v>1</v>
      </c>
      <c r="W216">
        <v>0</v>
      </c>
      <c r="X216">
        <v>476480486</v>
      </c>
      <c r="Y216">
        <v>2.65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1</v>
      </c>
      <c r="AJ216">
        <v>1</v>
      </c>
      <c r="AK216">
        <v>1</v>
      </c>
      <c r="AL216">
        <v>1</v>
      </c>
      <c r="AN216">
        <v>0</v>
      </c>
      <c r="AO216">
        <v>1</v>
      </c>
      <c r="AP216">
        <v>0</v>
      </c>
      <c r="AQ216">
        <v>0</v>
      </c>
      <c r="AR216">
        <v>0</v>
      </c>
      <c r="AS216" t="s">
        <v>3</v>
      </c>
      <c r="AT216">
        <v>2.65</v>
      </c>
      <c r="AU216" t="s">
        <v>3</v>
      </c>
      <c r="AV216">
        <v>1</v>
      </c>
      <c r="AW216">
        <v>2</v>
      </c>
      <c r="AX216">
        <v>52431890</v>
      </c>
      <c r="AY216">
        <v>1</v>
      </c>
      <c r="AZ216">
        <v>0</v>
      </c>
      <c r="BA216">
        <v>206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0</v>
      </c>
      <c r="BQ216">
        <v>0</v>
      </c>
      <c r="BR216">
        <v>0</v>
      </c>
      <c r="BS216">
        <v>0</v>
      </c>
      <c r="BT216">
        <v>0</v>
      </c>
      <c r="BU216">
        <v>0</v>
      </c>
      <c r="BV216">
        <v>0</v>
      </c>
      <c r="BW216">
        <v>0</v>
      </c>
      <c r="CX216">
        <f>Y216*Source!I214</f>
        <v>2.3849999999999998</v>
      </c>
      <c r="CY216">
        <f>AD216</f>
        <v>0</v>
      </c>
      <c r="CZ216">
        <f>AH216</f>
        <v>0</v>
      </c>
      <c r="DA216">
        <f>AL216</f>
        <v>1</v>
      </c>
      <c r="DB216">
        <f t="shared" si="15"/>
        <v>0</v>
      </c>
      <c r="DC216">
        <f t="shared" si="16"/>
        <v>0</v>
      </c>
    </row>
    <row r="217" spans="1:107" x14ac:dyDescent="0.2">
      <c r="A217">
        <f>ROW(Source!A214)</f>
        <v>214</v>
      </c>
      <c r="B217">
        <v>52430918</v>
      </c>
      <c r="C217">
        <v>52431883</v>
      </c>
      <c r="D217">
        <v>51865492</v>
      </c>
      <c r="E217">
        <v>1</v>
      </c>
      <c r="F217">
        <v>1</v>
      </c>
      <c r="G217">
        <v>27</v>
      </c>
      <c r="H217">
        <v>2</v>
      </c>
      <c r="I217" t="s">
        <v>417</v>
      </c>
      <c r="J217" t="s">
        <v>418</v>
      </c>
      <c r="K217" t="s">
        <v>419</v>
      </c>
      <c r="L217">
        <v>1368</v>
      </c>
      <c r="N217">
        <v>1011</v>
      </c>
      <c r="O217" t="s">
        <v>84</v>
      </c>
      <c r="P217" t="s">
        <v>84</v>
      </c>
      <c r="Q217">
        <v>1</v>
      </c>
      <c r="W217">
        <v>0</v>
      </c>
      <c r="X217">
        <v>72422803</v>
      </c>
      <c r="Y217">
        <v>0.5</v>
      </c>
      <c r="AA217">
        <v>0</v>
      </c>
      <c r="AB217">
        <v>531.41</v>
      </c>
      <c r="AC217">
        <v>373.56</v>
      </c>
      <c r="AD217">
        <v>0</v>
      </c>
      <c r="AE217">
        <v>0</v>
      </c>
      <c r="AF217">
        <v>531.41</v>
      </c>
      <c r="AG217">
        <v>373.56</v>
      </c>
      <c r="AH217">
        <v>0</v>
      </c>
      <c r="AI217">
        <v>1</v>
      </c>
      <c r="AJ217">
        <v>1</v>
      </c>
      <c r="AK217">
        <v>1</v>
      </c>
      <c r="AL217">
        <v>1</v>
      </c>
      <c r="AN217">
        <v>0</v>
      </c>
      <c r="AO217">
        <v>1</v>
      </c>
      <c r="AP217">
        <v>0</v>
      </c>
      <c r="AQ217">
        <v>0</v>
      </c>
      <c r="AR217">
        <v>0</v>
      </c>
      <c r="AS217" t="s">
        <v>3</v>
      </c>
      <c r="AT217">
        <v>0.5</v>
      </c>
      <c r="AU217" t="s">
        <v>3</v>
      </c>
      <c r="AV217">
        <v>0</v>
      </c>
      <c r="AW217">
        <v>2</v>
      </c>
      <c r="AX217">
        <v>52431891</v>
      </c>
      <c r="AY217">
        <v>1</v>
      </c>
      <c r="AZ217">
        <v>0</v>
      </c>
      <c r="BA217">
        <v>207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CX217">
        <f>Y217*Source!I214</f>
        <v>0.45</v>
      </c>
      <c r="CY217">
        <f>AB217</f>
        <v>531.41</v>
      </c>
      <c r="CZ217">
        <f>AF217</f>
        <v>531.41</v>
      </c>
      <c r="DA217">
        <f>AJ217</f>
        <v>1</v>
      </c>
      <c r="DB217">
        <f t="shared" si="15"/>
        <v>265.70999999999998</v>
      </c>
      <c r="DC217">
        <f t="shared" si="16"/>
        <v>186.78</v>
      </c>
    </row>
    <row r="218" spans="1:107" x14ac:dyDescent="0.2">
      <c r="A218">
        <f>ROW(Source!A214)</f>
        <v>214</v>
      </c>
      <c r="B218">
        <v>52430918</v>
      </c>
      <c r="C218">
        <v>52431883</v>
      </c>
      <c r="D218">
        <v>51865101</v>
      </c>
      <c r="E218">
        <v>1</v>
      </c>
      <c r="F218">
        <v>1</v>
      </c>
      <c r="G218">
        <v>27</v>
      </c>
      <c r="H218">
        <v>2</v>
      </c>
      <c r="I218" t="s">
        <v>426</v>
      </c>
      <c r="J218" t="s">
        <v>427</v>
      </c>
      <c r="K218" t="s">
        <v>428</v>
      </c>
      <c r="L218">
        <v>1368</v>
      </c>
      <c r="N218">
        <v>1011</v>
      </c>
      <c r="O218" t="s">
        <v>84</v>
      </c>
      <c r="P218" t="s">
        <v>84</v>
      </c>
      <c r="Q218">
        <v>1</v>
      </c>
      <c r="W218">
        <v>0</v>
      </c>
      <c r="X218">
        <v>1110189246</v>
      </c>
      <c r="Y218">
        <v>0.5</v>
      </c>
      <c r="AA218">
        <v>0</v>
      </c>
      <c r="AB218">
        <v>454.31</v>
      </c>
      <c r="AC218">
        <v>405.68</v>
      </c>
      <c r="AD218">
        <v>0</v>
      </c>
      <c r="AE218">
        <v>0</v>
      </c>
      <c r="AF218">
        <v>454.31</v>
      </c>
      <c r="AG218">
        <v>405.68</v>
      </c>
      <c r="AH218">
        <v>0</v>
      </c>
      <c r="AI218">
        <v>1</v>
      </c>
      <c r="AJ218">
        <v>1</v>
      </c>
      <c r="AK218">
        <v>1</v>
      </c>
      <c r="AL218">
        <v>1</v>
      </c>
      <c r="AN218">
        <v>0</v>
      </c>
      <c r="AO218">
        <v>1</v>
      </c>
      <c r="AP218">
        <v>0</v>
      </c>
      <c r="AQ218">
        <v>0</v>
      </c>
      <c r="AR218">
        <v>0</v>
      </c>
      <c r="AS218" t="s">
        <v>3</v>
      </c>
      <c r="AT218">
        <v>0.5</v>
      </c>
      <c r="AU218" t="s">
        <v>3</v>
      </c>
      <c r="AV218">
        <v>0</v>
      </c>
      <c r="AW218">
        <v>2</v>
      </c>
      <c r="AX218">
        <v>52431892</v>
      </c>
      <c r="AY218">
        <v>1</v>
      </c>
      <c r="AZ218">
        <v>0</v>
      </c>
      <c r="BA218">
        <v>208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0</v>
      </c>
      <c r="BO218">
        <v>0</v>
      </c>
      <c r="BP218">
        <v>0</v>
      </c>
      <c r="BQ218">
        <v>0</v>
      </c>
      <c r="BR218">
        <v>0</v>
      </c>
      <c r="BS218">
        <v>0</v>
      </c>
      <c r="BT218">
        <v>0</v>
      </c>
      <c r="BU218">
        <v>0</v>
      </c>
      <c r="BV218">
        <v>0</v>
      </c>
      <c r="BW218">
        <v>0</v>
      </c>
      <c r="CX218">
        <f>Y218*Source!I214</f>
        <v>0.45</v>
      </c>
      <c r="CY218">
        <f>AB218</f>
        <v>454.31</v>
      </c>
      <c r="CZ218">
        <f>AF218</f>
        <v>454.31</v>
      </c>
      <c r="DA218">
        <f>AJ218</f>
        <v>1</v>
      </c>
      <c r="DB218">
        <f t="shared" si="15"/>
        <v>227.16</v>
      </c>
      <c r="DC218">
        <f t="shared" si="16"/>
        <v>202.84</v>
      </c>
    </row>
    <row r="219" spans="1:107" x14ac:dyDescent="0.2">
      <c r="A219">
        <f>ROW(Source!A214)</f>
        <v>214</v>
      </c>
      <c r="B219">
        <v>52430918</v>
      </c>
      <c r="C219">
        <v>52431883</v>
      </c>
      <c r="D219">
        <v>51868230</v>
      </c>
      <c r="E219">
        <v>1</v>
      </c>
      <c r="F219">
        <v>1</v>
      </c>
      <c r="G219">
        <v>27</v>
      </c>
      <c r="H219">
        <v>3</v>
      </c>
      <c r="I219" t="s">
        <v>435</v>
      </c>
      <c r="J219" t="s">
        <v>436</v>
      </c>
      <c r="K219" t="s">
        <v>437</v>
      </c>
      <c r="L219">
        <v>1346</v>
      </c>
      <c r="N219">
        <v>1009</v>
      </c>
      <c r="O219" t="s">
        <v>438</v>
      </c>
      <c r="P219" t="s">
        <v>438</v>
      </c>
      <c r="Q219">
        <v>1</v>
      </c>
      <c r="W219">
        <v>0</v>
      </c>
      <c r="X219">
        <v>1696686191</v>
      </c>
      <c r="Y219">
        <v>147</v>
      </c>
      <c r="AA219">
        <v>17.77</v>
      </c>
      <c r="AB219">
        <v>0</v>
      </c>
      <c r="AC219">
        <v>0</v>
      </c>
      <c r="AD219">
        <v>0</v>
      </c>
      <c r="AE219">
        <v>17.77</v>
      </c>
      <c r="AF219">
        <v>0</v>
      </c>
      <c r="AG219">
        <v>0</v>
      </c>
      <c r="AH219">
        <v>0</v>
      </c>
      <c r="AI219">
        <v>1</v>
      </c>
      <c r="AJ219">
        <v>1</v>
      </c>
      <c r="AK219">
        <v>1</v>
      </c>
      <c r="AL219">
        <v>1</v>
      </c>
      <c r="AN219">
        <v>0</v>
      </c>
      <c r="AO219">
        <v>1</v>
      </c>
      <c r="AP219">
        <v>0</v>
      </c>
      <c r="AQ219">
        <v>0</v>
      </c>
      <c r="AR219">
        <v>0</v>
      </c>
      <c r="AS219" t="s">
        <v>3</v>
      </c>
      <c r="AT219">
        <v>147</v>
      </c>
      <c r="AU219" t="s">
        <v>3</v>
      </c>
      <c r="AV219">
        <v>0</v>
      </c>
      <c r="AW219">
        <v>2</v>
      </c>
      <c r="AX219">
        <v>52431893</v>
      </c>
      <c r="AY219">
        <v>1</v>
      </c>
      <c r="AZ219">
        <v>0</v>
      </c>
      <c r="BA219">
        <v>209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v>0</v>
      </c>
      <c r="BP219">
        <v>0</v>
      </c>
      <c r="BQ219">
        <v>0</v>
      </c>
      <c r="BR219">
        <v>0</v>
      </c>
      <c r="BS219">
        <v>0</v>
      </c>
      <c r="BT219">
        <v>0</v>
      </c>
      <c r="BU219">
        <v>0</v>
      </c>
      <c r="BV219">
        <v>0</v>
      </c>
      <c r="BW219">
        <v>0</v>
      </c>
      <c r="CX219">
        <f>Y219*Source!I214</f>
        <v>132.30000000000001</v>
      </c>
      <c r="CY219">
        <f>AA219</f>
        <v>17.77</v>
      </c>
      <c r="CZ219">
        <f>AE219</f>
        <v>17.77</v>
      </c>
      <c r="DA219">
        <f>AI219</f>
        <v>1</v>
      </c>
      <c r="DB219">
        <f t="shared" si="15"/>
        <v>2612.19</v>
      </c>
      <c r="DC219">
        <f t="shared" si="16"/>
        <v>0</v>
      </c>
    </row>
    <row r="220" spans="1:107" x14ac:dyDescent="0.2">
      <c r="A220">
        <f>ROW(Source!A214)</f>
        <v>214</v>
      </c>
      <c r="B220">
        <v>52430918</v>
      </c>
      <c r="C220">
        <v>52431883</v>
      </c>
      <c r="D220">
        <v>51868237</v>
      </c>
      <c r="E220">
        <v>1</v>
      </c>
      <c r="F220">
        <v>1</v>
      </c>
      <c r="G220">
        <v>27</v>
      </c>
      <c r="H220">
        <v>3</v>
      </c>
      <c r="I220" t="s">
        <v>439</v>
      </c>
      <c r="J220" t="s">
        <v>440</v>
      </c>
      <c r="K220" t="s">
        <v>441</v>
      </c>
      <c r="L220">
        <v>1346</v>
      </c>
      <c r="N220">
        <v>1009</v>
      </c>
      <c r="O220" t="s">
        <v>438</v>
      </c>
      <c r="P220" t="s">
        <v>438</v>
      </c>
      <c r="Q220">
        <v>1</v>
      </c>
      <c r="W220">
        <v>0</v>
      </c>
      <c r="X220">
        <v>-319511878</v>
      </c>
      <c r="Y220">
        <v>42</v>
      </c>
      <c r="AA220">
        <v>202.34</v>
      </c>
      <c r="AB220">
        <v>0</v>
      </c>
      <c r="AC220">
        <v>0</v>
      </c>
      <c r="AD220">
        <v>0</v>
      </c>
      <c r="AE220">
        <v>202.34</v>
      </c>
      <c r="AF220">
        <v>0</v>
      </c>
      <c r="AG220">
        <v>0</v>
      </c>
      <c r="AH220">
        <v>0</v>
      </c>
      <c r="AI220">
        <v>1</v>
      </c>
      <c r="AJ220">
        <v>1</v>
      </c>
      <c r="AK220">
        <v>1</v>
      </c>
      <c r="AL220">
        <v>1</v>
      </c>
      <c r="AN220">
        <v>0</v>
      </c>
      <c r="AO220">
        <v>1</v>
      </c>
      <c r="AP220">
        <v>0</v>
      </c>
      <c r="AQ220">
        <v>0</v>
      </c>
      <c r="AR220">
        <v>0</v>
      </c>
      <c r="AS220" t="s">
        <v>3</v>
      </c>
      <c r="AT220">
        <v>42</v>
      </c>
      <c r="AU220" t="s">
        <v>3</v>
      </c>
      <c r="AV220">
        <v>0</v>
      </c>
      <c r="AW220">
        <v>2</v>
      </c>
      <c r="AX220">
        <v>52431894</v>
      </c>
      <c r="AY220">
        <v>1</v>
      </c>
      <c r="AZ220">
        <v>0</v>
      </c>
      <c r="BA220">
        <v>210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0</v>
      </c>
      <c r="BU220">
        <v>0</v>
      </c>
      <c r="BV220">
        <v>0</v>
      </c>
      <c r="BW220">
        <v>0</v>
      </c>
      <c r="CX220">
        <f>Y220*Source!I214</f>
        <v>37.800000000000004</v>
      </c>
      <c r="CY220">
        <f>AA220</f>
        <v>202.34</v>
      </c>
      <c r="CZ220">
        <f>AE220</f>
        <v>202.34</v>
      </c>
      <c r="DA220">
        <f>AI220</f>
        <v>1</v>
      </c>
      <c r="DB220">
        <f t="shared" si="15"/>
        <v>8498.2800000000007</v>
      </c>
      <c r="DC220">
        <f t="shared" si="16"/>
        <v>0</v>
      </c>
    </row>
    <row r="221" spans="1:107" x14ac:dyDescent="0.2">
      <c r="A221">
        <f>ROW(Source!A214)</f>
        <v>214</v>
      </c>
      <c r="B221">
        <v>52430918</v>
      </c>
      <c r="C221">
        <v>52431883</v>
      </c>
      <c r="D221">
        <v>51866204</v>
      </c>
      <c r="E221">
        <v>1</v>
      </c>
      <c r="F221">
        <v>1</v>
      </c>
      <c r="G221">
        <v>27</v>
      </c>
      <c r="H221">
        <v>3</v>
      </c>
      <c r="I221" t="s">
        <v>442</v>
      </c>
      <c r="J221" t="s">
        <v>443</v>
      </c>
      <c r="K221" t="s">
        <v>444</v>
      </c>
      <c r="L221">
        <v>1348</v>
      </c>
      <c r="N221">
        <v>1009</v>
      </c>
      <c r="O221" t="s">
        <v>101</v>
      </c>
      <c r="P221" t="s">
        <v>101</v>
      </c>
      <c r="Q221">
        <v>1000</v>
      </c>
      <c r="W221">
        <v>0</v>
      </c>
      <c r="X221">
        <v>-1600259051</v>
      </c>
      <c r="Y221">
        <v>1.0500000000000001E-2</v>
      </c>
      <c r="AA221">
        <v>748299.67</v>
      </c>
      <c r="AB221">
        <v>0</v>
      </c>
      <c r="AC221">
        <v>0</v>
      </c>
      <c r="AD221">
        <v>0</v>
      </c>
      <c r="AE221">
        <v>748299.67</v>
      </c>
      <c r="AF221">
        <v>0</v>
      </c>
      <c r="AG221">
        <v>0</v>
      </c>
      <c r="AH221">
        <v>0</v>
      </c>
      <c r="AI221">
        <v>1</v>
      </c>
      <c r="AJ221">
        <v>1</v>
      </c>
      <c r="AK221">
        <v>1</v>
      </c>
      <c r="AL221">
        <v>1</v>
      </c>
      <c r="AN221">
        <v>0</v>
      </c>
      <c r="AO221">
        <v>1</v>
      </c>
      <c r="AP221">
        <v>0</v>
      </c>
      <c r="AQ221">
        <v>0</v>
      </c>
      <c r="AR221">
        <v>0</v>
      </c>
      <c r="AS221" t="s">
        <v>3</v>
      </c>
      <c r="AT221">
        <v>1.0500000000000001E-2</v>
      </c>
      <c r="AU221" t="s">
        <v>3</v>
      </c>
      <c r="AV221">
        <v>0</v>
      </c>
      <c r="AW221">
        <v>2</v>
      </c>
      <c r="AX221">
        <v>52431895</v>
      </c>
      <c r="AY221">
        <v>1</v>
      </c>
      <c r="AZ221">
        <v>0</v>
      </c>
      <c r="BA221">
        <v>211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0</v>
      </c>
      <c r="BT221">
        <v>0</v>
      </c>
      <c r="BU221">
        <v>0</v>
      </c>
      <c r="BV221">
        <v>0</v>
      </c>
      <c r="BW221">
        <v>0</v>
      </c>
      <c r="CX221">
        <f>Y221*Source!I214</f>
        <v>9.4500000000000001E-3</v>
      </c>
      <c r="CY221">
        <f>AA221</f>
        <v>748299.67</v>
      </c>
      <c r="CZ221">
        <f>AE221</f>
        <v>748299.67</v>
      </c>
      <c r="DA221">
        <f>AI221</f>
        <v>1</v>
      </c>
      <c r="DB221">
        <f t="shared" si="15"/>
        <v>7857.15</v>
      </c>
      <c r="DC221">
        <f t="shared" si="16"/>
        <v>0</v>
      </c>
    </row>
    <row r="222" spans="1:107" x14ac:dyDescent="0.2">
      <c r="A222">
        <f>ROW(Source!A215)</f>
        <v>215</v>
      </c>
      <c r="B222">
        <v>52430918</v>
      </c>
      <c r="C222">
        <v>52431896</v>
      </c>
      <c r="D222">
        <v>51848379</v>
      </c>
      <c r="E222">
        <v>27</v>
      </c>
      <c r="F222">
        <v>1</v>
      </c>
      <c r="G222">
        <v>27</v>
      </c>
      <c r="H222">
        <v>1</v>
      </c>
      <c r="I222" t="s">
        <v>378</v>
      </c>
      <c r="J222" t="s">
        <v>3</v>
      </c>
      <c r="K222" t="s">
        <v>379</v>
      </c>
      <c r="L222">
        <v>1191</v>
      </c>
      <c r="N222">
        <v>1013</v>
      </c>
      <c r="O222" t="s">
        <v>380</v>
      </c>
      <c r="P222" t="s">
        <v>380</v>
      </c>
      <c r="Q222">
        <v>1</v>
      </c>
      <c r="W222">
        <v>0</v>
      </c>
      <c r="X222">
        <v>476480486</v>
      </c>
      <c r="Y222">
        <v>221.6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1</v>
      </c>
      <c r="AJ222">
        <v>1</v>
      </c>
      <c r="AK222">
        <v>1</v>
      </c>
      <c r="AL222">
        <v>1</v>
      </c>
      <c r="AN222">
        <v>0</v>
      </c>
      <c r="AO222">
        <v>1</v>
      </c>
      <c r="AP222">
        <v>0</v>
      </c>
      <c r="AQ222">
        <v>0</v>
      </c>
      <c r="AR222">
        <v>0</v>
      </c>
      <c r="AS222" t="s">
        <v>3</v>
      </c>
      <c r="AT222">
        <v>221.6</v>
      </c>
      <c r="AU222" t="s">
        <v>3</v>
      </c>
      <c r="AV222">
        <v>1</v>
      </c>
      <c r="AW222">
        <v>2</v>
      </c>
      <c r="AX222">
        <v>52431898</v>
      </c>
      <c r="AY222">
        <v>1</v>
      </c>
      <c r="AZ222">
        <v>0</v>
      </c>
      <c r="BA222">
        <v>212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0</v>
      </c>
      <c r="BT222">
        <v>0</v>
      </c>
      <c r="BU222">
        <v>0</v>
      </c>
      <c r="BV222">
        <v>0</v>
      </c>
      <c r="BW222">
        <v>0</v>
      </c>
      <c r="CX222">
        <f>Y222*Source!I215</f>
        <v>0</v>
      </c>
      <c r="CY222">
        <f>AD222</f>
        <v>0</v>
      </c>
      <c r="CZ222">
        <f>AH222</f>
        <v>0</v>
      </c>
      <c r="DA222">
        <f>AL222</f>
        <v>1</v>
      </c>
      <c r="DB222">
        <f t="shared" si="15"/>
        <v>0</v>
      </c>
      <c r="DC222">
        <f t="shared" si="16"/>
        <v>0</v>
      </c>
    </row>
    <row r="223" spans="1:107" x14ac:dyDescent="0.2">
      <c r="A223">
        <f>ROW(Source!A216)</f>
        <v>216</v>
      </c>
      <c r="B223">
        <v>52430918</v>
      </c>
      <c r="C223">
        <v>52431899</v>
      </c>
      <c r="D223">
        <v>51848379</v>
      </c>
      <c r="E223">
        <v>27</v>
      </c>
      <c r="F223">
        <v>1</v>
      </c>
      <c r="G223">
        <v>27</v>
      </c>
      <c r="H223">
        <v>1</v>
      </c>
      <c r="I223" t="s">
        <v>378</v>
      </c>
      <c r="J223" t="s">
        <v>3</v>
      </c>
      <c r="K223" t="s">
        <v>379</v>
      </c>
      <c r="L223">
        <v>1191</v>
      </c>
      <c r="N223">
        <v>1013</v>
      </c>
      <c r="O223" t="s">
        <v>380</v>
      </c>
      <c r="P223" t="s">
        <v>380</v>
      </c>
      <c r="Q223">
        <v>1</v>
      </c>
      <c r="W223">
        <v>0</v>
      </c>
      <c r="X223">
        <v>476480486</v>
      </c>
      <c r="Y223">
        <v>16.559999999999999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1</v>
      </c>
      <c r="AJ223">
        <v>1</v>
      </c>
      <c r="AK223">
        <v>1</v>
      </c>
      <c r="AL223">
        <v>1</v>
      </c>
      <c r="AN223">
        <v>0</v>
      </c>
      <c r="AO223">
        <v>1</v>
      </c>
      <c r="AP223">
        <v>0</v>
      </c>
      <c r="AQ223">
        <v>0</v>
      </c>
      <c r="AR223">
        <v>0</v>
      </c>
      <c r="AS223" t="s">
        <v>3</v>
      </c>
      <c r="AT223">
        <v>16.559999999999999</v>
      </c>
      <c r="AU223" t="s">
        <v>3</v>
      </c>
      <c r="AV223">
        <v>1</v>
      </c>
      <c r="AW223">
        <v>2</v>
      </c>
      <c r="AX223">
        <v>52431908</v>
      </c>
      <c r="AY223">
        <v>1</v>
      </c>
      <c r="AZ223">
        <v>0</v>
      </c>
      <c r="BA223">
        <v>213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  <c r="BT223">
        <v>0</v>
      </c>
      <c r="BU223">
        <v>0</v>
      </c>
      <c r="BV223">
        <v>0</v>
      </c>
      <c r="BW223">
        <v>0</v>
      </c>
      <c r="CX223">
        <f>Y223*Source!I216</f>
        <v>0</v>
      </c>
      <c r="CY223">
        <f>AD223</f>
        <v>0</v>
      </c>
      <c r="CZ223">
        <f>AH223</f>
        <v>0</v>
      </c>
      <c r="DA223">
        <f>AL223</f>
        <v>1</v>
      </c>
      <c r="DB223">
        <f t="shared" si="15"/>
        <v>0</v>
      </c>
      <c r="DC223">
        <f t="shared" si="16"/>
        <v>0</v>
      </c>
    </row>
    <row r="224" spans="1:107" x14ac:dyDescent="0.2">
      <c r="A224">
        <f>ROW(Source!A216)</f>
        <v>216</v>
      </c>
      <c r="B224">
        <v>52430918</v>
      </c>
      <c r="C224">
        <v>52431899</v>
      </c>
      <c r="D224">
        <v>51864848</v>
      </c>
      <c r="E224">
        <v>1</v>
      </c>
      <c r="F224">
        <v>1</v>
      </c>
      <c r="G224">
        <v>27</v>
      </c>
      <c r="H224">
        <v>2</v>
      </c>
      <c r="I224" t="s">
        <v>387</v>
      </c>
      <c r="J224" t="s">
        <v>388</v>
      </c>
      <c r="K224" t="s">
        <v>389</v>
      </c>
      <c r="L224">
        <v>1368</v>
      </c>
      <c r="N224">
        <v>1011</v>
      </c>
      <c r="O224" t="s">
        <v>84</v>
      </c>
      <c r="P224" t="s">
        <v>84</v>
      </c>
      <c r="Q224">
        <v>1</v>
      </c>
      <c r="W224">
        <v>0</v>
      </c>
      <c r="X224">
        <v>2108619810</v>
      </c>
      <c r="Y224">
        <v>2.08</v>
      </c>
      <c r="AA224">
        <v>0</v>
      </c>
      <c r="AB224">
        <v>740.94</v>
      </c>
      <c r="AC224">
        <v>413.22</v>
      </c>
      <c r="AD224">
        <v>0</v>
      </c>
      <c r="AE224">
        <v>0</v>
      </c>
      <c r="AF224">
        <v>740.94</v>
      </c>
      <c r="AG224">
        <v>413.22</v>
      </c>
      <c r="AH224">
        <v>0</v>
      </c>
      <c r="AI224">
        <v>1</v>
      </c>
      <c r="AJ224">
        <v>1</v>
      </c>
      <c r="AK224">
        <v>1</v>
      </c>
      <c r="AL224">
        <v>1</v>
      </c>
      <c r="AN224">
        <v>0</v>
      </c>
      <c r="AO224">
        <v>1</v>
      </c>
      <c r="AP224">
        <v>0</v>
      </c>
      <c r="AQ224">
        <v>0</v>
      </c>
      <c r="AR224">
        <v>0</v>
      </c>
      <c r="AS224" t="s">
        <v>3</v>
      </c>
      <c r="AT224">
        <v>2.08</v>
      </c>
      <c r="AU224" t="s">
        <v>3</v>
      </c>
      <c r="AV224">
        <v>0</v>
      </c>
      <c r="AW224">
        <v>2</v>
      </c>
      <c r="AX224">
        <v>52431909</v>
      </c>
      <c r="AY224">
        <v>1</v>
      </c>
      <c r="AZ224">
        <v>0</v>
      </c>
      <c r="BA224">
        <v>214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0</v>
      </c>
      <c r="CX224">
        <f>Y224*Source!I216</f>
        <v>0</v>
      </c>
      <c r="CY224">
        <f>AB224</f>
        <v>740.94</v>
      </c>
      <c r="CZ224">
        <f>AF224</f>
        <v>740.94</v>
      </c>
      <c r="DA224">
        <f>AJ224</f>
        <v>1</v>
      </c>
      <c r="DB224">
        <f t="shared" si="15"/>
        <v>1541.16</v>
      </c>
      <c r="DC224">
        <f t="shared" si="16"/>
        <v>859.5</v>
      </c>
    </row>
    <row r="225" spans="1:107" x14ac:dyDescent="0.2">
      <c r="A225">
        <f>ROW(Source!A216)</f>
        <v>216</v>
      </c>
      <c r="B225">
        <v>52430918</v>
      </c>
      <c r="C225">
        <v>52431899</v>
      </c>
      <c r="D225">
        <v>51865003</v>
      </c>
      <c r="E225">
        <v>1</v>
      </c>
      <c r="F225">
        <v>1</v>
      </c>
      <c r="G225">
        <v>27</v>
      </c>
      <c r="H225">
        <v>2</v>
      </c>
      <c r="I225" t="s">
        <v>390</v>
      </c>
      <c r="J225" t="s">
        <v>391</v>
      </c>
      <c r="K225" t="s">
        <v>392</v>
      </c>
      <c r="L225">
        <v>1368</v>
      </c>
      <c r="N225">
        <v>1011</v>
      </c>
      <c r="O225" t="s">
        <v>84</v>
      </c>
      <c r="P225" t="s">
        <v>84</v>
      </c>
      <c r="Q225">
        <v>1</v>
      </c>
      <c r="W225">
        <v>0</v>
      </c>
      <c r="X225">
        <v>-1512295274</v>
      </c>
      <c r="Y225">
        <v>2.08</v>
      </c>
      <c r="AA225">
        <v>0</v>
      </c>
      <c r="AB225">
        <v>430.32</v>
      </c>
      <c r="AC225">
        <v>215.31</v>
      </c>
      <c r="AD225">
        <v>0</v>
      </c>
      <c r="AE225">
        <v>0</v>
      </c>
      <c r="AF225">
        <v>430.32</v>
      </c>
      <c r="AG225">
        <v>215.31</v>
      </c>
      <c r="AH225">
        <v>0</v>
      </c>
      <c r="AI225">
        <v>1</v>
      </c>
      <c r="AJ225">
        <v>1</v>
      </c>
      <c r="AK225">
        <v>1</v>
      </c>
      <c r="AL225">
        <v>1</v>
      </c>
      <c r="AN225">
        <v>0</v>
      </c>
      <c r="AO225">
        <v>1</v>
      </c>
      <c r="AP225">
        <v>0</v>
      </c>
      <c r="AQ225">
        <v>0</v>
      </c>
      <c r="AR225">
        <v>0</v>
      </c>
      <c r="AS225" t="s">
        <v>3</v>
      </c>
      <c r="AT225">
        <v>2.08</v>
      </c>
      <c r="AU225" t="s">
        <v>3</v>
      </c>
      <c r="AV225">
        <v>0</v>
      </c>
      <c r="AW225">
        <v>2</v>
      </c>
      <c r="AX225">
        <v>52431910</v>
      </c>
      <c r="AY225">
        <v>1</v>
      </c>
      <c r="AZ225">
        <v>0</v>
      </c>
      <c r="BA225">
        <v>215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0</v>
      </c>
      <c r="BW225">
        <v>0</v>
      </c>
      <c r="CX225">
        <f>Y225*Source!I216</f>
        <v>0</v>
      </c>
      <c r="CY225">
        <f>AB225</f>
        <v>430.32</v>
      </c>
      <c r="CZ225">
        <f>AF225</f>
        <v>430.32</v>
      </c>
      <c r="DA225">
        <f>AJ225</f>
        <v>1</v>
      </c>
      <c r="DB225">
        <f t="shared" si="15"/>
        <v>895.07</v>
      </c>
      <c r="DC225">
        <f t="shared" si="16"/>
        <v>447.84</v>
      </c>
    </row>
    <row r="226" spans="1:107" x14ac:dyDescent="0.2">
      <c r="A226">
        <f>ROW(Source!A216)</f>
        <v>216</v>
      </c>
      <c r="B226">
        <v>52430918</v>
      </c>
      <c r="C226">
        <v>52431899</v>
      </c>
      <c r="D226">
        <v>51865006</v>
      </c>
      <c r="E226">
        <v>1</v>
      </c>
      <c r="F226">
        <v>1</v>
      </c>
      <c r="G226">
        <v>27</v>
      </c>
      <c r="H226">
        <v>2</v>
      </c>
      <c r="I226" t="s">
        <v>393</v>
      </c>
      <c r="J226" t="s">
        <v>394</v>
      </c>
      <c r="K226" t="s">
        <v>395</v>
      </c>
      <c r="L226">
        <v>1368</v>
      </c>
      <c r="N226">
        <v>1011</v>
      </c>
      <c r="O226" t="s">
        <v>84</v>
      </c>
      <c r="P226" t="s">
        <v>84</v>
      </c>
      <c r="Q226">
        <v>1</v>
      </c>
      <c r="W226">
        <v>0</v>
      </c>
      <c r="X226">
        <v>2042885981</v>
      </c>
      <c r="Y226">
        <v>0.81</v>
      </c>
      <c r="AA226">
        <v>0</v>
      </c>
      <c r="AB226">
        <v>2020.59</v>
      </c>
      <c r="AC226">
        <v>458.56</v>
      </c>
      <c r="AD226">
        <v>0</v>
      </c>
      <c r="AE226">
        <v>0</v>
      </c>
      <c r="AF226">
        <v>2020.59</v>
      </c>
      <c r="AG226">
        <v>458.56</v>
      </c>
      <c r="AH226">
        <v>0</v>
      </c>
      <c r="AI226">
        <v>1</v>
      </c>
      <c r="AJ226">
        <v>1</v>
      </c>
      <c r="AK226">
        <v>1</v>
      </c>
      <c r="AL226">
        <v>1</v>
      </c>
      <c r="AN226">
        <v>0</v>
      </c>
      <c r="AO226">
        <v>1</v>
      </c>
      <c r="AP226">
        <v>0</v>
      </c>
      <c r="AQ226">
        <v>0</v>
      </c>
      <c r="AR226">
        <v>0</v>
      </c>
      <c r="AS226" t="s">
        <v>3</v>
      </c>
      <c r="AT226">
        <v>0.81</v>
      </c>
      <c r="AU226" t="s">
        <v>3</v>
      </c>
      <c r="AV226">
        <v>0</v>
      </c>
      <c r="AW226">
        <v>2</v>
      </c>
      <c r="AX226">
        <v>52431911</v>
      </c>
      <c r="AY226">
        <v>1</v>
      </c>
      <c r="AZ226">
        <v>0</v>
      </c>
      <c r="BA226">
        <v>216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0</v>
      </c>
      <c r="BR226">
        <v>0</v>
      </c>
      <c r="BS226">
        <v>0</v>
      </c>
      <c r="BT226">
        <v>0</v>
      </c>
      <c r="BU226">
        <v>0</v>
      </c>
      <c r="BV226">
        <v>0</v>
      </c>
      <c r="BW226">
        <v>0</v>
      </c>
      <c r="CX226">
        <f>Y226*Source!I216</f>
        <v>0</v>
      </c>
      <c r="CY226">
        <f>AB226</f>
        <v>2020.59</v>
      </c>
      <c r="CZ226">
        <f>AF226</f>
        <v>2020.59</v>
      </c>
      <c r="DA226">
        <f>AJ226</f>
        <v>1</v>
      </c>
      <c r="DB226">
        <f t="shared" si="15"/>
        <v>1636.68</v>
      </c>
      <c r="DC226">
        <f t="shared" si="16"/>
        <v>371.43</v>
      </c>
    </row>
    <row r="227" spans="1:107" x14ac:dyDescent="0.2">
      <c r="A227">
        <f>ROW(Source!A216)</f>
        <v>216</v>
      </c>
      <c r="B227">
        <v>52430918</v>
      </c>
      <c r="C227">
        <v>52431899</v>
      </c>
      <c r="D227">
        <v>51865030</v>
      </c>
      <c r="E227">
        <v>1</v>
      </c>
      <c r="F227">
        <v>1</v>
      </c>
      <c r="G227">
        <v>27</v>
      </c>
      <c r="H227">
        <v>2</v>
      </c>
      <c r="I227" t="s">
        <v>396</v>
      </c>
      <c r="J227" t="s">
        <v>397</v>
      </c>
      <c r="K227" t="s">
        <v>398</v>
      </c>
      <c r="L227">
        <v>1368</v>
      </c>
      <c r="N227">
        <v>1011</v>
      </c>
      <c r="O227" t="s">
        <v>84</v>
      </c>
      <c r="P227" t="s">
        <v>84</v>
      </c>
      <c r="Q227">
        <v>1</v>
      </c>
      <c r="W227">
        <v>0</v>
      </c>
      <c r="X227">
        <v>1116182101</v>
      </c>
      <c r="Y227">
        <v>1.94</v>
      </c>
      <c r="AA227">
        <v>0</v>
      </c>
      <c r="AB227">
        <v>1412.71</v>
      </c>
      <c r="AC227">
        <v>641.32000000000005</v>
      </c>
      <c r="AD227">
        <v>0</v>
      </c>
      <c r="AE227">
        <v>0</v>
      </c>
      <c r="AF227">
        <v>1412.71</v>
      </c>
      <c r="AG227">
        <v>641.32000000000005</v>
      </c>
      <c r="AH227">
        <v>0</v>
      </c>
      <c r="AI227">
        <v>1</v>
      </c>
      <c r="AJ227">
        <v>1</v>
      </c>
      <c r="AK227">
        <v>1</v>
      </c>
      <c r="AL227">
        <v>1</v>
      </c>
      <c r="AN227">
        <v>0</v>
      </c>
      <c r="AO227">
        <v>1</v>
      </c>
      <c r="AP227">
        <v>0</v>
      </c>
      <c r="AQ227">
        <v>0</v>
      </c>
      <c r="AR227">
        <v>0</v>
      </c>
      <c r="AS227" t="s">
        <v>3</v>
      </c>
      <c r="AT227">
        <v>1.94</v>
      </c>
      <c r="AU227" t="s">
        <v>3</v>
      </c>
      <c r="AV227">
        <v>0</v>
      </c>
      <c r="AW227">
        <v>2</v>
      </c>
      <c r="AX227">
        <v>52431912</v>
      </c>
      <c r="AY227">
        <v>1</v>
      </c>
      <c r="AZ227">
        <v>0</v>
      </c>
      <c r="BA227">
        <v>217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v>0</v>
      </c>
      <c r="BV227">
        <v>0</v>
      </c>
      <c r="BW227">
        <v>0</v>
      </c>
      <c r="CX227">
        <f>Y227*Source!I216</f>
        <v>0</v>
      </c>
      <c r="CY227">
        <f>AB227</f>
        <v>1412.71</v>
      </c>
      <c r="CZ227">
        <f>AF227</f>
        <v>1412.71</v>
      </c>
      <c r="DA227">
        <f>AJ227</f>
        <v>1</v>
      </c>
      <c r="DB227">
        <f t="shared" si="15"/>
        <v>2740.66</v>
      </c>
      <c r="DC227">
        <f t="shared" si="16"/>
        <v>1244.1600000000001</v>
      </c>
    </row>
    <row r="228" spans="1:107" x14ac:dyDescent="0.2">
      <c r="A228">
        <f>ROW(Source!A216)</f>
        <v>216</v>
      </c>
      <c r="B228">
        <v>52430918</v>
      </c>
      <c r="C228">
        <v>52431899</v>
      </c>
      <c r="D228">
        <v>51864996</v>
      </c>
      <c r="E228">
        <v>1</v>
      </c>
      <c r="F228">
        <v>1</v>
      </c>
      <c r="G228">
        <v>27</v>
      </c>
      <c r="H228">
        <v>2</v>
      </c>
      <c r="I228" t="s">
        <v>399</v>
      </c>
      <c r="J228" t="s">
        <v>400</v>
      </c>
      <c r="K228" t="s">
        <v>401</v>
      </c>
      <c r="L228">
        <v>1368</v>
      </c>
      <c r="N228">
        <v>1011</v>
      </c>
      <c r="O228" t="s">
        <v>84</v>
      </c>
      <c r="P228" t="s">
        <v>84</v>
      </c>
      <c r="Q228">
        <v>1</v>
      </c>
      <c r="W228">
        <v>0</v>
      </c>
      <c r="X228">
        <v>2142121434</v>
      </c>
      <c r="Y228">
        <v>0.65</v>
      </c>
      <c r="AA228">
        <v>0</v>
      </c>
      <c r="AB228">
        <v>1213.3399999999999</v>
      </c>
      <c r="AC228">
        <v>461.6</v>
      </c>
      <c r="AD228">
        <v>0</v>
      </c>
      <c r="AE228">
        <v>0</v>
      </c>
      <c r="AF228">
        <v>1213.3399999999999</v>
      </c>
      <c r="AG228">
        <v>461.6</v>
      </c>
      <c r="AH228">
        <v>0</v>
      </c>
      <c r="AI228">
        <v>1</v>
      </c>
      <c r="AJ228">
        <v>1</v>
      </c>
      <c r="AK228">
        <v>1</v>
      </c>
      <c r="AL228">
        <v>1</v>
      </c>
      <c r="AN228">
        <v>0</v>
      </c>
      <c r="AO228">
        <v>1</v>
      </c>
      <c r="AP228">
        <v>0</v>
      </c>
      <c r="AQ228">
        <v>0</v>
      </c>
      <c r="AR228">
        <v>0</v>
      </c>
      <c r="AS228" t="s">
        <v>3</v>
      </c>
      <c r="AT228">
        <v>0.65</v>
      </c>
      <c r="AU228" t="s">
        <v>3</v>
      </c>
      <c r="AV228">
        <v>0</v>
      </c>
      <c r="AW228">
        <v>2</v>
      </c>
      <c r="AX228">
        <v>52431913</v>
      </c>
      <c r="AY228">
        <v>1</v>
      </c>
      <c r="AZ228">
        <v>0</v>
      </c>
      <c r="BA228">
        <v>218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0</v>
      </c>
      <c r="BS228">
        <v>0</v>
      </c>
      <c r="BT228">
        <v>0</v>
      </c>
      <c r="BU228">
        <v>0</v>
      </c>
      <c r="BV228">
        <v>0</v>
      </c>
      <c r="BW228">
        <v>0</v>
      </c>
      <c r="CX228">
        <f>Y228*Source!I216</f>
        <v>0</v>
      </c>
      <c r="CY228">
        <f>AB228</f>
        <v>1213.3399999999999</v>
      </c>
      <c r="CZ228">
        <f>AF228</f>
        <v>1213.3399999999999</v>
      </c>
      <c r="DA228">
        <f>AJ228</f>
        <v>1</v>
      </c>
      <c r="DB228">
        <f t="shared" si="15"/>
        <v>788.67</v>
      </c>
      <c r="DC228">
        <f t="shared" si="16"/>
        <v>300.04000000000002</v>
      </c>
    </row>
    <row r="229" spans="1:107" x14ac:dyDescent="0.2">
      <c r="A229">
        <f>ROW(Source!A216)</f>
        <v>216</v>
      </c>
      <c r="B229">
        <v>52430918</v>
      </c>
      <c r="C229">
        <v>52431899</v>
      </c>
      <c r="D229">
        <v>51866959</v>
      </c>
      <c r="E229">
        <v>1</v>
      </c>
      <c r="F229">
        <v>1</v>
      </c>
      <c r="G229">
        <v>27</v>
      </c>
      <c r="H229">
        <v>3</v>
      </c>
      <c r="I229" t="s">
        <v>402</v>
      </c>
      <c r="J229" t="s">
        <v>403</v>
      </c>
      <c r="K229" t="s">
        <v>404</v>
      </c>
      <c r="L229">
        <v>1339</v>
      </c>
      <c r="N229">
        <v>1007</v>
      </c>
      <c r="O229" t="s">
        <v>28</v>
      </c>
      <c r="P229" t="s">
        <v>28</v>
      </c>
      <c r="Q229">
        <v>1</v>
      </c>
      <c r="W229">
        <v>0</v>
      </c>
      <c r="X229">
        <v>1152750853</v>
      </c>
      <c r="Y229">
        <v>110</v>
      </c>
      <c r="AA229">
        <v>590.78</v>
      </c>
      <c r="AB229">
        <v>0</v>
      </c>
      <c r="AC229">
        <v>0</v>
      </c>
      <c r="AD229">
        <v>0</v>
      </c>
      <c r="AE229">
        <v>590.78</v>
      </c>
      <c r="AF229">
        <v>0</v>
      </c>
      <c r="AG229">
        <v>0</v>
      </c>
      <c r="AH229">
        <v>0</v>
      </c>
      <c r="AI229">
        <v>1</v>
      </c>
      <c r="AJ229">
        <v>1</v>
      </c>
      <c r="AK229">
        <v>1</v>
      </c>
      <c r="AL229">
        <v>1</v>
      </c>
      <c r="AN229">
        <v>0</v>
      </c>
      <c r="AO229">
        <v>1</v>
      </c>
      <c r="AP229">
        <v>0</v>
      </c>
      <c r="AQ229">
        <v>0</v>
      </c>
      <c r="AR229">
        <v>0</v>
      </c>
      <c r="AS229" t="s">
        <v>3</v>
      </c>
      <c r="AT229">
        <v>110</v>
      </c>
      <c r="AU229" t="s">
        <v>3</v>
      </c>
      <c r="AV229">
        <v>0</v>
      </c>
      <c r="AW229">
        <v>2</v>
      </c>
      <c r="AX229">
        <v>52431914</v>
      </c>
      <c r="AY229">
        <v>1</v>
      </c>
      <c r="AZ229">
        <v>0</v>
      </c>
      <c r="BA229">
        <v>219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0</v>
      </c>
      <c r="BS229">
        <v>0</v>
      </c>
      <c r="BT229">
        <v>0</v>
      </c>
      <c r="BU229">
        <v>0</v>
      </c>
      <c r="BV229">
        <v>0</v>
      </c>
      <c r="BW229">
        <v>0</v>
      </c>
      <c r="CX229">
        <f>Y229*Source!I216</f>
        <v>0</v>
      </c>
      <c r="CY229">
        <f>AA229</f>
        <v>590.78</v>
      </c>
      <c r="CZ229">
        <f>AE229</f>
        <v>590.78</v>
      </c>
      <c r="DA229">
        <f>AI229</f>
        <v>1</v>
      </c>
      <c r="DB229">
        <f t="shared" si="15"/>
        <v>64985.8</v>
      </c>
      <c r="DC229">
        <f t="shared" si="16"/>
        <v>0</v>
      </c>
    </row>
    <row r="230" spans="1:107" x14ac:dyDescent="0.2">
      <c r="A230">
        <f>ROW(Source!A216)</f>
        <v>216</v>
      </c>
      <c r="B230">
        <v>52430918</v>
      </c>
      <c r="C230">
        <v>52431899</v>
      </c>
      <c r="D230">
        <v>51867705</v>
      </c>
      <c r="E230">
        <v>1</v>
      </c>
      <c r="F230">
        <v>1</v>
      </c>
      <c r="G230">
        <v>27</v>
      </c>
      <c r="H230">
        <v>3</v>
      </c>
      <c r="I230" t="s">
        <v>405</v>
      </c>
      <c r="J230" t="s">
        <v>406</v>
      </c>
      <c r="K230" t="s">
        <v>407</v>
      </c>
      <c r="L230">
        <v>1339</v>
      </c>
      <c r="N230">
        <v>1007</v>
      </c>
      <c r="O230" t="s">
        <v>28</v>
      </c>
      <c r="P230" t="s">
        <v>28</v>
      </c>
      <c r="Q230">
        <v>1</v>
      </c>
      <c r="W230">
        <v>0</v>
      </c>
      <c r="X230">
        <v>1927597627</v>
      </c>
      <c r="Y230">
        <v>5</v>
      </c>
      <c r="AA230">
        <v>35.25</v>
      </c>
      <c r="AB230">
        <v>0</v>
      </c>
      <c r="AC230">
        <v>0</v>
      </c>
      <c r="AD230">
        <v>0</v>
      </c>
      <c r="AE230">
        <v>35.25</v>
      </c>
      <c r="AF230">
        <v>0</v>
      </c>
      <c r="AG230">
        <v>0</v>
      </c>
      <c r="AH230">
        <v>0</v>
      </c>
      <c r="AI230">
        <v>1</v>
      </c>
      <c r="AJ230">
        <v>1</v>
      </c>
      <c r="AK230">
        <v>1</v>
      </c>
      <c r="AL230">
        <v>1</v>
      </c>
      <c r="AN230">
        <v>0</v>
      </c>
      <c r="AO230">
        <v>1</v>
      </c>
      <c r="AP230">
        <v>0</v>
      </c>
      <c r="AQ230">
        <v>0</v>
      </c>
      <c r="AR230">
        <v>0</v>
      </c>
      <c r="AS230" t="s">
        <v>3</v>
      </c>
      <c r="AT230">
        <v>5</v>
      </c>
      <c r="AU230" t="s">
        <v>3</v>
      </c>
      <c r="AV230">
        <v>0</v>
      </c>
      <c r="AW230">
        <v>2</v>
      </c>
      <c r="AX230">
        <v>52431915</v>
      </c>
      <c r="AY230">
        <v>1</v>
      </c>
      <c r="AZ230">
        <v>0</v>
      </c>
      <c r="BA230">
        <v>220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0</v>
      </c>
      <c r="BS230">
        <v>0</v>
      </c>
      <c r="BT230">
        <v>0</v>
      </c>
      <c r="BU230">
        <v>0</v>
      </c>
      <c r="BV230">
        <v>0</v>
      </c>
      <c r="BW230">
        <v>0</v>
      </c>
      <c r="CX230">
        <f>Y230*Source!I216</f>
        <v>0</v>
      </c>
      <c r="CY230">
        <f>AA230</f>
        <v>35.25</v>
      </c>
      <c r="CZ230">
        <f>AE230</f>
        <v>35.25</v>
      </c>
      <c r="DA230">
        <f>AI230</f>
        <v>1</v>
      </c>
      <c r="DB230">
        <f t="shared" si="15"/>
        <v>176.25</v>
      </c>
      <c r="DC230">
        <f t="shared" si="16"/>
        <v>0</v>
      </c>
    </row>
    <row r="231" spans="1:107" x14ac:dyDescent="0.2">
      <c r="A231">
        <f>ROW(Source!A217)</f>
        <v>217</v>
      </c>
      <c r="B231">
        <v>52430918</v>
      </c>
      <c r="C231">
        <v>52431916</v>
      </c>
      <c r="D231">
        <v>51848379</v>
      </c>
      <c r="E231">
        <v>27</v>
      </c>
      <c r="F231">
        <v>1</v>
      </c>
      <c r="G231">
        <v>27</v>
      </c>
      <c r="H231">
        <v>1</v>
      </c>
      <c r="I231" t="s">
        <v>378</v>
      </c>
      <c r="J231" t="s">
        <v>3</v>
      </c>
      <c r="K231" t="s">
        <v>379</v>
      </c>
      <c r="L231">
        <v>1191</v>
      </c>
      <c r="N231">
        <v>1013</v>
      </c>
      <c r="O231" t="s">
        <v>380</v>
      </c>
      <c r="P231" t="s">
        <v>380</v>
      </c>
      <c r="Q231">
        <v>1</v>
      </c>
      <c r="W231">
        <v>0</v>
      </c>
      <c r="X231">
        <v>476480486</v>
      </c>
      <c r="Y231">
        <v>72.95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1</v>
      </c>
      <c r="AJ231">
        <v>1</v>
      </c>
      <c r="AK231">
        <v>1</v>
      </c>
      <c r="AL231">
        <v>1</v>
      </c>
      <c r="AN231">
        <v>0</v>
      </c>
      <c r="AO231">
        <v>1</v>
      </c>
      <c r="AP231">
        <v>0</v>
      </c>
      <c r="AQ231">
        <v>0</v>
      </c>
      <c r="AR231">
        <v>0</v>
      </c>
      <c r="AS231" t="s">
        <v>3</v>
      </c>
      <c r="AT231">
        <v>72.95</v>
      </c>
      <c r="AU231" t="s">
        <v>3</v>
      </c>
      <c r="AV231">
        <v>1</v>
      </c>
      <c r="AW231">
        <v>2</v>
      </c>
      <c r="AX231">
        <v>52431922</v>
      </c>
      <c r="AY231">
        <v>1</v>
      </c>
      <c r="AZ231">
        <v>0</v>
      </c>
      <c r="BA231">
        <v>221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0</v>
      </c>
      <c r="BV231">
        <v>0</v>
      </c>
      <c r="BW231">
        <v>0</v>
      </c>
      <c r="CX231">
        <f>Y231*Source!I217</f>
        <v>27.721</v>
      </c>
      <c r="CY231">
        <f>AD231</f>
        <v>0</v>
      </c>
      <c r="CZ231">
        <f>AH231</f>
        <v>0</v>
      </c>
      <c r="DA231">
        <f>AL231</f>
        <v>1</v>
      </c>
      <c r="DB231">
        <f t="shared" si="15"/>
        <v>0</v>
      </c>
      <c r="DC231">
        <f t="shared" si="16"/>
        <v>0</v>
      </c>
    </row>
    <row r="232" spans="1:107" x14ac:dyDescent="0.2">
      <c r="A232">
        <f>ROW(Source!A217)</f>
        <v>217</v>
      </c>
      <c r="B232">
        <v>52430918</v>
      </c>
      <c r="C232">
        <v>52431916</v>
      </c>
      <c r="D232">
        <v>51864920</v>
      </c>
      <c r="E232">
        <v>1</v>
      </c>
      <c r="F232">
        <v>1</v>
      </c>
      <c r="G232">
        <v>27</v>
      </c>
      <c r="H232">
        <v>2</v>
      </c>
      <c r="I232" t="s">
        <v>445</v>
      </c>
      <c r="J232" t="s">
        <v>446</v>
      </c>
      <c r="K232" t="s">
        <v>447</v>
      </c>
      <c r="L232">
        <v>1368</v>
      </c>
      <c r="N232">
        <v>1011</v>
      </c>
      <c r="O232" t="s">
        <v>84</v>
      </c>
      <c r="P232" t="s">
        <v>84</v>
      </c>
      <c r="Q232">
        <v>1</v>
      </c>
      <c r="W232">
        <v>0</v>
      </c>
      <c r="X232">
        <v>-1323805330</v>
      </c>
      <c r="Y232">
        <v>0.26</v>
      </c>
      <c r="AA232">
        <v>0</v>
      </c>
      <c r="AB232">
        <v>683.9</v>
      </c>
      <c r="AC232">
        <v>371.27</v>
      </c>
      <c r="AD232">
        <v>0</v>
      </c>
      <c r="AE232">
        <v>0</v>
      </c>
      <c r="AF232">
        <v>683.9</v>
      </c>
      <c r="AG232">
        <v>371.27</v>
      </c>
      <c r="AH232">
        <v>0</v>
      </c>
      <c r="AI232">
        <v>1</v>
      </c>
      <c r="AJ232">
        <v>1</v>
      </c>
      <c r="AK232">
        <v>1</v>
      </c>
      <c r="AL232">
        <v>1</v>
      </c>
      <c r="AN232">
        <v>0</v>
      </c>
      <c r="AO232">
        <v>1</v>
      </c>
      <c r="AP232">
        <v>0</v>
      </c>
      <c r="AQ232">
        <v>0</v>
      </c>
      <c r="AR232">
        <v>0</v>
      </c>
      <c r="AS232" t="s">
        <v>3</v>
      </c>
      <c r="AT232">
        <v>0.26</v>
      </c>
      <c r="AU232" t="s">
        <v>3</v>
      </c>
      <c r="AV232">
        <v>0</v>
      </c>
      <c r="AW232">
        <v>2</v>
      </c>
      <c r="AX232">
        <v>52431923</v>
      </c>
      <c r="AY232">
        <v>1</v>
      </c>
      <c r="AZ232">
        <v>0</v>
      </c>
      <c r="BA232">
        <v>222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0</v>
      </c>
      <c r="CX232">
        <f>Y232*Source!I217</f>
        <v>9.8799999999999999E-2</v>
      </c>
      <c r="CY232">
        <f>AB232</f>
        <v>683.9</v>
      </c>
      <c r="CZ232">
        <f>AF232</f>
        <v>683.9</v>
      </c>
      <c r="DA232">
        <f>AJ232</f>
        <v>1</v>
      </c>
      <c r="DB232">
        <f t="shared" si="15"/>
        <v>177.81</v>
      </c>
      <c r="DC232">
        <f t="shared" si="16"/>
        <v>96.53</v>
      </c>
    </row>
    <row r="233" spans="1:107" x14ac:dyDescent="0.2">
      <c r="A233">
        <f>ROW(Source!A217)</f>
        <v>217</v>
      </c>
      <c r="B233">
        <v>52430918</v>
      </c>
      <c r="C233">
        <v>52431916</v>
      </c>
      <c r="D233">
        <v>51868676</v>
      </c>
      <c r="E233">
        <v>1</v>
      </c>
      <c r="F233">
        <v>1</v>
      </c>
      <c r="G233">
        <v>27</v>
      </c>
      <c r="H233">
        <v>3</v>
      </c>
      <c r="I233" t="s">
        <v>448</v>
      </c>
      <c r="J233" t="s">
        <v>449</v>
      </c>
      <c r="K233" t="s">
        <v>450</v>
      </c>
      <c r="L233">
        <v>1339</v>
      </c>
      <c r="N233">
        <v>1007</v>
      </c>
      <c r="O233" t="s">
        <v>28</v>
      </c>
      <c r="P233" t="s">
        <v>28</v>
      </c>
      <c r="Q233">
        <v>1</v>
      </c>
      <c r="W233">
        <v>0</v>
      </c>
      <c r="X233">
        <v>426331755</v>
      </c>
      <c r="Y233">
        <v>4.3</v>
      </c>
      <c r="AA233">
        <v>3714.73</v>
      </c>
      <c r="AB233">
        <v>0</v>
      </c>
      <c r="AC233">
        <v>0</v>
      </c>
      <c r="AD233">
        <v>0</v>
      </c>
      <c r="AE233">
        <v>3714.73</v>
      </c>
      <c r="AF233">
        <v>0</v>
      </c>
      <c r="AG233">
        <v>0</v>
      </c>
      <c r="AH233">
        <v>0</v>
      </c>
      <c r="AI233">
        <v>1</v>
      </c>
      <c r="AJ233">
        <v>1</v>
      </c>
      <c r="AK233">
        <v>1</v>
      </c>
      <c r="AL233">
        <v>1</v>
      </c>
      <c r="AN233">
        <v>0</v>
      </c>
      <c r="AO233">
        <v>1</v>
      </c>
      <c r="AP233">
        <v>0</v>
      </c>
      <c r="AQ233">
        <v>0</v>
      </c>
      <c r="AR233">
        <v>0</v>
      </c>
      <c r="AS233" t="s">
        <v>3</v>
      </c>
      <c r="AT233">
        <v>4.3</v>
      </c>
      <c r="AU233" t="s">
        <v>3</v>
      </c>
      <c r="AV233">
        <v>0</v>
      </c>
      <c r="AW233">
        <v>2</v>
      </c>
      <c r="AX233">
        <v>52431924</v>
      </c>
      <c r="AY233">
        <v>1</v>
      </c>
      <c r="AZ233">
        <v>0</v>
      </c>
      <c r="BA233">
        <v>223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0</v>
      </c>
      <c r="BT233">
        <v>0</v>
      </c>
      <c r="BU233">
        <v>0</v>
      </c>
      <c r="BV233">
        <v>0</v>
      </c>
      <c r="BW233">
        <v>0</v>
      </c>
      <c r="CX233">
        <f>Y233*Source!I217</f>
        <v>1.6339999999999999</v>
      </c>
      <c r="CY233">
        <f>AA233</f>
        <v>3714.73</v>
      </c>
      <c r="CZ233">
        <f>AE233</f>
        <v>3714.73</v>
      </c>
      <c r="DA233">
        <f>AI233</f>
        <v>1</v>
      </c>
      <c r="DB233">
        <f t="shared" si="15"/>
        <v>15973.34</v>
      </c>
      <c r="DC233">
        <f t="shared" si="16"/>
        <v>0</v>
      </c>
    </row>
    <row r="234" spans="1:107" x14ac:dyDescent="0.2">
      <c r="A234">
        <f>ROW(Source!A217)</f>
        <v>217</v>
      </c>
      <c r="B234">
        <v>52430918</v>
      </c>
      <c r="C234">
        <v>52431916</v>
      </c>
      <c r="D234">
        <v>51868752</v>
      </c>
      <c r="E234">
        <v>1</v>
      </c>
      <c r="F234">
        <v>1</v>
      </c>
      <c r="G234">
        <v>27</v>
      </c>
      <c r="H234">
        <v>3</v>
      </c>
      <c r="I234" t="s">
        <v>451</v>
      </c>
      <c r="J234" t="s">
        <v>452</v>
      </c>
      <c r="K234" t="s">
        <v>453</v>
      </c>
      <c r="L234">
        <v>1339</v>
      </c>
      <c r="N234">
        <v>1007</v>
      </c>
      <c r="O234" t="s">
        <v>28</v>
      </c>
      <c r="P234" t="s">
        <v>28</v>
      </c>
      <c r="Q234">
        <v>1</v>
      </c>
      <c r="W234">
        <v>0</v>
      </c>
      <c r="X234">
        <v>853860812</v>
      </c>
      <c r="Y234">
        <v>0.02</v>
      </c>
      <c r="AA234">
        <v>3392.59</v>
      </c>
      <c r="AB234">
        <v>0</v>
      </c>
      <c r="AC234">
        <v>0</v>
      </c>
      <c r="AD234">
        <v>0</v>
      </c>
      <c r="AE234">
        <v>3392.59</v>
      </c>
      <c r="AF234">
        <v>0</v>
      </c>
      <c r="AG234">
        <v>0</v>
      </c>
      <c r="AH234">
        <v>0</v>
      </c>
      <c r="AI234">
        <v>1</v>
      </c>
      <c r="AJ234">
        <v>1</v>
      </c>
      <c r="AK234">
        <v>1</v>
      </c>
      <c r="AL234">
        <v>1</v>
      </c>
      <c r="AN234">
        <v>0</v>
      </c>
      <c r="AO234">
        <v>1</v>
      </c>
      <c r="AP234">
        <v>0</v>
      </c>
      <c r="AQ234">
        <v>0</v>
      </c>
      <c r="AR234">
        <v>0</v>
      </c>
      <c r="AS234" t="s">
        <v>3</v>
      </c>
      <c r="AT234">
        <v>0.02</v>
      </c>
      <c r="AU234" t="s">
        <v>3</v>
      </c>
      <c r="AV234">
        <v>0</v>
      </c>
      <c r="AW234">
        <v>2</v>
      </c>
      <c r="AX234">
        <v>52431925</v>
      </c>
      <c r="AY234">
        <v>1</v>
      </c>
      <c r="AZ234">
        <v>0</v>
      </c>
      <c r="BA234">
        <v>224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0</v>
      </c>
      <c r="BU234">
        <v>0</v>
      </c>
      <c r="BV234">
        <v>0</v>
      </c>
      <c r="BW234">
        <v>0</v>
      </c>
      <c r="CX234">
        <f>Y234*Source!I217</f>
        <v>7.6E-3</v>
      </c>
      <c r="CY234">
        <f>AA234</f>
        <v>3392.59</v>
      </c>
      <c r="CZ234">
        <f>AE234</f>
        <v>3392.59</v>
      </c>
      <c r="DA234">
        <f>AI234</f>
        <v>1</v>
      </c>
      <c r="DB234">
        <f t="shared" si="15"/>
        <v>67.849999999999994</v>
      </c>
      <c r="DC234">
        <f t="shared" si="16"/>
        <v>0</v>
      </c>
    </row>
    <row r="235" spans="1:107" x14ac:dyDescent="0.2">
      <c r="A235">
        <f>ROW(Source!A217)</f>
        <v>217</v>
      </c>
      <c r="B235">
        <v>52430918</v>
      </c>
      <c r="C235">
        <v>52431916</v>
      </c>
      <c r="D235">
        <v>51869488</v>
      </c>
      <c r="E235">
        <v>1</v>
      </c>
      <c r="F235">
        <v>1</v>
      </c>
      <c r="G235">
        <v>27</v>
      </c>
      <c r="H235">
        <v>3</v>
      </c>
      <c r="I235" t="s">
        <v>454</v>
      </c>
      <c r="J235" t="s">
        <v>455</v>
      </c>
      <c r="K235" t="s">
        <v>456</v>
      </c>
      <c r="L235">
        <v>1339</v>
      </c>
      <c r="N235">
        <v>1007</v>
      </c>
      <c r="O235" t="s">
        <v>28</v>
      </c>
      <c r="P235" t="s">
        <v>28</v>
      </c>
      <c r="Q235">
        <v>1</v>
      </c>
      <c r="W235">
        <v>0</v>
      </c>
      <c r="X235">
        <v>892889602</v>
      </c>
      <c r="Y235">
        <v>1.6</v>
      </c>
      <c r="AA235">
        <v>11566.57</v>
      </c>
      <c r="AB235">
        <v>0</v>
      </c>
      <c r="AC235">
        <v>0</v>
      </c>
      <c r="AD235">
        <v>0</v>
      </c>
      <c r="AE235">
        <v>11566.57</v>
      </c>
      <c r="AF235">
        <v>0</v>
      </c>
      <c r="AG235">
        <v>0</v>
      </c>
      <c r="AH235">
        <v>0</v>
      </c>
      <c r="AI235">
        <v>1</v>
      </c>
      <c r="AJ235">
        <v>1</v>
      </c>
      <c r="AK235">
        <v>1</v>
      </c>
      <c r="AL235">
        <v>1</v>
      </c>
      <c r="AN235">
        <v>0</v>
      </c>
      <c r="AO235">
        <v>1</v>
      </c>
      <c r="AP235">
        <v>0</v>
      </c>
      <c r="AQ235">
        <v>0</v>
      </c>
      <c r="AR235">
        <v>0</v>
      </c>
      <c r="AS235" t="s">
        <v>3</v>
      </c>
      <c r="AT235">
        <v>1.6</v>
      </c>
      <c r="AU235" t="s">
        <v>3</v>
      </c>
      <c r="AV235">
        <v>0</v>
      </c>
      <c r="AW235">
        <v>2</v>
      </c>
      <c r="AX235">
        <v>52431926</v>
      </c>
      <c r="AY235">
        <v>1</v>
      </c>
      <c r="AZ235">
        <v>0</v>
      </c>
      <c r="BA235">
        <v>225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0</v>
      </c>
      <c r="BV235">
        <v>0</v>
      </c>
      <c r="BW235">
        <v>0</v>
      </c>
      <c r="CX235">
        <f>Y235*Source!I217</f>
        <v>0.6080000000000001</v>
      </c>
      <c r="CY235">
        <f>AA235</f>
        <v>11566.57</v>
      </c>
      <c r="CZ235">
        <f>AE235</f>
        <v>11566.57</v>
      </c>
      <c r="DA235">
        <f>AI235</f>
        <v>1</v>
      </c>
      <c r="DB235">
        <f t="shared" si="15"/>
        <v>18506.509999999998</v>
      </c>
      <c r="DC235">
        <f t="shared" si="16"/>
        <v>0</v>
      </c>
    </row>
    <row r="236" spans="1:107" x14ac:dyDescent="0.2">
      <c r="A236">
        <f>ROW(Source!A218)</f>
        <v>218</v>
      </c>
      <c r="B236">
        <v>52430918</v>
      </c>
      <c r="C236">
        <v>52431927</v>
      </c>
      <c r="D236">
        <v>51848379</v>
      </c>
      <c r="E236">
        <v>27</v>
      </c>
      <c r="F236">
        <v>1</v>
      </c>
      <c r="G236">
        <v>27</v>
      </c>
      <c r="H236">
        <v>1</v>
      </c>
      <c r="I236" t="s">
        <v>378</v>
      </c>
      <c r="J236" t="s">
        <v>3</v>
      </c>
      <c r="K236" t="s">
        <v>379</v>
      </c>
      <c r="L236">
        <v>1191</v>
      </c>
      <c r="N236">
        <v>1013</v>
      </c>
      <c r="O236" t="s">
        <v>380</v>
      </c>
      <c r="P236" t="s">
        <v>380</v>
      </c>
      <c r="Q236">
        <v>1</v>
      </c>
      <c r="W236">
        <v>0</v>
      </c>
      <c r="X236">
        <v>476480486</v>
      </c>
      <c r="Y236">
        <v>902.75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1</v>
      </c>
      <c r="AJ236">
        <v>1</v>
      </c>
      <c r="AK236">
        <v>1</v>
      </c>
      <c r="AL236">
        <v>1</v>
      </c>
      <c r="AN236">
        <v>0</v>
      </c>
      <c r="AO236">
        <v>1</v>
      </c>
      <c r="AP236">
        <v>0</v>
      </c>
      <c r="AQ236">
        <v>0</v>
      </c>
      <c r="AR236">
        <v>0</v>
      </c>
      <c r="AS236" t="s">
        <v>3</v>
      </c>
      <c r="AT236">
        <v>902.75</v>
      </c>
      <c r="AU236" t="s">
        <v>3</v>
      </c>
      <c r="AV236">
        <v>1</v>
      </c>
      <c r="AW236">
        <v>2</v>
      </c>
      <c r="AX236">
        <v>52431939</v>
      </c>
      <c r="AY236">
        <v>1</v>
      </c>
      <c r="AZ236">
        <v>0</v>
      </c>
      <c r="BA236">
        <v>226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0</v>
      </c>
      <c r="BT236">
        <v>0</v>
      </c>
      <c r="BU236">
        <v>0</v>
      </c>
      <c r="BV236">
        <v>0</v>
      </c>
      <c r="BW236">
        <v>0</v>
      </c>
      <c r="CX236">
        <f>Y236*Source!I218</f>
        <v>27.0825</v>
      </c>
      <c r="CY236">
        <f>AD236</f>
        <v>0</v>
      </c>
      <c r="CZ236">
        <f>AH236</f>
        <v>0</v>
      </c>
      <c r="DA236">
        <f>AL236</f>
        <v>1</v>
      </c>
      <c r="DB236">
        <f t="shared" si="15"/>
        <v>0</v>
      </c>
      <c r="DC236">
        <f t="shared" si="16"/>
        <v>0</v>
      </c>
    </row>
    <row r="237" spans="1:107" x14ac:dyDescent="0.2">
      <c r="A237">
        <f>ROW(Source!A218)</f>
        <v>218</v>
      </c>
      <c r="B237">
        <v>52430918</v>
      </c>
      <c r="C237">
        <v>52431927</v>
      </c>
      <c r="D237">
        <v>51864800</v>
      </c>
      <c r="E237">
        <v>1</v>
      </c>
      <c r="F237">
        <v>1</v>
      </c>
      <c r="G237">
        <v>27</v>
      </c>
      <c r="H237">
        <v>2</v>
      </c>
      <c r="I237" t="s">
        <v>91</v>
      </c>
      <c r="J237" t="s">
        <v>93</v>
      </c>
      <c r="K237" t="s">
        <v>92</v>
      </c>
      <c r="L237">
        <v>1368</v>
      </c>
      <c r="N237">
        <v>1011</v>
      </c>
      <c r="O237" t="s">
        <v>84</v>
      </c>
      <c r="P237" t="s">
        <v>84</v>
      </c>
      <c r="Q237">
        <v>1</v>
      </c>
      <c r="W237">
        <v>1</v>
      </c>
      <c r="X237">
        <v>-1957514721</v>
      </c>
      <c r="Y237">
        <v>-0.09</v>
      </c>
      <c r="AA237">
        <v>0</v>
      </c>
      <c r="AB237">
        <v>1009.65</v>
      </c>
      <c r="AC237">
        <v>554.42999999999995</v>
      </c>
      <c r="AD237">
        <v>0</v>
      </c>
      <c r="AE237">
        <v>0</v>
      </c>
      <c r="AF237">
        <v>1009.65</v>
      </c>
      <c r="AG237">
        <v>554.42999999999995</v>
      </c>
      <c r="AH237">
        <v>0</v>
      </c>
      <c r="AI237">
        <v>1</v>
      </c>
      <c r="AJ237">
        <v>1</v>
      </c>
      <c r="AK237">
        <v>1</v>
      </c>
      <c r="AL237">
        <v>1</v>
      </c>
      <c r="AN237">
        <v>0</v>
      </c>
      <c r="AO237">
        <v>1</v>
      </c>
      <c r="AP237">
        <v>0</v>
      </c>
      <c r="AQ237">
        <v>0</v>
      </c>
      <c r="AR237">
        <v>0</v>
      </c>
      <c r="AS237" t="s">
        <v>3</v>
      </c>
      <c r="AT237">
        <v>-0.09</v>
      </c>
      <c r="AU237" t="s">
        <v>3</v>
      </c>
      <c r="AV237">
        <v>0</v>
      </c>
      <c r="AW237">
        <v>2</v>
      </c>
      <c r="AX237">
        <v>52431940</v>
      </c>
      <c r="AY237">
        <v>1</v>
      </c>
      <c r="AZ237">
        <v>6144</v>
      </c>
      <c r="BA237">
        <v>227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0</v>
      </c>
      <c r="BW237">
        <v>0</v>
      </c>
      <c r="CX237">
        <f>Y237*Source!I218</f>
        <v>-2.6999999999999997E-3</v>
      </c>
      <c r="CY237">
        <f>AB237</f>
        <v>1009.65</v>
      </c>
      <c r="CZ237">
        <f>AF237</f>
        <v>1009.65</v>
      </c>
      <c r="DA237">
        <f>AJ237</f>
        <v>1</v>
      </c>
      <c r="DB237">
        <f t="shared" si="15"/>
        <v>-90.87</v>
      </c>
      <c r="DC237">
        <f t="shared" si="16"/>
        <v>-49.9</v>
      </c>
    </row>
    <row r="238" spans="1:107" x14ac:dyDescent="0.2">
      <c r="A238">
        <f>ROW(Source!A218)</f>
        <v>218</v>
      </c>
      <c r="B238">
        <v>52430918</v>
      </c>
      <c r="C238">
        <v>52431927</v>
      </c>
      <c r="D238">
        <v>51865257</v>
      </c>
      <c r="E238">
        <v>1</v>
      </c>
      <c r="F238">
        <v>1</v>
      </c>
      <c r="G238">
        <v>27</v>
      </c>
      <c r="H238">
        <v>2</v>
      </c>
      <c r="I238" t="s">
        <v>87</v>
      </c>
      <c r="J238" t="s">
        <v>89</v>
      </c>
      <c r="K238" t="s">
        <v>88</v>
      </c>
      <c r="L238">
        <v>1368</v>
      </c>
      <c r="N238">
        <v>1011</v>
      </c>
      <c r="O238" t="s">
        <v>84</v>
      </c>
      <c r="P238" t="s">
        <v>84</v>
      </c>
      <c r="Q238">
        <v>1</v>
      </c>
      <c r="W238">
        <v>1</v>
      </c>
      <c r="X238">
        <v>-1757825014</v>
      </c>
      <c r="Y238">
        <v>-14.5</v>
      </c>
      <c r="AA238">
        <v>0</v>
      </c>
      <c r="AB238">
        <v>27.21</v>
      </c>
      <c r="AC238">
        <v>0.13</v>
      </c>
      <c r="AD238">
        <v>0</v>
      </c>
      <c r="AE238">
        <v>0</v>
      </c>
      <c r="AF238">
        <v>27.21</v>
      </c>
      <c r="AG238">
        <v>0.13</v>
      </c>
      <c r="AH238">
        <v>0</v>
      </c>
      <c r="AI238">
        <v>1</v>
      </c>
      <c r="AJ238">
        <v>1</v>
      </c>
      <c r="AK238">
        <v>1</v>
      </c>
      <c r="AL238">
        <v>1</v>
      </c>
      <c r="AN238">
        <v>0</v>
      </c>
      <c r="AO238">
        <v>1</v>
      </c>
      <c r="AP238">
        <v>0</v>
      </c>
      <c r="AQ238">
        <v>0</v>
      </c>
      <c r="AR238">
        <v>0</v>
      </c>
      <c r="AS238" t="s">
        <v>3</v>
      </c>
      <c r="AT238">
        <v>-14.5</v>
      </c>
      <c r="AU238" t="s">
        <v>3</v>
      </c>
      <c r="AV238">
        <v>0</v>
      </c>
      <c r="AW238">
        <v>2</v>
      </c>
      <c r="AX238">
        <v>52431941</v>
      </c>
      <c r="AY238">
        <v>1</v>
      </c>
      <c r="AZ238">
        <v>6144</v>
      </c>
      <c r="BA238">
        <v>228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0</v>
      </c>
      <c r="BU238">
        <v>0</v>
      </c>
      <c r="BV238">
        <v>0</v>
      </c>
      <c r="BW238">
        <v>0</v>
      </c>
      <c r="CX238">
        <f>Y238*Source!I218</f>
        <v>-0.435</v>
      </c>
      <c r="CY238">
        <f>AB238</f>
        <v>27.21</v>
      </c>
      <c r="CZ238">
        <f>AF238</f>
        <v>27.21</v>
      </c>
      <c r="DA238">
        <f>AJ238</f>
        <v>1</v>
      </c>
      <c r="DB238">
        <f t="shared" si="15"/>
        <v>-394.55</v>
      </c>
      <c r="DC238">
        <f t="shared" si="16"/>
        <v>-1.89</v>
      </c>
    </row>
    <row r="239" spans="1:107" x14ac:dyDescent="0.2">
      <c r="A239">
        <f>ROW(Source!A218)</f>
        <v>218</v>
      </c>
      <c r="B239">
        <v>52430918</v>
      </c>
      <c r="C239">
        <v>52431927</v>
      </c>
      <c r="D239">
        <v>51865090</v>
      </c>
      <c r="E239">
        <v>1</v>
      </c>
      <c r="F239">
        <v>1</v>
      </c>
      <c r="G239">
        <v>27</v>
      </c>
      <c r="H239">
        <v>2</v>
      </c>
      <c r="I239" t="s">
        <v>82</v>
      </c>
      <c r="J239" t="s">
        <v>85</v>
      </c>
      <c r="K239" t="s">
        <v>83</v>
      </c>
      <c r="L239">
        <v>1368</v>
      </c>
      <c r="N239">
        <v>1011</v>
      </c>
      <c r="O239" t="s">
        <v>84</v>
      </c>
      <c r="P239" t="s">
        <v>84</v>
      </c>
      <c r="Q239">
        <v>1</v>
      </c>
      <c r="W239">
        <v>1</v>
      </c>
      <c r="X239">
        <v>1349119844</v>
      </c>
      <c r="Y239">
        <v>-5.44</v>
      </c>
      <c r="AA239">
        <v>0</v>
      </c>
      <c r="AB239">
        <v>10.82</v>
      </c>
      <c r="AC239">
        <v>2.97</v>
      </c>
      <c r="AD239">
        <v>0</v>
      </c>
      <c r="AE239">
        <v>0</v>
      </c>
      <c r="AF239">
        <v>10.82</v>
      </c>
      <c r="AG239">
        <v>2.97</v>
      </c>
      <c r="AH239">
        <v>0</v>
      </c>
      <c r="AI239">
        <v>1</v>
      </c>
      <c r="AJ239">
        <v>1</v>
      </c>
      <c r="AK239">
        <v>1</v>
      </c>
      <c r="AL239">
        <v>1</v>
      </c>
      <c r="AN239">
        <v>0</v>
      </c>
      <c r="AO239">
        <v>1</v>
      </c>
      <c r="AP239">
        <v>0</v>
      </c>
      <c r="AQ239">
        <v>0</v>
      </c>
      <c r="AR239">
        <v>0</v>
      </c>
      <c r="AS239" t="s">
        <v>3</v>
      </c>
      <c r="AT239">
        <v>-5.44</v>
      </c>
      <c r="AU239" t="s">
        <v>3</v>
      </c>
      <c r="AV239">
        <v>0</v>
      </c>
      <c r="AW239">
        <v>2</v>
      </c>
      <c r="AX239">
        <v>52431942</v>
      </c>
      <c r="AY239">
        <v>1</v>
      </c>
      <c r="AZ239">
        <v>6144</v>
      </c>
      <c r="BA239">
        <v>229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0</v>
      </c>
      <c r="BV239">
        <v>0</v>
      </c>
      <c r="BW239">
        <v>0</v>
      </c>
      <c r="CX239">
        <f>Y239*Source!I218</f>
        <v>-0.16320000000000001</v>
      </c>
      <c r="CY239">
        <f>AB239</f>
        <v>10.82</v>
      </c>
      <c r="CZ239">
        <f>AF239</f>
        <v>10.82</v>
      </c>
      <c r="DA239">
        <f>AJ239</f>
        <v>1</v>
      </c>
      <c r="DB239">
        <f t="shared" si="15"/>
        <v>-58.86</v>
      </c>
      <c r="DC239">
        <f t="shared" si="16"/>
        <v>-16.16</v>
      </c>
    </row>
    <row r="240" spans="1:107" x14ac:dyDescent="0.2">
      <c r="A240">
        <f>ROW(Source!A218)</f>
        <v>218</v>
      </c>
      <c r="B240">
        <v>52430918</v>
      </c>
      <c r="C240">
        <v>52431927</v>
      </c>
      <c r="D240">
        <v>51867612</v>
      </c>
      <c r="E240">
        <v>1</v>
      </c>
      <c r="F240">
        <v>1</v>
      </c>
      <c r="G240">
        <v>27</v>
      </c>
      <c r="H240">
        <v>3</v>
      </c>
      <c r="I240" t="s">
        <v>99</v>
      </c>
      <c r="J240" t="s">
        <v>102</v>
      </c>
      <c r="K240" t="s">
        <v>100</v>
      </c>
      <c r="L240">
        <v>1348</v>
      </c>
      <c r="N240">
        <v>1009</v>
      </c>
      <c r="O240" t="s">
        <v>101</v>
      </c>
      <c r="P240" t="s">
        <v>101</v>
      </c>
      <c r="Q240">
        <v>1000</v>
      </c>
      <c r="W240">
        <v>1</v>
      </c>
      <c r="X240">
        <v>-672771621</v>
      </c>
      <c r="Y240">
        <v>-0.02</v>
      </c>
      <c r="AA240">
        <v>110781.14</v>
      </c>
      <c r="AB240">
        <v>0</v>
      </c>
      <c r="AC240">
        <v>0</v>
      </c>
      <c r="AD240">
        <v>0</v>
      </c>
      <c r="AE240">
        <v>110781.14</v>
      </c>
      <c r="AF240">
        <v>0</v>
      </c>
      <c r="AG240">
        <v>0</v>
      </c>
      <c r="AH240">
        <v>0</v>
      </c>
      <c r="AI240">
        <v>1</v>
      </c>
      <c r="AJ240">
        <v>1</v>
      </c>
      <c r="AK240">
        <v>1</v>
      </c>
      <c r="AL240">
        <v>1</v>
      </c>
      <c r="AN240">
        <v>0</v>
      </c>
      <c r="AO240">
        <v>1</v>
      </c>
      <c r="AP240">
        <v>0</v>
      </c>
      <c r="AQ240">
        <v>0</v>
      </c>
      <c r="AR240">
        <v>0</v>
      </c>
      <c r="AS240" t="s">
        <v>3</v>
      </c>
      <c r="AT240">
        <v>-0.02</v>
      </c>
      <c r="AU240" t="s">
        <v>3</v>
      </c>
      <c r="AV240">
        <v>0</v>
      </c>
      <c r="AW240">
        <v>2</v>
      </c>
      <c r="AX240">
        <v>52431943</v>
      </c>
      <c r="AY240">
        <v>1</v>
      </c>
      <c r="AZ240">
        <v>6144</v>
      </c>
      <c r="BA240">
        <v>230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0</v>
      </c>
      <c r="BW240">
        <v>0</v>
      </c>
      <c r="CX240">
        <f>Y240*Source!I218</f>
        <v>-5.9999999999999995E-4</v>
      </c>
      <c r="CY240">
        <f t="shared" ref="CY240:CY246" si="17">AA240</f>
        <v>110781.14</v>
      </c>
      <c r="CZ240">
        <f t="shared" ref="CZ240:CZ246" si="18">AE240</f>
        <v>110781.14</v>
      </c>
      <c r="DA240">
        <f t="shared" ref="DA240:DA246" si="19">AI240</f>
        <v>1</v>
      </c>
      <c r="DB240">
        <f t="shared" si="15"/>
        <v>-2215.62</v>
      </c>
      <c r="DC240">
        <f t="shared" si="16"/>
        <v>0</v>
      </c>
    </row>
    <row r="241" spans="1:107" x14ac:dyDescent="0.2">
      <c r="A241">
        <f>ROW(Source!A218)</f>
        <v>218</v>
      </c>
      <c r="B241">
        <v>52430918</v>
      </c>
      <c r="C241">
        <v>52431927</v>
      </c>
      <c r="D241">
        <v>51866048</v>
      </c>
      <c r="E241">
        <v>1</v>
      </c>
      <c r="F241">
        <v>1</v>
      </c>
      <c r="G241">
        <v>27</v>
      </c>
      <c r="H241">
        <v>3</v>
      </c>
      <c r="I241" t="s">
        <v>77</v>
      </c>
      <c r="J241" t="s">
        <v>80</v>
      </c>
      <c r="K241" t="s">
        <v>78</v>
      </c>
      <c r="L241">
        <v>1356</v>
      </c>
      <c r="N241">
        <v>1010</v>
      </c>
      <c r="O241" t="s">
        <v>79</v>
      </c>
      <c r="P241" t="s">
        <v>79</v>
      </c>
      <c r="Q241">
        <v>1000</v>
      </c>
      <c r="W241">
        <v>1</v>
      </c>
      <c r="X241">
        <v>-477329452</v>
      </c>
      <c r="Y241">
        <v>-3.6999999999999998E-2</v>
      </c>
      <c r="AA241">
        <v>10419.43</v>
      </c>
      <c r="AB241">
        <v>0</v>
      </c>
      <c r="AC241">
        <v>0</v>
      </c>
      <c r="AD241">
        <v>0</v>
      </c>
      <c r="AE241">
        <v>10419.43</v>
      </c>
      <c r="AF241">
        <v>0</v>
      </c>
      <c r="AG241">
        <v>0</v>
      </c>
      <c r="AH241">
        <v>0</v>
      </c>
      <c r="AI241">
        <v>1</v>
      </c>
      <c r="AJ241">
        <v>1</v>
      </c>
      <c r="AK241">
        <v>1</v>
      </c>
      <c r="AL241">
        <v>1</v>
      </c>
      <c r="AN241">
        <v>0</v>
      </c>
      <c r="AO241">
        <v>1</v>
      </c>
      <c r="AP241">
        <v>0</v>
      </c>
      <c r="AQ241">
        <v>0</v>
      </c>
      <c r="AR241">
        <v>0</v>
      </c>
      <c r="AS241" t="s">
        <v>3</v>
      </c>
      <c r="AT241">
        <v>-3.6999999999999998E-2</v>
      </c>
      <c r="AU241" t="s">
        <v>3</v>
      </c>
      <c r="AV241">
        <v>0</v>
      </c>
      <c r="AW241">
        <v>2</v>
      </c>
      <c r="AX241">
        <v>52431944</v>
      </c>
      <c r="AY241">
        <v>1</v>
      </c>
      <c r="AZ241">
        <v>6144</v>
      </c>
      <c r="BA241">
        <v>231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0</v>
      </c>
      <c r="CX241">
        <f>Y241*Source!I218</f>
        <v>-1.1099999999999999E-3</v>
      </c>
      <c r="CY241">
        <f t="shared" si="17"/>
        <v>10419.43</v>
      </c>
      <c r="CZ241">
        <f t="shared" si="18"/>
        <v>10419.43</v>
      </c>
      <c r="DA241">
        <f t="shared" si="19"/>
        <v>1</v>
      </c>
      <c r="DB241">
        <f t="shared" si="15"/>
        <v>-385.52</v>
      </c>
      <c r="DC241">
        <f t="shared" si="16"/>
        <v>0</v>
      </c>
    </row>
    <row r="242" spans="1:107" x14ac:dyDescent="0.2">
      <c r="A242">
        <f>ROW(Source!A218)</f>
        <v>218</v>
      </c>
      <c r="B242">
        <v>52430918</v>
      </c>
      <c r="C242">
        <v>52431927</v>
      </c>
      <c r="D242">
        <v>51868609</v>
      </c>
      <c r="E242">
        <v>1</v>
      </c>
      <c r="F242">
        <v>1</v>
      </c>
      <c r="G242">
        <v>27</v>
      </c>
      <c r="H242">
        <v>3</v>
      </c>
      <c r="I242" t="s">
        <v>95</v>
      </c>
      <c r="J242" t="s">
        <v>97</v>
      </c>
      <c r="K242" t="s">
        <v>96</v>
      </c>
      <c r="L242">
        <v>1339</v>
      </c>
      <c r="N242">
        <v>1007</v>
      </c>
      <c r="O242" t="s">
        <v>28</v>
      </c>
      <c r="P242" t="s">
        <v>28</v>
      </c>
      <c r="Q242">
        <v>1</v>
      </c>
      <c r="W242">
        <v>1</v>
      </c>
      <c r="X242">
        <v>395141172</v>
      </c>
      <c r="Y242">
        <v>-5</v>
      </c>
      <c r="AA242">
        <v>3040.38</v>
      </c>
      <c r="AB242">
        <v>0</v>
      </c>
      <c r="AC242">
        <v>0</v>
      </c>
      <c r="AD242">
        <v>0</v>
      </c>
      <c r="AE242">
        <v>3040.38</v>
      </c>
      <c r="AF242">
        <v>0</v>
      </c>
      <c r="AG242">
        <v>0</v>
      </c>
      <c r="AH242">
        <v>0</v>
      </c>
      <c r="AI242">
        <v>1</v>
      </c>
      <c r="AJ242">
        <v>1</v>
      </c>
      <c r="AK242">
        <v>1</v>
      </c>
      <c r="AL242">
        <v>1</v>
      </c>
      <c r="AN242">
        <v>0</v>
      </c>
      <c r="AO242">
        <v>1</v>
      </c>
      <c r="AP242">
        <v>0</v>
      </c>
      <c r="AQ242">
        <v>0</v>
      </c>
      <c r="AR242">
        <v>0</v>
      </c>
      <c r="AS242" t="s">
        <v>3</v>
      </c>
      <c r="AT242">
        <v>-5</v>
      </c>
      <c r="AU242" t="s">
        <v>3</v>
      </c>
      <c r="AV242">
        <v>0</v>
      </c>
      <c r="AW242">
        <v>2</v>
      </c>
      <c r="AX242">
        <v>52431945</v>
      </c>
      <c r="AY242">
        <v>1</v>
      </c>
      <c r="AZ242">
        <v>6144</v>
      </c>
      <c r="BA242">
        <v>232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</v>
      </c>
      <c r="BU242">
        <v>0</v>
      </c>
      <c r="BV242">
        <v>0</v>
      </c>
      <c r="BW242">
        <v>0</v>
      </c>
      <c r="CX242">
        <f>Y242*Source!I218</f>
        <v>-0.15</v>
      </c>
      <c r="CY242">
        <f t="shared" si="17"/>
        <v>3040.38</v>
      </c>
      <c r="CZ242">
        <f t="shared" si="18"/>
        <v>3040.38</v>
      </c>
      <c r="DA242">
        <f t="shared" si="19"/>
        <v>1</v>
      </c>
      <c r="DB242">
        <f t="shared" si="15"/>
        <v>-15201.9</v>
      </c>
      <c r="DC242">
        <f t="shared" si="16"/>
        <v>0</v>
      </c>
    </row>
    <row r="243" spans="1:107" x14ac:dyDescent="0.2">
      <c r="A243">
        <f>ROW(Source!A218)</f>
        <v>218</v>
      </c>
      <c r="B243">
        <v>52430918</v>
      </c>
      <c r="C243">
        <v>52431927</v>
      </c>
      <c r="D243">
        <v>51868749</v>
      </c>
      <c r="E243">
        <v>1</v>
      </c>
      <c r="F243">
        <v>1</v>
      </c>
      <c r="G243">
        <v>27</v>
      </c>
      <c r="H243">
        <v>3</v>
      </c>
      <c r="I243" t="s">
        <v>457</v>
      </c>
      <c r="J243" t="s">
        <v>458</v>
      </c>
      <c r="K243" t="s">
        <v>459</v>
      </c>
      <c r="L243">
        <v>1339</v>
      </c>
      <c r="N243">
        <v>1007</v>
      </c>
      <c r="O243" t="s">
        <v>28</v>
      </c>
      <c r="P243" t="s">
        <v>28</v>
      </c>
      <c r="Q243">
        <v>1</v>
      </c>
      <c r="W243">
        <v>0</v>
      </c>
      <c r="X243">
        <v>416525707</v>
      </c>
      <c r="Y243">
        <v>1.4999999999999999E-2</v>
      </c>
      <c r="AA243">
        <v>3323.4</v>
      </c>
      <c r="AB243">
        <v>0</v>
      </c>
      <c r="AC243">
        <v>0</v>
      </c>
      <c r="AD243">
        <v>0</v>
      </c>
      <c r="AE243">
        <v>3323.4</v>
      </c>
      <c r="AF243">
        <v>0</v>
      </c>
      <c r="AG243">
        <v>0</v>
      </c>
      <c r="AH243">
        <v>0</v>
      </c>
      <c r="AI243">
        <v>1</v>
      </c>
      <c r="AJ243">
        <v>1</v>
      </c>
      <c r="AK243">
        <v>1</v>
      </c>
      <c r="AL243">
        <v>1</v>
      </c>
      <c r="AN243">
        <v>0</v>
      </c>
      <c r="AO243">
        <v>1</v>
      </c>
      <c r="AP243">
        <v>0</v>
      </c>
      <c r="AQ243">
        <v>0</v>
      </c>
      <c r="AR243">
        <v>0</v>
      </c>
      <c r="AS243" t="s">
        <v>3</v>
      </c>
      <c r="AT243">
        <v>1.4999999999999999E-2</v>
      </c>
      <c r="AU243" t="s">
        <v>3</v>
      </c>
      <c r="AV243">
        <v>0</v>
      </c>
      <c r="AW243">
        <v>2</v>
      </c>
      <c r="AX243">
        <v>52431946</v>
      </c>
      <c r="AY243">
        <v>1</v>
      </c>
      <c r="AZ243">
        <v>0</v>
      </c>
      <c r="BA243">
        <v>233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0</v>
      </c>
      <c r="BT243">
        <v>0</v>
      </c>
      <c r="BU243">
        <v>0</v>
      </c>
      <c r="BV243">
        <v>0</v>
      </c>
      <c r="BW243">
        <v>0</v>
      </c>
      <c r="CX243">
        <f>Y243*Source!I218</f>
        <v>4.4999999999999999E-4</v>
      </c>
      <c r="CY243">
        <f t="shared" si="17"/>
        <v>3323.4</v>
      </c>
      <c r="CZ243">
        <f t="shared" si="18"/>
        <v>3323.4</v>
      </c>
      <c r="DA243">
        <f t="shared" si="19"/>
        <v>1</v>
      </c>
      <c r="DB243">
        <f t="shared" si="15"/>
        <v>49.85</v>
      </c>
      <c r="DC243">
        <f t="shared" si="16"/>
        <v>0</v>
      </c>
    </row>
    <row r="244" spans="1:107" x14ac:dyDescent="0.2">
      <c r="A244">
        <f>ROW(Source!A218)</f>
        <v>218</v>
      </c>
      <c r="B244">
        <v>52430918</v>
      </c>
      <c r="C244">
        <v>52431927</v>
      </c>
      <c r="D244">
        <v>0</v>
      </c>
      <c r="E244">
        <v>27</v>
      </c>
      <c r="F244">
        <v>1</v>
      </c>
      <c r="G244">
        <v>27</v>
      </c>
      <c r="H244">
        <v>3</v>
      </c>
      <c r="I244" t="s">
        <v>104</v>
      </c>
      <c r="J244" t="s">
        <v>3</v>
      </c>
      <c r="K244" t="s">
        <v>105</v>
      </c>
      <c r="L244">
        <v>1354</v>
      </c>
      <c r="N244">
        <v>1010</v>
      </c>
      <c r="O244" t="s">
        <v>106</v>
      </c>
      <c r="P244" t="s">
        <v>106</v>
      </c>
      <c r="Q244">
        <v>1</v>
      </c>
      <c r="W244">
        <v>0</v>
      </c>
      <c r="X244">
        <v>-292158938</v>
      </c>
      <c r="Y244">
        <v>33.333333000000003</v>
      </c>
      <c r="AA244">
        <v>17250</v>
      </c>
      <c r="AB244">
        <v>0</v>
      </c>
      <c r="AC244">
        <v>0</v>
      </c>
      <c r="AD244">
        <v>0</v>
      </c>
      <c r="AE244">
        <v>17250</v>
      </c>
      <c r="AF244">
        <v>0</v>
      </c>
      <c r="AG244">
        <v>0</v>
      </c>
      <c r="AH244">
        <v>0</v>
      </c>
      <c r="AI244">
        <v>1</v>
      </c>
      <c r="AJ244">
        <v>1</v>
      </c>
      <c r="AK244">
        <v>1</v>
      </c>
      <c r="AL244">
        <v>1</v>
      </c>
      <c r="AN244">
        <v>0</v>
      </c>
      <c r="AO244">
        <v>0</v>
      </c>
      <c r="AP244">
        <v>0</v>
      </c>
      <c r="AQ244">
        <v>0</v>
      </c>
      <c r="AR244">
        <v>0</v>
      </c>
      <c r="AS244" t="s">
        <v>3</v>
      </c>
      <c r="AT244">
        <v>33.333333000000003</v>
      </c>
      <c r="AU244" t="s">
        <v>3</v>
      </c>
      <c r="AV244">
        <v>0</v>
      </c>
      <c r="AW244">
        <v>1</v>
      </c>
      <c r="AX244">
        <v>-1</v>
      </c>
      <c r="AY244">
        <v>0</v>
      </c>
      <c r="AZ244">
        <v>0</v>
      </c>
      <c r="BA244" t="s">
        <v>3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0</v>
      </c>
      <c r="BS244">
        <v>0</v>
      </c>
      <c r="BT244">
        <v>0</v>
      </c>
      <c r="BU244">
        <v>0</v>
      </c>
      <c r="BV244">
        <v>0</v>
      </c>
      <c r="BW244">
        <v>0</v>
      </c>
      <c r="CX244">
        <f>Y244*Source!I218</f>
        <v>0.99999999000000006</v>
      </c>
      <c r="CY244">
        <f t="shared" si="17"/>
        <v>17250</v>
      </c>
      <c r="CZ244">
        <f t="shared" si="18"/>
        <v>17250</v>
      </c>
      <c r="DA244">
        <f t="shared" si="19"/>
        <v>1</v>
      </c>
      <c r="DB244">
        <f t="shared" si="15"/>
        <v>574999.99</v>
      </c>
      <c r="DC244">
        <f t="shared" si="16"/>
        <v>0</v>
      </c>
    </row>
    <row r="245" spans="1:107" x14ac:dyDescent="0.2">
      <c r="A245">
        <f>ROW(Source!A218)</f>
        <v>218</v>
      </c>
      <c r="B245">
        <v>52430918</v>
      </c>
      <c r="C245">
        <v>52431927</v>
      </c>
      <c r="D245">
        <v>0</v>
      </c>
      <c r="E245">
        <v>27</v>
      </c>
      <c r="F245">
        <v>1</v>
      </c>
      <c r="G245">
        <v>27</v>
      </c>
      <c r="H245">
        <v>3</v>
      </c>
      <c r="I245" t="s">
        <v>104</v>
      </c>
      <c r="J245" t="s">
        <v>3</v>
      </c>
      <c r="K245" t="s">
        <v>110</v>
      </c>
      <c r="L245">
        <v>1354</v>
      </c>
      <c r="N245">
        <v>1010</v>
      </c>
      <c r="O245" t="s">
        <v>106</v>
      </c>
      <c r="P245" t="s">
        <v>106</v>
      </c>
      <c r="Q245">
        <v>1</v>
      </c>
      <c r="W245">
        <v>0</v>
      </c>
      <c r="X245">
        <v>774189156</v>
      </c>
      <c r="Y245">
        <v>33.333333000000003</v>
      </c>
      <c r="AA245">
        <v>44166.67</v>
      </c>
      <c r="AB245">
        <v>0</v>
      </c>
      <c r="AC245">
        <v>0</v>
      </c>
      <c r="AD245">
        <v>0</v>
      </c>
      <c r="AE245">
        <v>44166.67</v>
      </c>
      <c r="AF245">
        <v>0</v>
      </c>
      <c r="AG245">
        <v>0</v>
      </c>
      <c r="AH245">
        <v>0</v>
      </c>
      <c r="AI245">
        <v>1</v>
      </c>
      <c r="AJ245">
        <v>1</v>
      </c>
      <c r="AK245">
        <v>1</v>
      </c>
      <c r="AL245">
        <v>1</v>
      </c>
      <c r="AN245">
        <v>0</v>
      </c>
      <c r="AO245">
        <v>0</v>
      </c>
      <c r="AP245">
        <v>0</v>
      </c>
      <c r="AQ245">
        <v>0</v>
      </c>
      <c r="AR245">
        <v>0</v>
      </c>
      <c r="AS245" t="s">
        <v>3</v>
      </c>
      <c r="AT245">
        <v>33.333333000000003</v>
      </c>
      <c r="AU245" t="s">
        <v>3</v>
      </c>
      <c r="AV245">
        <v>0</v>
      </c>
      <c r="AW245">
        <v>1</v>
      </c>
      <c r="AX245">
        <v>-1</v>
      </c>
      <c r="AY245">
        <v>0</v>
      </c>
      <c r="AZ245">
        <v>0</v>
      </c>
      <c r="BA245" t="s">
        <v>3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0</v>
      </c>
      <c r="BU245">
        <v>0</v>
      </c>
      <c r="BV245">
        <v>0</v>
      </c>
      <c r="BW245">
        <v>0</v>
      </c>
      <c r="CX245">
        <f>Y245*Source!I218</f>
        <v>0.99999999000000006</v>
      </c>
      <c r="CY245">
        <f t="shared" si="17"/>
        <v>44166.67</v>
      </c>
      <c r="CZ245">
        <f t="shared" si="18"/>
        <v>44166.67</v>
      </c>
      <c r="DA245">
        <f t="shared" si="19"/>
        <v>1</v>
      </c>
      <c r="DB245">
        <f t="shared" si="15"/>
        <v>1472222.32</v>
      </c>
      <c r="DC245">
        <f t="shared" si="16"/>
        <v>0</v>
      </c>
    </row>
    <row r="246" spans="1:107" x14ac:dyDescent="0.2">
      <c r="A246">
        <f>ROW(Source!A218)</f>
        <v>218</v>
      </c>
      <c r="B246">
        <v>52430918</v>
      </c>
      <c r="C246">
        <v>52431927</v>
      </c>
      <c r="D246">
        <v>0</v>
      </c>
      <c r="E246">
        <v>27</v>
      </c>
      <c r="F246">
        <v>1</v>
      </c>
      <c r="G246">
        <v>27</v>
      </c>
      <c r="H246">
        <v>3</v>
      </c>
      <c r="I246" t="s">
        <v>104</v>
      </c>
      <c r="J246" t="s">
        <v>3</v>
      </c>
      <c r="K246" t="s">
        <v>206</v>
      </c>
      <c r="L246">
        <v>1354</v>
      </c>
      <c r="N246">
        <v>1010</v>
      </c>
      <c r="O246" t="s">
        <v>106</v>
      </c>
      <c r="P246" t="s">
        <v>106</v>
      </c>
      <c r="Q246">
        <v>1</v>
      </c>
      <c r="W246">
        <v>0</v>
      </c>
      <c r="X246">
        <v>-696338570</v>
      </c>
      <c r="Y246">
        <v>33.333333000000003</v>
      </c>
      <c r="AA246">
        <v>48916.67</v>
      </c>
      <c r="AB246">
        <v>0</v>
      </c>
      <c r="AC246">
        <v>0</v>
      </c>
      <c r="AD246">
        <v>0</v>
      </c>
      <c r="AE246">
        <v>48916.67</v>
      </c>
      <c r="AF246">
        <v>0</v>
      </c>
      <c r="AG246">
        <v>0</v>
      </c>
      <c r="AH246">
        <v>0</v>
      </c>
      <c r="AI246">
        <v>1</v>
      </c>
      <c r="AJ246">
        <v>1</v>
      </c>
      <c r="AK246">
        <v>1</v>
      </c>
      <c r="AL246">
        <v>1</v>
      </c>
      <c r="AN246">
        <v>0</v>
      </c>
      <c r="AO246">
        <v>0</v>
      </c>
      <c r="AP246">
        <v>0</v>
      </c>
      <c r="AQ246">
        <v>0</v>
      </c>
      <c r="AR246">
        <v>0</v>
      </c>
      <c r="AS246" t="s">
        <v>3</v>
      </c>
      <c r="AT246">
        <v>33.333333000000003</v>
      </c>
      <c r="AU246" t="s">
        <v>3</v>
      </c>
      <c r="AV246">
        <v>0</v>
      </c>
      <c r="AW246">
        <v>1</v>
      </c>
      <c r="AX246">
        <v>-1</v>
      </c>
      <c r="AY246">
        <v>0</v>
      </c>
      <c r="AZ246">
        <v>0</v>
      </c>
      <c r="BA246" t="s">
        <v>3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0</v>
      </c>
      <c r="BU246">
        <v>0</v>
      </c>
      <c r="BV246">
        <v>0</v>
      </c>
      <c r="BW246">
        <v>0</v>
      </c>
      <c r="CX246">
        <f>Y246*Source!I218</f>
        <v>0.99999999000000006</v>
      </c>
      <c r="CY246">
        <f t="shared" si="17"/>
        <v>48916.67</v>
      </c>
      <c r="CZ246">
        <f t="shared" si="18"/>
        <v>48916.67</v>
      </c>
      <c r="DA246">
        <f t="shared" si="19"/>
        <v>1</v>
      </c>
      <c r="DB246">
        <f t="shared" si="15"/>
        <v>1630555.65</v>
      </c>
      <c r="DC246">
        <f t="shared" si="16"/>
        <v>0</v>
      </c>
    </row>
    <row r="247" spans="1:107" x14ac:dyDescent="0.2">
      <c r="A247">
        <f>ROW(Source!A263)</f>
        <v>263</v>
      </c>
      <c r="B247">
        <v>52430918</v>
      </c>
      <c r="C247">
        <v>52431958</v>
      </c>
      <c r="D247">
        <v>51848379</v>
      </c>
      <c r="E247">
        <v>27</v>
      </c>
      <c r="F247">
        <v>1</v>
      </c>
      <c r="G247">
        <v>27</v>
      </c>
      <c r="H247">
        <v>1</v>
      </c>
      <c r="I247" t="s">
        <v>378</v>
      </c>
      <c r="J247" t="s">
        <v>3</v>
      </c>
      <c r="K247" t="s">
        <v>379</v>
      </c>
      <c r="L247">
        <v>1191</v>
      </c>
      <c r="N247">
        <v>1013</v>
      </c>
      <c r="O247" t="s">
        <v>380</v>
      </c>
      <c r="P247" t="s">
        <v>380</v>
      </c>
      <c r="Q247">
        <v>1</v>
      </c>
      <c r="W247">
        <v>0</v>
      </c>
      <c r="X247">
        <v>476480486</v>
      </c>
      <c r="Y247">
        <v>3.3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1</v>
      </c>
      <c r="AJ247">
        <v>1</v>
      </c>
      <c r="AK247">
        <v>1</v>
      </c>
      <c r="AL247">
        <v>1</v>
      </c>
      <c r="AN247">
        <v>0</v>
      </c>
      <c r="AO247">
        <v>1</v>
      </c>
      <c r="AP247">
        <v>0</v>
      </c>
      <c r="AQ247">
        <v>0</v>
      </c>
      <c r="AR247">
        <v>0</v>
      </c>
      <c r="AS247" t="s">
        <v>3</v>
      </c>
      <c r="AT247">
        <v>3.3</v>
      </c>
      <c r="AU247" t="s">
        <v>3</v>
      </c>
      <c r="AV247">
        <v>1</v>
      </c>
      <c r="AW247">
        <v>2</v>
      </c>
      <c r="AX247">
        <v>52431960</v>
      </c>
      <c r="AY247">
        <v>1</v>
      </c>
      <c r="AZ247">
        <v>0</v>
      </c>
      <c r="BA247">
        <v>236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0</v>
      </c>
      <c r="BV247">
        <v>0</v>
      </c>
      <c r="BW247">
        <v>0</v>
      </c>
      <c r="CX247">
        <f>Y247*Source!I263</f>
        <v>1.9037699999999997</v>
      </c>
      <c r="CY247">
        <f>AD247</f>
        <v>0</v>
      </c>
      <c r="CZ247">
        <f>AH247</f>
        <v>0</v>
      </c>
      <c r="DA247">
        <f>AL247</f>
        <v>1</v>
      </c>
      <c r="DB247">
        <f t="shared" si="15"/>
        <v>0</v>
      </c>
      <c r="DC247">
        <f t="shared" si="16"/>
        <v>0</v>
      </c>
    </row>
    <row r="248" spans="1:107" x14ac:dyDescent="0.2">
      <c r="A248">
        <f>ROW(Source!A264)</f>
        <v>264</v>
      </c>
      <c r="B248">
        <v>52430918</v>
      </c>
      <c r="C248">
        <v>52431961</v>
      </c>
      <c r="D248">
        <v>51848379</v>
      </c>
      <c r="E248">
        <v>27</v>
      </c>
      <c r="F248">
        <v>1</v>
      </c>
      <c r="G248">
        <v>27</v>
      </c>
      <c r="H248">
        <v>1</v>
      </c>
      <c r="I248" t="s">
        <v>378</v>
      </c>
      <c r="J248" t="s">
        <v>3</v>
      </c>
      <c r="K248" t="s">
        <v>379</v>
      </c>
      <c r="L248">
        <v>1191</v>
      </c>
      <c r="N248">
        <v>1013</v>
      </c>
      <c r="O248" t="s">
        <v>380</v>
      </c>
      <c r="P248" t="s">
        <v>380</v>
      </c>
      <c r="Q248">
        <v>1</v>
      </c>
      <c r="W248">
        <v>0</v>
      </c>
      <c r="X248">
        <v>476480486</v>
      </c>
      <c r="Y248">
        <v>155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1</v>
      </c>
      <c r="AJ248">
        <v>1</v>
      </c>
      <c r="AK248">
        <v>1</v>
      </c>
      <c r="AL248">
        <v>1</v>
      </c>
      <c r="AN248">
        <v>0</v>
      </c>
      <c r="AO248">
        <v>1</v>
      </c>
      <c r="AP248">
        <v>0</v>
      </c>
      <c r="AQ248">
        <v>0</v>
      </c>
      <c r="AR248">
        <v>0</v>
      </c>
      <c r="AS248" t="s">
        <v>3</v>
      </c>
      <c r="AT248">
        <v>155</v>
      </c>
      <c r="AU248" t="s">
        <v>3</v>
      </c>
      <c r="AV248">
        <v>1</v>
      </c>
      <c r="AW248">
        <v>2</v>
      </c>
      <c r="AX248">
        <v>52431966</v>
      </c>
      <c r="AY248">
        <v>1</v>
      </c>
      <c r="AZ248">
        <v>0</v>
      </c>
      <c r="BA248">
        <v>237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0</v>
      </c>
      <c r="BU248">
        <v>0</v>
      </c>
      <c r="BV248">
        <v>0</v>
      </c>
      <c r="BW248">
        <v>0</v>
      </c>
      <c r="CX248">
        <f>Y248*Source!I264</f>
        <v>4.4639999999999995</v>
      </c>
      <c r="CY248">
        <f>AD248</f>
        <v>0</v>
      </c>
      <c r="CZ248">
        <f>AH248</f>
        <v>0</v>
      </c>
      <c r="DA248">
        <f>AL248</f>
        <v>1</v>
      </c>
      <c r="DB248">
        <f t="shared" si="15"/>
        <v>0</v>
      </c>
      <c r="DC248">
        <f t="shared" si="16"/>
        <v>0</v>
      </c>
    </row>
    <row r="249" spans="1:107" x14ac:dyDescent="0.2">
      <c r="A249">
        <f>ROW(Source!A264)</f>
        <v>264</v>
      </c>
      <c r="B249">
        <v>52430918</v>
      </c>
      <c r="C249">
        <v>52431961</v>
      </c>
      <c r="D249">
        <v>51865160</v>
      </c>
      <c r="E249">
        <v>1</v>
      </c>
      <c r="F249">
        <v>1</v>
      </c>
      <c r="G249">
        <v>27</v>
      </c>
      <c r="H249">
        <v>2</v>
      </c>
      <c r="I249" t="s">
        <v>460</v>
      </c>
      <c r="J249" t="s">
        <v>461</v>
      </c>
      <c r="K249" t="s">
        <v>462</v>
      </c>
      <c r="L249">
        <v>1368</v>
      </c>
      <c r="N249">
        <v>1011</v>
      </c>
      <c r="O249" t="s">
        <v>84</v>
      </c>
      <c r="P249" t="s">
        <v>84</v>
      </c>
      <c r="Q249">
        <v>1</v>
      </c>
      <c r="W249">
        <v>0</v>
      </c>
      <c r="X249">
        <v>255594146</v>
      </c>
      <c r="Y249">
        <v>37.5</v>
      </c>
      <c r="AA249">
        <v>0</v>
      </c>
      <c r="AB249">
        <v>744.2</v>
      </c>
      <c r="AC249">
        <v>423.17</v>
      </c>
      <c r="AD249">
        <v>0</v>
      </c>
      <c r="AE249">
        <v>0</v>
      </c>
      <c r="AF249">
        <v>744.2</v>
      </c>
      <c r="AG249">
        <v>423.17</v>
      </c>
      <c r="AH249">
        <v>0</v>
      </c>
      <c r="AI249">
        <v>1</v>
      </c>
      <c r="AJ249">
        <v>1</v>
      </c>
      <c r="AK249">
        <v>1</v>
      </c>
      <c r="AL249">
        <v>1</v>
      </c>
      <c r="AN249">
        <v>0</v>
      </c>
      <c r="AO249">
        <v>1</v>
      </c>
      <c r="AP249">
        <v>0</v>
      </c>
      <c r="AQ249">
        <v>0</v>
      </c>
      <c r="AR249">
        <v>0</v>
      </c>
      <c r="AS249" t="s">
        <v>3</v>
      </c>
      <c r="AT249">
        <v>37.5</v>
      </c>
      <c r="AU249" t="s">
        <v>3</v>
      </c>
      <c r="AV249">
        <v>0</v>
      </c>
      <c r="AW249">
        <v>2</v>
      </c>
      <c r="AX249">
        <v>52431967</v>
      </c>
      <c r="AY249">
        <v>1</v>
      </c>
      <c r="AZ249">
        <v>0</v>
      </c>
      <c r="BA249">
        <v>238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0</v>
      </c>
      <c r="BR249">
        <v>0</v>
      </c>
      <c r="BS249">
        <v>0</v>
      </c>
      <c r="BT249">
        <v>0</v>
      </c>
      <c r="BU249">
        <v>0</v>
      </c>
      <c r="BV249">
        <v>0</v>
      </c>
      <c r="BW249">
        <v>0</v>
      </c>
      <c r="CX249">
        <f>Y249*Source!I264</f>
        <v>1.08</v>
      </c>
      <c r="CY249">
        <f>AB249</f>
        <v>744.2</v>
      </c>
      <c r="CZ249">
        <f>AF249</f>
        <v>744.2</v>
      </c>
      <c r="DA249">
        <f>AJ249</f>
        <v>1</v>
      </c>
      <c r="DB249">
        <f t="shared" si="15"/>
        <v>27907.5</v>
      </c>
      <c r="DC249">
        <f t="shared" si="16"/>
        <v>15868.88</v>
      </c>
    </row>
    <row r="250" spans="1:107" x14ac:dyDescent="0.2">
      <c r="A250">
        <f>ROW(Source!A264)</f>
        <v>264</v>
      </c>
      <c r="B250">
        <v>52430918</v>
      </c>
      <c r="C250">
        <v>52431961</v>
      </c>
      <c r="D250">
        <v>51865675</v>
      </c>
      <c r="E250">
        <v>1</v>
      </c>
      <c r="F250">
        <v>1</v>
      </c>
      <c r="G250">
        <v>27</v>
      </c>
      <c r="H250">
        <v>2</v>
      </c>
      <c r="I250" t="s">
        <v>463</v>
      </c>
      <c r="J250" t="s">
        <v>464</v>
      </c>
      <c r="K250" t="s">
        <v>465</v>
      </c>
      <c r="L250">
        <v>1368</v>
      </c>
      <c r="N250">
        <v>1011</v>
      </c>
      <c r="O250" t="s">
        <v>84</v>
      </c>
      <c r="P250" t="s">
        <v>84</v>
      </c>
      <c r="Q250">
        <v>1</v>
      </c>
      <c r="W250">
        <v>0</v>
      </c>
      <c r="X250">
        <v>-352447613</v>
      </c>
      <c r="Y250">
        <v>75</v>
      </c>
      <c r="AA250">
        <v>0</v>
      </c>
      <c r="AB250">
        <v>6.02</v>
      </c>
      <c r="AC250">
        <v>0.02</v>
      </c>
      <c r="AD250">
        <v>0</v>
      </c>
      <c r="AE250">
        <v>0</v>
      </c>
      <c r="AF250">
        <v>6.02</v>
      </c>
      <c r="AG250">
        <v>0.02</v>
      </c>
      <c r="AH250">
        <v>0</v>
      </c>
      <c r="AI250">
        <v>1</v>
      </c>
      <c r="AJ250">
        <v>1</v>
      </c>
      <c r="AK250">
        <v>1</v>
      </c>
      <c r="AL250">
        <v>1</v>
      </c>
      <c r="AN250">
        <v>0</v>
      </c>
      <c r="AO250">
        <v>1</v>
      </c>
      <c r="AP250">
        <v>0</v>
      </c>
      <c r="AQ250">
        <v>0</v>
      </c>
      <c r="AR250">
        <v>0</v>
      </c>
      <c r="AS250" t="s">
        <v>3</v>
      </c>
      <c r="AT250">
        <v>75</v>
      </c>
      <c r="AU250" t="s">
        <v>3</v>
      </c>
      <c r="AV250">
        <v>0</v>
      </c>
      <c r="AW250">
        <v>2</v>
      </c>
      <c r="AX250">
        <v>52431968</v>
      </c>
      <c r="AY250">
        <v>1</v>
      </c>
      <c r="AZ250">
        <v>0</v>
      </c>
      <c r="BA250">
        <v>239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0</v>
      </c>
      <c r="BS250">
        <v>0</v>
      </c>
      <c r="BT250">
        <v>0</v>
      </c>
      <c r="BU250">
        <v>0</v>
      </c>
      <c r="BV250">
        <v>0</v>
      </c>
      <c r="BW250">
        <v>0</v>
      </c>
      <c r="CX250">
        <f>Y250*Source!I264</f>
        <v>2.16</v>
      </c>
      <c r="CY250">
        <f>AB250</f>
        <v>6.02</v>
      </c>
      <c r="CZ250">
        <f>AF250</f>
        <v>6.02</v>
      </c>
      <c r="DA250">
        <f>AJ250</f>
        <v>1</v>
      </c>
      <c r="DB250">
        <f t="shared" si="15"/>
        <v>451.5</v>
      </c>
      <c r="DC250">
        <f t="shared" si="16"/>
        <v>1.5</v>
      </c>
    </row>
    <row r="251" spans="1:107" x14ac:dyDescent="0.2">
      <c r="A251">
        <f>ROW(Source!A264)</f>
        <v>264</v>
      </c>
      <c r="B251">
        <v>52430918</v>
      </c>
      <c r="C251">
        <v>52431961</v>
      </c>
      <c r="D251">
        <v>51865030</v>
      </c>
      <c r="E251">
        <v>1</v>
      </c>
      <c r="F251">
        <v>1</v>
      </c>
      <c r="G251">
        <v>27</v>
      </c>
      <c r="H251">
        <v>2</v>
      </c>
      <c r="I251" t="s">
        <v>396</v>
      </c>
      <c r="J251" t="s">
        <v>397</v>
      </c>
      <c r="K251" t="s">
        <v>398</v>
      </c>
      <c r="L251">
        <v>1368</v>
      </c>
      <c r="N251">
        <v>1011</v>
      </c>
      <c r="O251" t="s">
        <v>84</v>
      </c>
      <c r="P251" t="s">
        <v>84</v>
      </c>
      <c r="Q251">
        <v>1</v>
      </c>
      <c r="W251">
        <v>0</v>
      </c>
      <c r="X251">
        <v>1116182101</v>
      </c>
      <c r="Y251">
        <v>1.55</v>
      </c>
      <c r="AA251">
        <v>0</v>
      </c>
      <c r="AB251">
        <v>1412.71</v>
      </c>
      <c r="AC251">
        <v>641.32000000000005</v>
      </c>
      <c r="AD251">
        <v>0</v>
      </c>
      <c r="AE251">
        <v>0</v>
      </c>
      <c r="AF251">
        <v>1412.71</v>
      </c>
      <c r="AG251">
        <v>641.32000000000005</v>
      </c>
      <c r="AH251">
        <v>0</v>
      </c>
      <c r="AI251">
        <v>1</v>
      </c>
      <c r="AJ251">
        <v>1</v>
      </c>
      <c r="AK251">
        <v>1</v>
      </c>
      <c r="AL251">
        <v>1</v>
      </c>
      <c r="AN251">
        <v>0</v>
      </c>
      <c r="AO251">
        <v>1</v>
      </c>
      <c r="AP251">
        <v>0</v>
      </c>
      <c r="AQ251">
        <v>0</v>
      </c>
      <c r="AR251">
        <v>0</v>
      </c>
      <c r="AS251" t="s">
        <v>3</v>
      </c>
      <c r="AT251">
        <v>1.55</v>
      </c>
      <c r="AU251" t="s">
        <v>3</v>
      </c>
      <c r="AV251">
        <v>0</v>
      </c>
      <c r="AW251">
        <v>2</v>
      </c>
      <c r="AX251">
        <v>52431969</v>
      </c>
      <c r="AY251">
        <v>1</v>
      </c>
      <c r="AZ251">
        <v>0</v>
      </c>
      <c r="BA251">
        <v>240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0</v>
      </c>
      <c r="BV251">
        <v>0</v>
      </c>
      <c r="BW251">
        <v>0</v>
      </c>
      <c r="CX251">
        <f>Y251*Source!I264</f>
        <v>4.4639999999999999E-2</v>
      </c>
      <c r="CY251">
        <f>AB251</f>
        <v>1412.71</v>
      </c>
      <c r="CZ251">
        <f>AF251</f>
        <v>1412.71</v>
      </c>
      <c r="DA251">
        <f>AJ251</f>
        <v>1</v>
      </c>
      <c r="DB251">
        <f t="shared" si="15"/>
        <v>2189.6999999999998</v>
      </c>
      <c r="DC251">
        <f t="shared" si="16"/>
        <v>994.05</v>
      </c>
    </row>
    <row r="252" spans="1:107" x14ac:dyDescent="0.2">
      <c r="A252">
        <f>ROW(Source!A265)</f>
        <v>265</v>
      </c>
      <c r="B252">
        <v>52430918</v>
      </c>
      <c r="C252">
        <v>52431970</v>
      </c>
      <c r="D252">
        <v>51848379</v>
      </c>
      <c r="E252">
        <v>27</v>
      </c>
      <c r="F252">
        <v>1</v>
      </c>
      <c r="G252">
        <v>27</v>
      </c>
      <c r="H252">
        <v>1</v>
      </c>
      <c r="I252" t="s">
        <v>378</v>
      </c>
      <c r="J252" t="s">
        <v>3</v>
      </c>
      <c r="K252" t="s">
        <v>379</v>
      </c>
      <c r="L252">
        <v>1191</v>
      </c>
      <c r="N252">
        <v>1013</v>
      </c>
      <c r="O252" t="s">
        <v>380</v>
      </c>
      <c r="P252" t="s">
        <v>380</v>
      </c>
      <c r="Q252">
        <v>1</v>
      </c>
      <c r="W252">
        <v>0</v>
      </c>
      <c r="X252">
        <v>476480486</v>
      </c>
      <c r="Y252">
        <v>11.7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1</v>
      </c>
      <c r="AJ252">
        <v>1</v>
      </c>
      <c r="AK252">
        <v>1</v>
      </c>
      <c r="AL252">
        <v>1</v>
      </c>
      <c r="AN252">
        <v>0</v>
      </c>
      <c r="AO252">
        <v>1</v>
      </c>
      <c r="AP252">
        <v>0</v>
      </c>
      <c r="AQ252">
        <v>0</v>
      </c>
      <c r="AR252">
        <v>0</v>
      </c>
      <c r="AS252" t="s">
        <v>3</v>
      </c>
      <c r="AT252">
        <v>11.7</v>
      </c>
      <c r="AU252" t="s">
        <v>3</v>
      </c>
      <c r="AV252">
        <v>1</v>
      </c>
      <c r="AW252">
        <v>2</v>
      </c>
      <c r="AX252">
        <v>52431974</v>
      </c>
      <c r="AY252">
        <v>1</v>
      </c>
      <c r="AZ252">
        <v>0</v>
      </c>
      <c r="BA252">
        <v>241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0</v>
      </c>
      <c r="BV252">
        <v>0</v>
      </c>
      <c r="BW252">
        <v>0</v>
      </c>
      <c r="CX252">
        <f>Y252*Source!I265</f>
        <v>0.80963999999999992</v>
      </c>
      <c r="CY252">
        <f>AD252</f>
        <v>0</v>
      </c>
      <c r="CZ252">
        <f>AH252</f>
        <v>0</v>
      </c>
      <c r="DA252">
        <f>AL252</f>
        <v>1</v>
      </c>
      <c r="DB252">
        <f t="shared" si="15"/>
        <v>0</v>
      </c>
      <c r="DC252">
        <f t="shared" si="16"/>
        <v>0</v>
      </c>
    </row>
    <row r="253" spans="1:107" x14ac:dyDescent="0.2">
      <c r="A253">
        <f>ROW(Source!A265)</f>
        <v>265</v>
      </c>
      <c r="B253">
        <v>52430918</v>
      </c>
      <c r="C253">
        <v>52431970</v>
      </c>
      <c r="D253">
        <v>51864848</v>
      </c>
      <c r="E253">
        <v>1</v>
      </c>
      <c r="F253">
        <v>1</v>
      </c>
      <c r="G253">
        <v>27</v>
      </c>
      <c r="H253">
        <v>2</v>
      </c>
      <c r="I253" t="s">
        <v>387</v>
      </c>
      <c r="J253" t="s">
        <v>388</v>
      </c>
      <c r="K253" t="s">
        <v>389</v>
      </c>
      <c r="L253">
        <v>1368</v>
      </c>
      <c r="N253">
        <v>1011</v>
      </c>
      <c r="O253" t="s">
        <v>84</v>
      </c>
      <c r="P253" t="s">
        <v>84</v>
      </c>
      <c r="Q253">
        <v>1</v>
      </c>
      <c r="W253">
        <v>0</v>
      </c>
      <c r="X253">
        <v>2108619810</v>
      </c>
      <c r="Y253">
        <v>1.26</v>
      </c>
      <c r="AA253">
        <v>0</v>
      </c>
      <c r="AB253">
        <v>740.94</v>
      </c>
      <c r="AC253">
        <v>413.22</v>
      </c>
      <c r="AD253">
        <v>0</v>
      </c>
      <c r="AE253">
        <v>0</v>
      </c>
      <c r="AF253">
        <v>740.94</v>
      </c>
      <c r="AG253">
        <v>413.22</v>
      </c>
      <c r="AH253">
        <v>0</v>
      </c>
      <c r="AI253">
        <v>1</v>
      </c>
      <c r="AJ253">
        <v>1</v>
      </c>
      <c r="AK253">
        <v>1</v>
      </c>
      <c r="AL253">
        <v>1</v>
      </c>
      <c r="AN253">
        <v>0</v>
      </c>
      <c r="AO253">
        <v>1</v>
      </c>
      <c r="AP253">
        <v>0</v>
      </c>
      <c r="AQ253">
        <v>0</v>
      </c>
      <c r="AR253">
        <v>0</v>
      </c>
      <c r="AS253" t="s">
        <v>3</v>
      </c>
      <c r="AT253">
        <v>1.26</v>
      </c>
      <c r="AU253" t="s">
        <v>3</v>
      </c>
      <c r="AV253">
        <v>0</v>
      </c>
      <c r="AW253">
        <v>2</v>
      </c>
      <c r="AX253">
        <v>52431975</v>
      </c>
      <c r="AY253">
        <v>1</v>
      </c>
      <c r="AZ253">
        <v>0</v>
      </c>
      <c r="BA253">
        <v>242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0</v>
      </c>
      <c r="BT253">
        <v>0</v>
      </c>
      <c r="BU253">
        <v>0</v>
      </c>
      <c r="BV253">
        <v>0</v>
      </c>
      <c r="BW253">
        <v>0</v>
      </c>
      <c r="CX253">
        <f>Y253*Source!I265</f>
        <v>8.7191999999999992E-2</v>
      </c>
      <c r="CY253">
        <f>AB253</f>
        <v>740.94</v>
      </c>
      <c r="CZ253">
        <f>AF253</f>
        <v>740.94</v>
      </c>
      <c r="DA253">
        <f>AJ253</f>
        <v>1</v>
      </c>
      <c r="DB253">
        <f t="shared" si="15"/>
        <v>933.58</v>
      </c>
      <c r="DC253">
        <f t="shared" si="16"/>
        <v>520.66</v>
      </c>
    </row>
    <row r="254" spans="1:107" x14ac:dyDescent="0.2">
      <c r="A254">
        <f>ROW(Source!A265)</f>
        <v>265</v>
      </c>
      <c r="B254">
        <v>52430918</v>
      </c>
      <c r="C254">
        <v>52431970</v>
      </c>
      <c r="D254">
        <v>51865030</v>
      </c>
      <c r="E254">
        <v>1</v>
      </c>
      <c r="F254">
        <v>1</v>
      </c>
      <c r="G254">
        <v>27</v>
      </c>
      <c r="H254">
        <v>2</v>
      </c>
      <c r="I254" t="s">
        <v>396</v>
      </c>
      <c r="J254" t="s">
        <v>397</v>
      </c>
      <c r="K254" t="s">
        <v>398</v>
      </c>
      <c r="L254">
        <v>1368</v>
      </c>
      <c r="N254">
        <v>1011</v>
      </c>
      <c r="O254" t="s">
        <v>84</v>
      </c>
      <c r="P254" t="s">
        <v>84</v>
      </c>
      <c r="Q254">
        <v>1</v>
      </c>
      <c r="W254">
        <v>0</v>
      </c>
      <c r="X254">
        <v>1116182101</v>
      </c>
      <c r="Y254">
        <v>1.7</v>
      </c>
      <c r="AA254">
        <v>0</v>
      </c>
      <c r="AB254">
        <v>1412.71</v>
      </c>
      <c r="AC254">
        <v>641.32000000000005</v>
      </c>
      <c r="AD254">
        <v>0</v>
      </c>
      <c r="AE254">
        <v>0</v>
      </c>
      <c r="AF254">
        <v>1412.71</v>
      </c>
      <c r="AG254">
        <v>641.32000000000005</v>
      </c>
      <c r="AH254">
        <v>0</v>
      </c>
      <c r="AI254">
        <v>1</v>
      </c>
      <c r="AJ254">
        <v>1</v>
      </c>
      <c r="AK254">
        <v>1</v>
      </c>
      <c r="AL254">
        <v>1</v>
      </c>
      <c r="AN254">
        <v>0</v>
      </c>
      <c r="AO254">
        <v>1</v>
      </c>
      <c r="AP254">
        <v>0</v>
      </c>
      <c r="AQ254">
        <v>0</v>
      </c>
      <c r="AR254">
        <v>0</v>
      </c>
      <c r="AS254" t="s">
        <v>3</v>
      </c>
      <c r="AT254">
        <v>1.7</v>
      </c>
      <c r="AU254" t="s">
        <v>3</v>
      </c>
      <c r="AV254">
        <v>0</v>
      </c>
      <c r="AW254">
        <v>2</v>
      </c>
      <c r="AX254">
        <v>52431976</v>
      </c>
      <c r="AY254">
        <v>1</v>
      </c>
      <c r="AZ254">
        <v>0</v>
      </c>
      <c r="BA254">
        <v>243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0</v>
      </c>
      <c r="BT254">
        <v>0</v>
      </c>
      <c r="BU254">
        <v>0</v>
      </c>
      <c r="BV254">
        <v>0</v>
      </c>
      <c r="BW254">
        <v>0</v>
      </c>
      <c r="CX254">
        <f>Y254*Source!I265</f>
        <v>0.11763999999999999</v>
      </c>
      <c r="CY254">
        <f>AB254</f>
        <v>1412.71</v>
      </c>
      <c r="CZ254">
        <f>AF254</f>
        <v>1412.71</v>
      </c>
      <c r="DA254">
        <f>AJ254</f>
        <v>1</v>
      </c>
      <c r="DB254">
        <f t="shared" si="15"/>
        <v>2401.61</v>
      </c>
      <c r="DC254">
        <f t="shared" si="16"/>
        <v>1090.24</v>
      </c>
    </row>
    <row r="255" spans="1:107" x14ac:dyDescent="0.2">
      <c r="A255">
        <f>ROW(Source!A266)</f>
        <v>266</v>
      </c>
      <c r="B255">
        <v>52430918</v>
      </c>
      <c r="C255">
        <v>52431977</v>
      </c>
      <c r="D255">
        <v>51848379</v>
      </c>
      <c r="E255">
        <v>27</v>
      </c>
      <c r="F255">
        <v>1</v>
      </c>
      <c r="G255">
        <v>27</v>
      </c>
      <c r="H255">
        <v>1</v>
      </c>
      <c r="I255" t="s">
        <v>378</v>
      </c>
      <c r="J255" t="s">
        <v>3</v>
      </c>
      <c r="K255" t="s">
        <v>379</v>
      </c>
      <c r="L255">
        <v>1191</v>
      </c>
      <c r="N255">
        <v>1013</v>
      </c>
      <c r="O255" t="s">
        <v>380</v>
      </c>
      <c r="P255" t="s">
        <v>380</v>
      </c>
      <c r="Q255">
        <v>1</v>
      </c>
      <c r="W255">
        <v>0</v>
      </c>
      <c r="X255">
        <v>476480486</v>
      </c>
      <c r="Y255">
        <v>2.2200000000000002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1</v>
      </c>
      <c r="AJ255">
        <v>1</v>
      </c>
      <c r="AK255">
        <v>1</v>
      </c>
      <c r="AL255">
        <v>1</v>
      </c>
      <c r="AN255">
        <v>0</v>
      </c>
      <c r="AO255">
        <v>1</v>
      </c>
      <c r="AP255">
        <v>0</v>
      </c>
      <c r="AQ255">
        <v>0</v>
      </c>
      <c r="AR255">
        <v>0</v>
      </c>
      <c r="AS255" t="s">
        <v>3</v>
      </c>
      <c r="AT255">
        <v>2.2200000000000002</v>
      </c>
      <c r="AU255" t="s">
        <v>3</v>
      </c>
      <c r="AV255">
        <v>1</v>
      </c>
      <c r="AW255">
        <v>2</v>
      </c>
      <c r="AX255">
        <v>52431981</v>
      </c>
      <c r="AY255">
        <v>1</v>
      </c>
      <c r="AZ255">
        <v>0</v>
      </c>
      <c r="BA255">
        <v>244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0</v>
      </c>
      <c r="BT255">
        <v>0</v>
      </c>
      <c r="BU255">
        <v>0</v>
      </c>
      <c r="BV255">
        <v>0</v>
      </c>
      <c r="BW255">
        <v>0</v>
      </c>
      <c r="CX255">
        <f>Y255*Source!I266</f>
        <v>0.56166000000000005</v>
      </c>
      <c r="CY255">
        <f>AD255</f>
        <v>0</v>
      </c>
      <c r="CZ255">
        <f>AH255</f>
        <v>0</v>
      </c>
      <c r="DA255">
        <f>AL255</f>
        <v>1</v>
      </c>
      <c r="DB255">
        <f t="shared" si="15"/>
        <v>0</v>
      </c>
      <c r="DC255">
        <f t="shared" si="16"/>
        <v>0</v>
      </c>
    </row>
    <row r="256" spans="1:107" x14ac:dyDescent="0.2">
      <c r="A256">
        <f>ROW(Source!A266)</f>
        <v>266</v>
      </c>
      <c r="B256">
        <v>52430918</v>
      </c>
      <c r="C256">
        <v>52431977</v>
      </c>
      <c r="D256">
        <v>51864802</v>
      </c>
      <c r="E256">
        <v>1</v>
      </c>
      <c r="F256">
        <v>1</v>
      </c>
      <c r="G256">
        <v>27</v>
      </c>
      <c r="H256">
        <v>2</v>
      </c>
      <c r="I256" t="s">
        <v>466</v>
      </c>
      <c r="J256" t="s">
        <v>467</v>
      </c>
      <c r="K256" t="s">
        <v>468</v>
      </c>
      <c r="L256">
        <v>1368</v>
      </c>
      <c r="N256">
        <v>1011</v>
      </c>
      <c r="O256" t="s">
        <v>84</v>
      </c>
      <c r="P256" t="s">
        <v>84</v>
      </c>
      <c r="Q256">
        <v>1</v>
      </c>
      <c r="W256">
        <v>0</v>
      </c>
      <c r="X256">
        <v>-1428927495</v>
      </c>
      <c r="Y256">
        <v>6.02</v>
      </c>
      <c r="AA256">
        <v>0</v>
      </c>
      <c r="AB256">
        <v>1230.4000000000001</v>
      </c>
      <c r="AC256">
        <v>565.29</v>
      </c>
      <c r="AD256">
        <v>0</v>
      </c>
      <c r="AE256">
        <v>0</v>
      </c>
      <c r="AF256">
        <v>1230.4000000000001</v>
      </c>
      <c r="AG256">
        <v>565.29</v>
      </c>
      <c r="AH256">
        <v>0</v>
      </c>
      <c r="AI256">
        <v>1</v>
      </c>
      <c r="AJ256">
        <v>1</v>
      </c>
      <c r="AK256">
        <v>1</v>
      </c>
      <c r="AL256">
        <v>1</v>
      </c>
      <c r="AN256">
        <v>0</v>
      </c>
      <c r="AO256">
        <v>1</v>
      </c>
      <c r="AP256">
        <v>0</v>
      </c>
      <c r="AQ256">
        <v>0</v>
      </c>
      <c r="AR256">
        <v>0</v>
      </c>
      <c r="AS256" t="s">
        <v>3</v>
      </c>
      <c r="AT256">
        <v>6.02</v>
      </c>
      <c r="AU256" t="s">
        <v>3</v>
      </c>
      <c r="AV256">
        <v>0</v>
      </c>
      <c r="AW256">
        <v>2</v>
      </c>
      <c r="AX256">
        <v>52431982</v>
      </c>
      <c r="AY256">
        <v>1</v>
      </c>
      <c r="AZ256">
        <v>0</v>
      </c>
      <c r="BA256">
        <v>245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0</v>
      </c>
      <c r="BV256">
        <v>0</v>
      </c>
      <c r="BW256">
        <v>0</v>
      </c>
      <c r="CX256">
        <f>Y256*Source!I266</f>
        <v>1.5230599999999999</v>
      </c>
      <c r="CY256">
        <f>AB256</f>
        <v>1230.4000000000001</v>
      </c>
      <c r="CZ256">
        <f>AF256</f>
        <v>1230.4000000000001</v>
      </c>
      <c r="DA256">
        <f>AJ256</f>
        <v>1</v>
      </c>
      <c r="DB256">
        <f t="shared" si="15"/>
        <v>7407.01</v>
      </c>
      <c r="DC256">
        <f t="shared" si="16"/>
        <v>3403.05</v>
      </c>
    </row>
    <row r="257" spans="1:107" x14ac:dyDescent="0.2">
      <c r="A257">
        <f>ROW(Source!A266)</f>
        <v>266</v>
      </c>
      <c r="B257">
        <v>52430918</v>
      </c>
      <c r="C257">
        <v>52431977</v>
      </c>
      <c r="D257">
        <v>51864825</v>
      </c>
      <c r="E257">
        <v>1</v>
      </c>
      <c r="F257">
        <v>1</v>
      </c>
      <c r="G257">
        <v>27</v>
      </c>
      <c r="H257">
        <v>2</v>
      </c>
      <c r="I257" t="s">
        <v>469</v>
      </c>
      <c r="J257" t="s">
        <v>470</v>
      </c>
      <c r="K257" t="s">
        <v>471</v>
      </c>
      <c r="L257">
        <v>1368</v>
      </c>
      <c r="N257">
        <v>1011</v>
      </c>
      <c r="O257" t="s">
        <v>84</v>
      </c>
      <c r="P257" t="s">
        <v>84</v>
      </c>
      <c r="Q257">
        <v>1</v>
      </c>
      <c r="W257">
        <v>0</v>
      </c>
      <c r="X257">
        <v>760588622</v>
      </c>
      <c r="Y257">
        <v>1.75</v>
      </c>
      <c r="AA257">
        <v>0</v>
      </c>
      <c r="AB257">
        <v>956.79</v>
      </c>
      <c r="AC257">
        <v>359.44</v>
      </c>
      <c r="AD257">
        <v>0</v>
      </c>
      <c r="AE257">
        <v>0</v>
      </c>
      <c r="AF257">
        <v>956.79</v>
      </c>
      <c r="AG257">
        <v>359.44</v>
      </c>
      <c r="AH257">
        <v>0</v>
      </c>
      <c r="AI257">
        <v>1</v>
      </c>
      <c r="AJ257">
        <v>1</v>
      </c>
      <c r="AK257">
        <v>1</v>
      </c>
      <c r="AL257">
        <v>1</v>
      </c>
      <c r="AN257">
        <v>0</v>
      </c>
      <c r="AO257">
        <v>1</v>
      </c>
      <c r="AP257">
        <v>0</v>
      </c>
      <c r="AQ257">
        <v>0</v>
      </c>
      <c r="AR257">
        <v>0</v>
      </c>
      <c r="AS257" t="s">
        <v>3</v>
      </c>
      <c r="AT257">
        <v>1.75</v>
      </c>
      <c r="AU257" t="s">
        <v>3</v>
      </c>
      <c r="AV257">
        <v>0</v>
      </c>
      <c r="AW257">
        <v>2</v>
      </c>
      <c r="AX257">
        <v>52431983</v>
      </c>
      <c r="AY257">
        <v>1</v>
      </c>
      <c r="AZ257">
        <v>0</v>
      </c>
      <c r="BA257">
        <v>246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0</v>
      </c>
      <c r="BW257">
        <v>0</v>
      </c>
      <c r="CX257">
        <f>Y257*Source!I266</f>
        <v>0.44274999999999998</v>
      </c>
      <c r="CY257">
        <f>AB257</f>
        <v>956.79</v>
      </c>
      <c r="CZ257">
        <f>AF257</f>
        <v>956.79</v>
      </c>
      <c r="DA257">
        <f>AJ257</f>
        <v>1</v>
      </c>
      <c r="DB257">
        <f t="shared" ref="DB257:DB320" si="20">ROUND(ROUND(AT257*CZ257,2),6)</f>
        <v>1674.38</v>
      </c>
      <c r="DC257">
        <f t="shared" ref="DC257:DC320" si="21">ROUND(ROUND(AT257*AG257,2),6)</f>
        <v>629.02</v>
      </c>
    </row>
    <row r="258" spans="1:107" x14ac:dyDescent="0.2">
      <c r="A258">
        <f>ROW(Source!A267)</f>
        <v>267</v>
      </c>
      <c r="B258">
        <v>52430918</v>
      </c>
      <c r="C258">
        <v>52431984</v>
      </c>
      <c r="D258">
        <v>51848379</v>
      </c>
      <c r="E258">
        <v>27</v>
      </c>
      <c r="F258">
        <v>1</v>
      </c>
      <c r="G258">
        <v>27</v>
      </c>
      <c r="H258">
        <v>1</v>
      </c>
      <c r="I258" t="s">
        <v>378</v>
      </c>
      <c r="J258" t="s">
        <v>3</v>
      </c>
      <c r="K258" t="s">
        <v>379</v>
      </c>
      <c r="L258">
        <v>1191</v>
      </c>
      <c r="N258">
        <v>1013</v>
      </c>
      <c r="O258" t="s">
        <v>380</v>
      </c>
      <c r="P258" t="s">
        <v>380</v>
      </c>
      <c r="Q258">
        <v>1</v>
      </c>
      <c r="W258">
        <v>0</v>
      </c>
      <c r="X258">
        <v>476480486</v>
      </c>
      <c r="Y258">
        <v>16.559999999999999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1</v>
      </c>
      <c r="AJ258">
        <v>1</v>
      </c>
      <c r="AK258">
        <v>1</v>
      </c>
      <c r="AL258">
        <v>1</v>
      </c>
      <c r="AN258">
        <v>0</v>
      </c>
      <c r="AO258">
        <v>1</v>
      </c>
      <c r="AP258">
        <v>0</v>
      </c>
      <c r="AQ258">
        <v>0</v>
      </c>
      <c r="AR258">
        <v>0</v>
      </c>
      <c r="AS258" t="s">
        <v>3</v>
      </c>
      <c r="AT258">
        <v>16.559999999999999</v>
      </c>
      <c r="AU258" t="s">
        <v>3</v>
      </c>
      <c r="AV258">
        <v>1</v>
      </c>
      <c r="AW258">
        <v>2</v>
      </c>
      <c r="AX258">
        <v>52431993</v>
      </c>
      <c r="AY258">
        <v>1</v>
      </c>
      <c r="AZ258">
        <v>0</v>
      </c>
      <c r="BA258">
        <v>247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</v>
      </c>
      <c r="BU258">
        <v>0</v>
      </c>
      <c r="BV258">
        <v>0</v>
      </c>
      <c r="BW258">
        <v>0</v>
      </c>
      <c r="CX258">
        <f>Y258*Source!I267</f>
        <v>1.6758719999999998</v>
      </c>
      <c r="CY258">
        <f>AD258</f>
        <v>0</v>
      </c>
      <c r="CZ258">
        <f>AH258</f>
        <v>0</v>
      </c>
      <c r="DA258">
        <f>AL258</f>
        <v>1</v>
      </c>
      <c r="DB258">
        <f t="shared" si="20"/>
        <v>0</v>
      </c>
      <c r="DC258">
        <f t="shared" si="21"/>
        <v>0</v>
      </c>
    </row>
    <row r="259" spans="1:107" x14ac:dyDescent="0.2">
      <c r="A259">
        <f>ROW(Source!A267)</f>
        <v>267</v>
      </c>
      <c r="B259">
        <v>52430918</v>
      </c>
      <c r="C259">
        <v>52431984</v>
      </c>
      <c r="D259">
        <v>51864848</v>
      </c>
      <c r="E259">
        <v>1</v>
      </c>
      <c r="F259">
        <v>1</v>
      </c>
      <c r="G259">
        <v>27</v>
      </c>
      <c r="H259">
        <v>2</v>
      </c>
      <c r="I259" t="s">
        <v>387</v>
      </c>
      <c r="J259" t="s">
        <v>388</v>
      </c>
      <c r="K259" t="s">
        <v>389</v>
      </c>
      <c r="L259">
        <v>1368</v>
      </c>
      <c r="N259">
        <v>1011</v>
      </c>
      <c r="O259" t="s">
        <v>84</v>
      </c>
      <c r="P259" t="s">
        <v>84</v>
      </c>
      <c r="Q259">
        <v>1</v>
      </c>
      <c r="W259">
        <v>0</v>
      </c>
      <c r="X259">
        <v>2108619810</v>
      </c>
      <c r="Y259">
        <v>2.08</v>
      </c>
      <c r="AA259">
        <v>0</v>
      </c>
      <c r="AB259">
        <v>740.94</v>
      </c>
      <c r="AC259">
        <v>413.22</v>
      </c>
      <c r="AD259">
        <v>0</v>
      </c>
      <c r="AE259">
        <v>0</v>
      </c>
      <c r="AF259">
        <v>740.94</v>
      </c>
      <c r="AG259">
        <v>413.22</v>
      </c>
      <c r="AH259">
        <v>0</v>
      </c>
      <c r="AI259">
        <v>1</v>
      </c>
      <c r="AJ259">
        <v>1</v>
      </c>
      <c r="AK259">
        <v>1</v>
      </c>
      <c r="AL259">
        <v>1</v>
      </c>
      <c r="AN259">
        <v>0</v>
      </c>
      <c r="AO259">
        <v>1</v>
      </c>
      <c r="AP259">
        <v>0</v>
      </c>
      <c r="AQ259">
        <v>0</v>
      </c>
      <c r="AR259">
        <v>0</v>
      </c>
      <c r="AS259" t="s">
        <v>3</v>
      </c>
      <c r="AT259">
        <v>2.08</v>
      </c>
      <c r="AU259" t="s">
        <v>3</v>
      </c>
      <c r="AV259">
        <v>0</v>
      </c>
      <c r="AW259">
        <v>2</v>
      </c>
      <c r="AX259">
        <v>52431994</v>
      </c>
      <c r="AY259">
        <v>1</v>
      </c>
      <c r="AZ259">
        <v>0</v>
      </c>
      <c r="BA259">
        <v>248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0</v>
      </c>
      <c r="BU259">
        <v>0</v>
      </c>
      <c r="BV259">
        <v>0</v>
      </c>
      <c r="BW259">
        <v>0</v>
      </c>
      <c r="CX259">
        <f>Y259*Source!I267</f>
        <v>0.21049600000000002</v>
      </c>
      <c r="CY259">
        <f>AB259</f>
        <v>740.94</v>
      </c>
      <c r="CZ259">
        <f>AF259</f>
        <v>740.94</v>
      </c>
      <c r="DA259">
        <f>AJ259</f>
        <v>1</v>
      </c>
      <c r="DB259">
        <f t="shared" si="20"/>
        <v>1541.16</v>
      </c>
      <c r="DC259">
        <f t="shared" si="21"/>
        <v>859.5</v>
      </c>
    </row>
    <row r="260" spans="1:107" x14ac:dyDescent="0.2">
      <c r="A260">
        <f>ROW(Source!A267)</f>
        <v>267</v>
      </c>
      <c r="B260">
        <v>52430918</v>
      </c>
      <c r="C260">
        <v>52431984</v>
      </c>
      <c r="D260">
        <v>51865003</v>
      </c>
      <c r="E260">
        <v>1</v>
      </c>
      <c r="F260">
        <v>1</v>
      </c>
      <c r="G260">
        <v>27</v>
      </c>
      <c r="H260">
        <v>2</v>
      </c>
      <c r="I260" t="s">
        <v>390</v>
      </c>
      <c r="J260" t="s">
        <v>391</v>
      </c>
      <c r="K260" t="s">
        <v>392</v>
      </c>
      <c r="L260">
        <v>1368</v>
      </c>
      <c r="N260">
        <v>1011</v>
      </c>
      <c r="O260" t="s">
        <v>84</v>
      </c>
      <c r="P260" t="s">
        <v>84</v>
      </c>
      <c r="Q260">
        <v>1</v>
      </c>
      <c r="W260">
        <v>0</v>
      </c>
      <c r="X260">
        <v>-1512295274</v>
      </c>
      <c r="Y260">
        <v>2.08</v>
      </c>
      <c r="AA260">
        <v>0</v>
      </c>
      <c r="AB260">
        <v>430.32</v>
      </c>
      <c r="AC260">
        <v>215.31</v>
      </c>
      <c r="AD260">
        <v>0</v>
      </c>
      <c r="AE260">
        <v>0</v>
      </c>
      <c r="AF260">
        <v>430.32</v>
      </c>
      <c r="AG260">
        <v>215.31</v>
      </c>
      <c r="AH260">
        <v>0</v>
      </c>
      <c r="AI260">
        <v>1</v>
      </c>
      <c r="AJ260">
        <v>1</v>
      </c>
      <c r="AK260">
        <v>1</v>
      </c>
      <c r="AL260">
        <v>1</v>
      </c>
      <c r="AN260">
        <v>0</v>
      </c>
      <c r="AO260">
        <v>1</v>
      </c>
      <c r="AP260">
        <v>0</v>
      </c>
      <c r="AQ260">
        <v>0</v>
      </c>
      <c r="AR260">
        <v>0</v>
      </c>
      <c r="AS260" t="s">
        <v>3</v>
      </c>
      <c r="AT260">
        <v>2.08</v>
      </c>
      <c r="AU260" t="s">
        <v>3</v>
      </c>
      <c r="AV260">
        <v>0</v>
      </c>
      <c r="AW260">
        <v>2</v>
      </c>
      <c r="AX260">
        <v>52431995</v>
      </c>
      <c r="AY260">
        <v>1</v>
      </c>
      <c r="AZ260">
        <v>0</v>
      </c>
      <c r="BA260">
        <v>249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  <c r="BV260">
        <v>0</v>
      </c>
      <c r="BW260">
        <v>0</v>
      </c>
      <c r="CX260">
        <f>Y260*Source!I267</f>
        <v>0.21049600000000002</v>
      </c>
      <c r="CY260">
        <f>AB260</f>
        <v>430.32</v>
      </c>
      <c r="CZ260">
        <f>AF260</f>
        <v>430.32</v>
      </c>
      <c r="DA260">
        <f>AJ260</f>
        <v>1</v>
      </c>
      <c r="DB260">
        <f t="shared" si="20"/>
        <v>895.07</v>
      </c>
      <c r="DC260">
        <f t="shared" si="21"/>
        <v>447.84</v>
      </c>
    </row>
    <row r="261" spans="1:107" x14ac:dyDescent="0.2">
      <c r="A261">
        <f>ROW(Source!A267)</f>
        <v>267</v>
      </c>
      <c r="B261">
        <v>52430918</v>
      </c>
      <c r="C261">
        <v>52431984</v>
      </c>
      <c r="D261">
        <v>51865006</v>
      </c>
      <c r="E261">
        <v>1</v>
      </c>
      <c r="F261">
        <v>1</v>
      </c>
      <c r="G261">
        <v>27</v>
      </c>
      <c r="H261">
        <v>2</v>
      </c>
      <c r="I261" t="s">
        <v>393</v>
      </c>
      <c r="J261" t="s">
        <v>394</v>
      </c>
      <c r="K261" t="s">
        <v>395</v>
      </c>
      <c r="L261">
        <v>1368</v>
      </c>
      <c r="N261">
        <v>1011</v>
      </c>
      <c r="O261" t="s">
        <v>84</v>
      </c>
      <c r="P261" t="s">
        <v>84</v>
      </c>
      <c r="Q261">
        <v>1</v>
      </c>
      <c r="W261">
        <v>0</v>
      </c>
      <c r="X261">
        <v>2042885981</v>
      </c>
      <c r="Y261">
        <v>0.81</v>
      </c>
      <c r="AA261">
        <v>0</v>
      </c>
      <c r="AB261">
        <v>2020.59</v>
      </c>
      <c r="AC261">
        <v>458.56</v>
      </c>
      <c r="AD261">
        <v>0</v>
      </c>
      <c r="AE261">
        <v>0</v>
      </c>
      <c r="AF261">
        <v>2020.59</v>
      </c>
      <c r="AG261">
        <v>458.56</v>
      </c>
      <c r="AH261">
        <v>0</v>
      </c>
      <c r="AI261">
        <v>1</v>
      </c>
      <c r="AJ261">
        <v>1</v>
      </c>
      <c r="AK261">
        <v>1</v>
      </c>
      <c r="AL261">
        <v>1</v>
      </c>
      <c r="AN261">
        <v>0</v>
      </c>
      <c r="AO261">
        <v>1</v>
      </c>
      <c r="AP261">
        <v>0</v>
      </c>
      <c r="AQ261">
        <v>0</v>
      </c>
      <c r="AR261">
        <v>0</v>
      </c>
      <c r="AS261" t="s">
        <v>3</v>
      </c>
      <c r="AT261">
        <v>0.81</v>
      </c>
      <c r="AU261" t="s">
        <v>3</v>
      </c>
      <c r="AV261">
        <v>0</v>
      </c>
      <c r="AW261">
        <v>2</v>
      </c>
      <c r="AX261">
        <v>52431996</v>
      </c>
      <c r="AY261">
        <v>1</v>
      </c>
      <c r="AZ261">
        <v>0</v>
      </c>
      <c r="BA261">
        <v>250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0</v>
      </c>
      <c r="BU261">
        <v>0</v>
      </c>
      <c r="BV261">
        <v>0</v>
      </c>
      <c r="BW261">
        <v>0</v>
      </c>
      <c r="CX261">
        <f>Y261*Source!I267</f>
        <v>8.1972000000000003E-2</v>
      </c>
      <c r="CY261">
        <f>AB261</f>
        <v>2020.59</v>
      </c>
      <c r="CZ261">
        <f>AF261</f>
        <v>2020.59</v>
      </c>
      <c r="DA261">
        <f>AJ261</f>
        <v>1</v>
      </c>
      <c r="DB261">
        <f t="shared" si="20"/>
        <v>1636.68</v>
      </c>
      <c r="DC261">
        <f t="shared" si="21"/>
        <v>371.43</v>
      </c>
    </row>
    <row r="262" spans="1:107" x14ac:dyDescent="0.2">
      <c r="A262">
        <f>ROW(Source!A267)</f>
        <v>267</v>
      </c>
      <c r="B262">
        <v>52430918</v>
      </c>
      <c r="C262">
        <v>52431984</v>
      </c>
      <c r="D262">
        <v>51865030</v>
      </c>
      <c r="E262">
        <v>1</v>
      </c>
      <c r="F262">
        <v>1</v>
      </c>
      <c r="G262">
        <v>27</v>
      </c>
      <c r="H262">
        <v>2</v>
      </c>
      <c r="I262" t="s">
        <v>396</v>
      </c>
      <c r="J262" t="s">
        <v>397</v>
      </c>
      <c r="K262" t="s">
        <v>398</v>
      </c>
      <c r="L262">
        <v>1368</v>
      </c>
      <c r="N262">
        <v>1011</v>
      </c>
      <c r="O262" t="s">
        <v>84</v>
      </c>
      <c r="P262" t="s">
        <v>84</v>
      </c>
      <c r="Q262">
        <v>1</v>
      </c>
      <c r="W262">
        <v>0</v>
      </c>
      <c r="X262">
        <v>1116182101</v>
      </c>
      <c r="Y262">
        <v>1.94</v>
      </c>
      <c r="AA262">
        <v>0</v>
      </c>
      <c r="AB262">
        <v>1412.71</v>
      </c>
      <c r="AC262">
        <v>641.32000000000005</v>
      </c>
      <c r="AD262">
        <v>0</v>
      </c>
      <c r="AE262">
        <v>0</v>
      </c>
      <c r="AF262">
        <v>1412.71</v>
      </c>
      <c r="AG262">
        <v>641.32000000000005</v>
      </c>
      <c r="AH262">
        <v>0</v>
      </c>
      <c r="AI262">
        <v>1</v>
      </c>
      <c r="AJ262">
        <v>1</v>
      </c>
      <c r="AK262">
        <v>1</v>
      </c>
      <c r="AL262">
        <v>1</v>
      </c>
      <c r="AN262">
        <v>0</v>
      </c>
      <c r="AO262">
        <v>1</v>
      </c>
      <c r="AP262">
        <v>0</v>
      </c>
      <c r="AQ262">
        <v>0</v>
      </c>
      <c r="AR262">
        <v>0</v>
      </c>
      <c r="AS262" t="s">
        <v>3</v>
      </c>
      <c r="AT262">
        <v>1.94</v>
      </c>
      <c r="AU262" t="s">
        <v>3</v>
      </c>
      <c r="AV262">
        <v>0</v>
      </c>
      <c r="AW262">
        <v>2</v>
      </c>
      <c r="AX262">
        <v>52431997</v>
      </c>
      <c r="AY262">
        <v>1</v>
      </c>
      <c r="AZ262">
        <v>0</v>
      </c>
      <c r="BA262">
        <v>251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0</v>
      </c>
      <c r="BS262">
        <v>0</v>
      </c>
      <c r="BT262">
        <v>0</v>
      </c>
      <c r="BU262">
        <v>0</v>
      </c>
      <c r="BV262">
        <v>0</v>
      </c>
      <c r="BW262">
        <v>0</v>
      </c>
      <c r="CX262">
        <f>Y262*Source!I267</f>
        <v>0.196328</v>
      </c>
      <c r="CY262">
        <f>AB262</f>
        <v>1412.71</v>
      </c>
      <c r="CZ262">
        <f>AF262</f>
        <v>1412.71</v>
      </c>
      <c r="DA262">
        <f>AJ262</f>
        <v>1</v>
      </c>
      <c r="DB262">
        <f t="shared" si="20"/>
        <v>2740.66</v>
      </c>
      <c r="DC262">
        <f t="shared" si="21"/>
        <v>1244.1600000000001</v>
      </c>
    </row>
    <row r="263" spans="1:107" x14ac:dyDescent="0.2">
      <c r="A263">
        <f>ROW(Source!A267)</f>
        <v>267</v>
      </c>
      <c r="B263">
        <v>52430918</v>
      </c>
      <c r="C263">
        <v>52431984</v>
      </c>
      <c r="D263">
        <v>51864996</v>
      </c>
      <c r="E263">
        <v>1</v>
      </c>
      <c r="F263">
        <v>1</v>
      </c>
      <c r="G263">
        <v>27</v>
      </c>
      <c r="H263">
        <v>2</v>
      </c>
      <c r="I263" t="s">
        <v>399</v>
      </c>
      <c r="J263" t="s">
        <v>400</v>
      </c>
      <c r="K263" t="s">
        <v>401</v>
      </c>
      <c r="L263">
        <v>1368</v>
      </c>
      <c r="N263">
        <v>1011</v>
      </c>
      <c r="O263" t="s">
        <v>84</v>
      </c>
      <c r="P263" t="s">
        <v>84</v>
      </c>
      <c r="Q263">
        <v>1</v>
      </c>
      <c r="W263">
        <v>0</v>
      </c>
      <c r="X263">
        <v>2142121434</v>
      </c>
      <c r="Y263">
        <v>0.65</v>
      </c>
      <c r="AA263">
        <v>0</v>
      </c>
      <c r="AB263">
        <v>1213.3399999999999</v>
      </c>
      <c r="AC263">
        <v>461.6</v>
      </c>
      <c r="AD263">
        <v>0</v>
      </c>
      <c r="AE263">
        <v>0</v>
      </c>
      <c r="AF263">
        <v>1213.3399999999999</v>
      </c>
      <c r="AG263">
        <v>461.6</v>
      </c>
      <c r="AH263">
        <v>0</v>
      </c>
      <c r="AI263">
        <v>1</v>
      </c>
      <c r="AJ263">
        <v>1</v>
      </c>
      <c r="AK263">
        <v>1</v>
      </c>
      <c r="AL263">
        <v>1</v>
      </c>
      <c r="AN263">
        <v>0</v>
      </c>
      <c r="AO263">
        <v>1</v>
      </c>
      <c r="AP263">
        <v>0</v>
      </c>
      <c r="AQ263">
        <v>0</v>
      </c>
      <c r="AR263">
        <v>0</v>
      </c>
      <c r="AS263" t="s">
        <v>3</v>
      </c>
      <c r="AT263">
        <v>0.65</v>
      </c>
      <c r="AU263" t="s">
        <v>3</v>
      </c>
      <c r="AV263">
        <v>0</v>
      </c>
      <c r="AW263">
        <v>2</v>
      </c>
      <c r="AX263">
        <v>52431998</v>
      </c>
      <c r="AY263">
        <v>1</v>
      </c>
      <c r="AZ263">
        <v>0</v>
      </c>
      <c r="BA263">
        <v>252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0</v>
      </c>
      <c r="BS263">
        <v>0</v>
      </c>
      <c r="BT263">
        <v>0</v>
      </c>
      <c r="BU263">
        <v>0</v>
      </c>
      <c r="BV263">
        <v>0</v>
      </c>
      <c r="BW263">
        <v>0</v>
      </c>
      <c r="CX263">
        <f>Y263*Source!I267</f>
        <v>6.5780000000000005E-2</v>
      </c>
      <c r="CY263">
        <f>AB263</f>
        <v>1213.3399999999999</v>
      </c>
      <c r="CZ263">
        <f>AF263</f>
        <v>1213.3399999999999</v>
      </c>
      <c r="DA263">
        <f>AJ263</f>
        <v>1</v>
      </c>
      <c r="DB263">
        <f t="shared" si="20"/>
        <v>788.67</v>
      </c>
      <c r="DC263">
        <f t="shared" si="21"/>
        <v>300.04000000000002</v>
      </c>
    </row>
    <row r="264" spans="1:107" x14ac:dyDescent="0.2">
      <c r="A264">
        <f>ROW(Source!A267)</f>
        <v>267</v>
      </c>
      <c r="B264">
        <v>52430918</v>
      </c>
      <c r="C264">
        <v>52431984</v>
      </c>
      <c r="D264">
        <v>51866959</v>
      </c>
      <c r="E264">
        <v>1</v>
      </c>
      <c r="F264">
        <v>1</v>
      </c>
      <c r="G264">
        <v>27</v>
      </c>
      <c r="H264">
        <v>3</v>
      </c>
      <c r="I264" t="s">
        <v>402</v>
      </c>
      <c r="J264" t="s">
        <v>403</v>
      </c>
      <c r="K264" t="s">
        <v>404</v>
      </c>
      <c r="L264">
        <v>1339</v>
      </c>
      <c r="N264">
        <v>1007</v>
      </c>
      <c r="O264" t="s">
        <v>28</v>
      </c>
      <c r="P264" t="s">
        <v>28</v>
      </c>
      <c r="Q264">
        <v>1</v>
      </c>
      <c r="W264">
        <v>0</v>
      </c>
      <c r="X264">
        <v>1152750853</v>
      </c>
      <c r="Y264">
        <v>110</v>
      </c>
      <c r="AA264">
        <v>590.78</v>
      </c>
      <c r="AB264">
        <v>0</v>
      </c>
      <c r="AC264">
        <v>0</v>
      </c>
      <c r="AD264">
        <v>0</v>
      </c>
      <c r="AE264">
        <v>590.78</v>
      </c>
      <c r="AF264">
        <v>0</v>
      </c>
      <c r="AG264">
        <v>0</v>
      </c>
      <c r="AH264">
        <v>0</v>
      </c>
      <c r="AI264">
        <v>1</v>
      </c>
      <c r="AJ264">
        <v>1</v>
      </c>
      <c r="AK264">
        <v>1</v>
      </c>
      <c r="AL264">
        <v>1</v>
      </c>
      <c r="AN264">
        <v>0</v>
      </c>
      <c r="AO264">
        <v>1</v>
      </c>
      <c r="AP264">
        <v>0</v>
      </c>
      <c r="AQ264">
        <v>0</v>
      </c>
      <c r="AR264">
        <v>0</v>
      </c>
      <c r="AS264" t="s">
        <v>3</v>
      </c>
      <c r="AT264">
        <v>110</v>
      </c>
      <c r="AU264" t="s">
        <v>3</v>
      </c>
      <c r="AV264">
        <v>0</v>
      </c>
      <c r="AW264">
        <v>2</v>
      </c>
      <c r="AX264">
        <v>52431999</v>
      </c>
      <c r="AY264">
        <v>1</v>
      </c>
      <c r="AZ264">
        <v>0</v>
      </c>
      <c r="BA264">
        <v>253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  <c r="BV264">
        <v>0</v>
      </c>
      <c r="BW264">
        <v>0</v>
      </c>
      <c r="CX264">
        <f>Y264*Source!I267</f>
        <v>11.132</v>
      </c>
      <c r="CY264">
        <f>AA264</f>
        <v>590.78</v>
      </c>
      <c r="CZ264">
        <f>AE264</f>
        <v>590.78</v>
      </c>
      <c r="DA264">
        <f>AI264</f>
        <v>1</v>
      </c>
      <c r="DB264">
        <f t="shared" si="20"/>
        <v>64985.8</v>
      </c>
      <c r="DC264">
        <f t="shared" si="21"/>
        <v>0</v>
      </c>
    </row>
    <row r="265" spans="1:107" x14ac:dyDescent="0.2">
      <c r="A265">
        <f>ROW(Source!A267)</f>
        <v>267</v>
      </c>
      <c r="B265">
        <v>52430918</v>
      </c>
      <c r="C265">
        <v>52431984</v>
      </c>
      <c r="D265">
        <v>51867705</v>
      </c>
      <c r="E265">
        <v>1</v>
      </c>
      <c r="F265">
        <v>1</v>
      </c>
      <c r="G265">
        <v>27</v>
      </c>
      <c r="H265">
        <v>3</v>
      </c>
      <c r="I265" t="s">
        <v>405</v>
      </c>
      <c r="J265" t="s">
        <v>406</v>
      </c>
      <c r="K265" t="s">
        <v>407</v>
      </c>
      <c r="L265">
        <v>1339</v>
      </c>
      <c r="N265">
        <v>1007</v>
      </c>
      <c r="O265" t="s">
        <v>28</v>
      </c>
      <c r="P265" t="s">
        <v>28</v>
      </c>
      <c r="Q265">
        <v>1</v>
      </c>
      <c r="W265">
        <v>0</v>
      </c>
      <c r="X265">
        <v>1927597627</v>
      </c>
      <c r="Y265">
        <v>5</v>
      </c>
      <c r="AA265">
        <v>35.25</v>
      </c>
      <c r="AB265">
        <v>0</v>
      </c>
      <c r="AC265">
        <v>0</v>
      </c>
      <c r="AD265">
        <v>0</v>
      </c>
      <c r="AE265">
        <v>35.25</v>
      </c>
      <c r="AF265">
        <v>0</v>
      </c>
      <c r="AG265">
        <v>0</v>
      </c>
      <c r="AH265">
        <v>0</v>
      </c>
      <c r="AI265">
        <v>1</v>
      </c>
      <c r="AJ265">
        <v>1</v>
      </c>
      <c r="AK265">
        <v>1</v>
      </c>
      <c r="AL265">
        <v>1</v>
      </c>
      <c r="AN265">
        <v>0</v>
      </c>
      <c r="AO265">
        <v>1</v>
      </c>
      <c r="AP265">
        <v>0</v>
      </c>
      <c r="AQ265">
        <v>0</v>
      </c>
      <c r="AR265">
        <v>0</v>
      </c>
      <c r="AS265" t="s">
        <v>3</v>
      </c>
      <c r="AT265">
        <v>5</v>
      </c>
      <c r="AU265" t="s">
        <v>3</v>
      </c>
      <c r="AV265">
        <v>0</v>
      </c>
      <c r="AW265">
        <v>2</v>
      </c>
      <c r="AX265">
        <v>52432000</v>
      </c>
      <c r="AY265">
        <v>1</v>
      </c>
      <c r="AZ265">
        <v>0</v>
      </c>
      <c r="BA265">
        <v>254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>
        <v>0</v>
      </c>
      <c r="BV265">
        <v>0</v>
      </c>
      <c r="BW265">
        <v>0</v>
      </c>
      <c r="CX265">
        <f>Y265*Source!I267</f>
        <v>0.50600000000000001</v>
      </c>
      <c r="CY265">
        <f>AA265</f>
        <v>35.25</v>
      </c>
      <c r="CZ265">
        <f>AE265</f>
        <v>35.25</v>
      </c>
      <c r="DA265">
        <f>AI265</f>
        <v>1</v>
      </c>
      <c r="DB265">
        <f t="shared" si="20"/>
        <v>176.25</v>
      </c>
      <c r="DC265">
        <f t="shared" si="21"/>
        <v>0</v>
      </c>
    </row>
    <row r="266" spans="1:107" x14ac:dyDescent="0.2">
      <c r="A266">
        <f>ROW(Source!A268)</f>
        <v>268</v>
      </c>
      <c r="B266">
        <v>52430918</v>
      </c>
      <c r="C266">
        <v>52432001</v>
      </c>
      <c r="D266">
        <v>51848379</v>
      </c>
      <c r="E266">
        <v>27</v>
      </c>
      <c r="F266">
        <v>1</v>
      </c>
      <c r="G266">
        <v>27</v>
      </c>
      <c r="H266">
        <v>1</v>
      </c>
      <c r="I266" t="s">
        <v>378</v>
      </c>
      <c r="J266" t="s">
        <v>3</v>
      </c>
      <c r="K266" t="s">
        <v>379</v>
      </c>
      <c r="L266">
        <v>1191</v>
      </c>
      <c r="N266">
        <v>1013</v>
      </c>
      <c r="O266" t="s">
        <v>380</v>
      </c>
      <c r="P266" t="s">
        <v>380</v>
      </c>
      <c r="Q266">
        <v>1</v>
      </c>
      <c r="W266">
        <v>0</v>
      </c>
      <c r="X266">
        <v>476480486</v>
      </c>
      <c r="Y266">
        <v>27.94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1</v>
      </c>
      <c r="AJ266">
        <v>1</v>
      </c>
      <c r="AK266">
        <v>1</v>
      </c>
      <c r="AL266">
        <v>1</v>
      </c>
      <c r="AN266">
        <v>0</v>
      </c>
      <c r="AO266">
        <v>1</v>
      </c>
      <c r="AP266">
        <v>0</v>
      </c>
      <c r="AQ266">
        <v>0</v>
      </c>
      <c r="AR266">
        <v>0</v>
      </c>
      <c r="AS266" t="s">
        <v>3</v>
      </c>
      <c r="AT266">
        <v>27.94</v>
      </c>
      <c r="AU266" t="s">
        <v>3</v>
      </c>
      <c r="AV266">
        <v>1</v>
      </c>
      <c r="AW266">
        <v>2</v>
      </c>
      <c r="AX266">
        <v>52432008</v>
      </c>
      <c r="AY266">
        <v>1</v>
      </c>
      <c r="AZ266">
        <v>0</v>
      </c>
      <c r="BA266">
        <v>255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0</v>
      </c>
      <c r="BU266">
        <v>0</v>
      </c>
      <c r="BV266">
        <v>0</v>
      </c>
      <c r="BW266">
        <v>0</v>
      </c>
      <c r="CX266">
        <f>Y266*Source!I268</f>
        <v>28.275280000000002</v>
      </c>
      <c r="CY266">
        <f>AD266</f>
        <v>0</v>
      </c>
      <c r="CZ266">
        <f>AH266</f>
        <v>0</v>
      </c>
      <c r="DA266">
        <f>AL266</f>
        <v>1</v>
      </c>
      <c r="DB266">
        <f t="shared" si="20"/>
        <v>0</v>
      </c>
      <c r="DC266">
        <f t="shared" si="21"/>
        <v>0</v>
      </c>
    </row>
    <row r="267" spans="1:107" x14ac:dyDescent="0.2">
      <c r="A267">
        <f>ROW(Source!A268)</f>
        <v>268</v>
      </c>
      <c r="B267">
        <v>52430918</v>
      </c>
      <c r="C267">
        <v>52432001</v>
      </c>
      <c r="D267">
        <v>51865006</v>
      </c>
      <c r="E267">
        <v>1</v>
      </c>
      <c r="F267">
        <v>1</v>
      </c>
      <c r="G267">
        <v>27</v>
      </c>
      <c r="H267">
        <v>2</v>
      </c>
      <c r="I267" t="s">
        <v>393</v>
      </c>
      <c r="J267" t="s">
        <v>394</v>
      </c>
      <c r="K267" t="s">
        <v>395</v>
      </c>
      <c r="L267">
        <v>1368</v>
      </c>
      <c r="N267">
        <v>1011</v>
      </c>
      <c r="O267" t="s">
        <v>84</v>
      </c>
      <c r="P267" t="s">
        <v>84</v>
      </c>
      <c r="Q267">
        <v>1</v>
      </c>
      <c r="W267">
        <v>0</v>
      </c>
      <c r="X267">
        <v>2042885981</v>
      </c>
      <c r="Y267">
        <v>0.59</v>
      </c>
      <c r="AA267">
        <v>0</v>
      </c>
      <c r="AB267">
        <v>2020.59</v>
      </c>
      <c r="AC267">
        <v>458.56</v>
      </c>
      <c r="AD267">
        <v>0</v>
      </c>
      <c r="AE267">
        <v>0</v>
      </c>
      <c r="AF267">
        <v>2020.59</v>
      </c>
      <c r="AG267">
        <v>458.56</v>
      </c>
      <c r="AH267">
        <v>0</v>
      </c>
      <c r="AI267">
        <v>1</v>
      </c>
      <c r="AJ267">
        <v>1</v>
      </c>
      <c r="AK267">
        <v>1</v>
      </c>
      <c r="AL267">
        <v>1</v>
      </c>
      <c r="AN267">
        <v>0</v>
      </c>
      <c r="AO267">
        <v>1</v>
      </c>
      <c r="AP267">
        <v>0</v>
      </c>
      <c r="AQ267">
        <v>0</v>
      </c>
      <c r="AR267">
        <v>0</v>
      </c>
      <c r="AS267" t="s">
        <v>3</v>
      </c>
      <c r="AT267">
        <v>0.59</v>
      </c>
      <c r="AU267" t="s">
        <v>3</v>
      </c>
      <c r="AV267">
        <v>0</v>
      </c>
      <c r="AW267">
        <v>2</v>
      </c>
      <c r="AX267">
        <v>52432009</v>
      </c>
      <c r="AY267">
        <v>1</v>
      </c>
      <c r="AZ267">
        <v>0</v>
      </c>
      <c r="BA267">
        <v>256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  <c r="BR267">
        <v>0</v>
      </c>
      <c r="BS267">
        <v>0</v>
      </c>
      <c r="BT267">
        <v>0</v>
      </c>
      <c r="BU267">
        <v>0</v>
      </c>
      <c r="BV267">
        <v>0</v>
      </c>
      <c r="BW267">
        <v>0</v>
      </c>
      <c r="CX267">
        <f>Y267*Source!I268</f>
        <v>0.59707999999999994</v>
      </c>
      <c r="CY267">
        <f>AB267</f>
        <v>2020.59</v>
      </c>
      <c r="CZ267">
        <f>AF267</f>
        <v>2020.59</v>
      </c>
      <c r="DA267">
        <f>AJ267</f>
        <v>1</v>
      </c>
      <c r="DB267">
        <f t="shared" si="20"/>
        <v>1192.1500000000001</v>
      </c>
      <c r="DC267">
        <f t="shared" si="21"/>
        <v>270.55</v>
      </c>
    </row>
    <row r="268" spans="1:107" x14ac:dyDescent="0.2">
      <c r="A268">
        <f>ROW(Source!A268)</f>
        <v>268</v>
      </c>
      <c r="B268">
        <v>52430918</v>
      </c>
      <c r="C268">
        <v>52432001</v>
      </c>
      <c r="D268">
        <v>51864991</v>
      </c>
      <c r="E268">
        <v>1</v>
      </c>
      <c r="F268">
        <v>1</v>
      </c>
      <c r="G268">
        <v>27</v>
      </c>
      <c r="H268">
        <v>2</v>
      </c>
      <c r="I268" t="s">
        <v>408</v>
      </c>
      <c r="J268" t="s">
        <v>409</v>
      </c>
      <c r="K268" t="s">
        <v>410</v>
      </c>
      <c r="L268">
        <v>1368</v>
      </c>
      <c r="N268">
        <v>1011</v>
      </c>
      <c r="O268" t="s">
        <v>84</v>
      </c>
      <c r="P268" t="s">
        <v>84</v>
      </c>
      <c r="Q268">
        <v>1</v>
      </c>
      <c r="W268">
        <v>0</v>
      </c>
      <c r="X268">
        <v>-1043398787</v>
      </c>
      <c r="Y268">
        <v>1.62</v>
      </c>
      <c r="AA268">
        <v>0</v>
      </c>
      <c r="AB268">
        <v>1261.8699999999999</v>
      </c>
      <c r="AC268">
        <v>530.02</v>
      </c>
      <c r="AD268">
        <v>0</v>
      </c>
      <c r="AE268">
        <v>0</v>
      </c>
      <c r="AF268">
        <v>1261.8699999999999</v>
      </c>
      <c r="AG268">
        <v>530.02</v>
      </c>
      <c r="AH268">
        <v>0</v>
      </c>
      <c r="AI268">
        <v>1</v>
      </c>
      <c r="AJ268">
        <v>1</v>
      </c>
      <c r="AK268">
        <v>1</v>
      </c>
      <c r="AL268">
        <v>1</v>
      </c>
      <c r="AN268">
        <v>0</v>
      </c>
      <c r="AO268">
        <v>1</v>
      </c>
      <c r="AP268">
        <v>0</v>
      </c>
      <c r="AQ268">
        <v>0</v>
      </c>
      <c r="AR268">
        <v>0</v>
      </c>
      <c r="AS268" t="s">
        <v>3</v>
      </c>
      <c r="AT268">
        <v>1.62</v>
      </c>
      <c r="AU268" t="s">
        <v>3</v>
      </c>
      <c r="AV268">
        <v>0</v>
      </c>
      <c r="AW268">
        <v>2</v>
      </c>
      <c r="AX268">
        <v>52432010</v>
      </c>
      <c r="AY268">
        <v>1</v>
      </c>
      <c r="AZ268">
        <v>0</v>
      </c>
      <c r="BA268">
        <v>257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0</v>
      </c>
      <c r="BP268">
        <v>0</v>
      </c>
      <c r="BQ268">
        <v>0</v>
      </c>
      <c r="BR268">
        <v>0</v>
      </c>
      <c r="BS268">
        <v>0</v>
      </c>
      <c r="BT268">
        <v>0</v>
      </c>
      <c r="BU268">
        <v>0</v>
      </c>
      <c r="BV268">
        <v>0</v>
      </c>
      <c r="BW268">
        <v>0</v>
      </c>
      <c r="CX268">
        <f>Y268*Source!I268</f>
        <v>1.6394400000000002</v>
      </c>
      <c r="CY268">
        <f>AB268</f>
        <v>1261.8699999999999</v>
      </c>
      <c r="CZ268">
        <f>AF268</f>
        <v>1261.8699999999999</v>
      </c>
      <c r="DA268">
        <f>AJ268</f>
        <v>1</v>
      </c>
      <c r="DB268">
        <f t="shared" si="20"/>
        <v>2044.23</v>
      </c>
      <c r="DC268">
        <f t="shared" si="21"/>
        <v>858.63</v>
      </c>
    </row>
    <row r="269" spans="1:107" x14ac:dyDescent="0.2">
      <c r="A269">
        <f>ROW(Source!A268)</f>
        <v>268</v>
      </c>
      <c r="B269">
        <v>52430918</v>
      </c>
      <c r="C269">
        <v>52432001</v>
      </c>
      <c r="D269">
        <v>51866985</v>
      </c>
      <c r="E269">
        <v>1</v>
      </c>
      <c r="F269">
        <v>1</v>
      </c>
      <c r="G269">
        <v>27</v>
      </c>
      <c r="H269">
        <v>3</v>
      </c>
      <c r="I269" t="s">
        <v>41</v>
      </c>
      <c r="J269" t="s">
        <v>43</v>
      </c>
      <c r="K269" t="s">
        <v>42</v>
      </c>
      <c r="L269">
        <v>1339</v>
      </c>
      <c r="N269">
        <v>1007</v>
      </c>
      <c r="O269" t="s">
        <v>28</v>
      </c>
      <c r="P269" t="s">
        <v>28</v>
      </c>
      <c r="Q269">
        <v>1</v>
      </c>
      <c r="W269">
        <v>0</v>
      </c>
      <c r="X269">
        <v>-886425656</v>
      </c>
      <c r="Y269">
        <v>17.399208999999999</v>
      </c>
      <c r="AA269">
        <v>1763.75</v>
      </c>
      <c r="AB269">
        <v>0</v>
      </c>
      <c r="AC269">
        <v>0</v>
      </c>
      <c r="AD269">
        <v>0</v>
      </c>
      <c r="AE269">
        <v>1763.75</v>
      </c>
      <c r="AF269">
        <v>0</v>
      </c>
      <c r="AG269">
        <v>0</v>
      </c>
      <c r="AH269">
        <v>0</v>
      </c>
      <c r="AI269">
        <v>1</v>
      </c>
      <c r="AJ269">
        <v>1</v>
      </c>
      <c r="AK269">
        <v>1</v>
      </c>
      <c r="AL269">
        <v>1</v>
      </c>
      <c r="AN269">
        <v>0</v>
      </c>
      <c r="AO269">
        <v>0</v>
      </c>
      <c r="AP269">
        <v>0</v>
      </c>
      <c r="AQ269">
        <v>0</v>
      </c>
      <c r="AR269">
        <v>0</v>
      </c>
      <c r="AS269" t="s">
        <v>3</v>
      </c>
      <c r="AT269">
        <v>17.399208999999999</v>
      </c>
      <c r="AU269" t="s">
        <v>3</v>
      </c>
      <c r="AV269">
        <v>0</v>
      </c>
      <c r="AW269">
        <v>1</v>
      </c>
      <c r="AX269">
        <v>-1</v>
      </c>
      <c r="AY269">
        <v>0</v>
      </c>
      <c r="AZ269">
        <v>0</v>
      </c>
      <c r="BA269" t="s">
        <v>3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0</v>
      </c>
      <c r="BK269">
        <v>0</v>
      </c>
      <c r="BL269">
        <v>0</v>
      </c>
      <c r="BM269">
        <v>0</v>
      </c>
      <c r="BN269">
        <v>0</v>
      </c>
      <c r="BO269">
        <v>0</v>
      </c>
      <c r="BP269">
        <v>0</v>
      </c>
      <c r="BQ269">
        <v>0</v>
      </c>
      <c r="BR269">
        <v>0</v>
      </c>
      <c r="BS269">
        <v>0</v>
      </c>
      <c r="BT269">
        <v>0</v>
      </c>
      <c r="BU269">
        <v>0</v>
      </c>
      <c r="BV269">
        <v>0</v>
      </c>
      <c r="BW269">
        <v>0</v>
      </c>
      <c r="CX269">
        <f>Y269*Source!I268</f>
        <v>17.607999507999999</v>
      </c>
      <c r="CY269">
        <f>AA269</f>
        <v>1763.75</v>
      </c>
      <c r="CZ269">
        <f>AE269</f>
        <v>1763.75</v>
      </c>
      <c r="DA269">
        <f>AI269</f>
        <v>1</v>
      </c>
      <c r="DB269">
        <f t="shared" si="20"/>
        <v>30687.85</v>
      </c>
      <c r="DC269">
        <f t="shared" si="21"/>
        <v>0</v>
      </c>
    </row>
    <row r="270" spans="1:107" x14ac:dyDescent="0.2">
      <c r="A270">
        <f>ROW(Source!A268)</f>
        <v>268</v>
      </c>
      <c r="B270">
        <v>52430918</v>
      </c>
      <c r="C270">
        <v>52432001</v>
      </c>
      <c r="D270">
        <v>51866999</v>
      </c>
      <c r="E270">
        <v>1</v>
      </c>
      <c r="F270">
        <v>1</v>
      </c>
      <c r="G270">
        <v>27</v>
      </c>
      <c r="H270">
        <v>3</v>
      </c>
      <c r="I270" t="s">
        <v>45</v>
      </c>
      <c r="J270" t="s">
        <v>47</v>
      </c>
      <c r="K270" t="s">
        <v>46</v>
      </c>
      <c r="L270">
        <v>1339</v>
      </c>
      <c r="N270">
        <v>1007</v>
      </c>
      <c r="O270" t="s">
        <v>28</v>
      </c>
      <c r="P270" t="s">
        <v>28</v>
      </c>
      <c r="Q270">
        <v>1</v>
      </c>
      <c r="W270">
        <v>1</v>
      </c>
      <c r="X270">
        <v>1744717608</v>
      </c>
      <c r="Y270">
        <v>-17.399999999999999</v>
      </c>
      <c r="AA270">
        <v>1436.5</v>
      </c>
      <c r="AB270">
        <v>0</v>
      </c>
      <c r="AC270">
        <v>0</v>
      </c>
      <c r="AD270">
        <v>0</v>
      </c>
      <c r="AE270">
        <v>1436.5</v>
      </c>
      <c r="AF270">
        <v>0</v>
      </c>
      <c r="AG270">
        <v>0</v>
      </c>
      <c r="AH270">
        <v>0</v>
      </c>
      <c r="AI270">
        <v>1</v>
      </c>
      <c r="AJ270">
        <v>1</v>
      </c>
      <c r="AK270">
        <v>1</v>
      </c>
      <c r="AL270">
        <v>1</v>
      </c>
      <c r="AN270">
        <v>0</v>
      </c>
      <c r="AO270">
        <v>1</v>
      </c>
      <c r="AP270">
        <v>0</v>
      </c>
      <c r="AQ270">
        <v>0</v>
      </c>
      <c r="AR270">
        <v>0</v>
      </c>
      <c r="AS270" t="s">
        <v>3</v>
      </c>
      <c r="AT270">
        <v>-17.399999999999999</v>
      </c>
      <c r="AU270" t="s">
        <v>3</v>
      </c>
      <c r="AV270">
        <v>0</v>
      </c>
      <c r="AW270">
        <v>2</v>
      </c>
      <c r="AX270">
        <v>52432011</v>
      </c>
      <c r="AY270">
        <v>1</v>
      </c>
      <c r="AZ270">
        <v>6144</v>
      </c>
      <c r="BA270">
        <v>258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>
        <v>0</v>
      </c>
      <c r="BK270">
        <v>0</v>
      </c>
      <c r="BL270">
        <v>0</v>
      </c>
      <c r="BM270">
        <v>0</v>
      </c>
      <c r="BN270">
        <v>0</v>
      </c>
      <c r="BO270">
        <v>0</v>
      </c>
      <c r="BP270">
        <v>0</v>
      </c>
      <c r="BQ270">
        <v>0</v>
      </c>
      <c r="BR270">
        <v>0</v>
      </c>
      <c r="BS270">
        <v>0</v>
      </c>
      <c r="BT270">
        <v>0</v>
      </c>
      <c r="BU270">
        <v>0</v>
      </c>
      <c r="BV270">
        <v>0</v>
      </c>
      <c r="BW270">
        <v>0</v>
      </c>
      <c r="CX270">
        <f>Y270*Source!I268</f>
        <v>-17.608799999999999</v>
      </c>
      <c r="CY270">
        <f>AA270</f>
        <v>1436.5</v>
      </c>
      <c r="CZ270">
        <f>AE270</f>
        <v>1436.5</v>
      </c>
      <c r="DA270">
        <f>AI270</f>
        <v>1</v>
      </c>
      <c r="DB270">
        <f t="shared" si="20"/>
        <v>-24995.1</v>
      </c>
      <c r="DC270">
        <f t="shared" si="21"/>
        <v>0</v>
      </c>
    </row>
    <row r="271" spans="1:107" x14ac:dyDescent="0.2">
      <c r="A271">
        <f>ROW(Source!A268)</f>
        <v>268</v>
      </c>
      <c r="B271">
        <v>52430918</v>
      </c>
      <c r="C271">
        <v>52432001</v>
      </c>
      <c r="D271">
        <v>51867705</v>
      </c>
      <c r="E271">
        <v>1</v>
      </c>
      <c r="F271">
        <v>1</v>
      </c>
      <c r="G271">
        <v>27</v>
      </c>
      <c r="H271">
        <v>3</v>
      </c>
      <c r="I271" t="s">
        <v>405</v>
      </c>
      <c r="J271" t="s">
        <v>406</v>
      </c>
      <c r="K271" t="s">
        <v>407</v>
      </c>
      <c r="L271">
        <v>1339</v>
      </c>
      <c r="N271">
        <v>1007</v>
      </c>
      <c r="O271" t="s">
        <v>28</v>
      </c>
      <c r="P271" t="s">
        <v>28</v>
      </c>
      <c r="Q271">
        <v>1</v>
      </c>
      <c r="W271">
        <v>0</v>
      </c>
      <c r="X271">
        <v>1927597627</v>
      </c>
      <c r="Y271">
        <v>2</v>
      </c>
      <c r="AA271">
        <v>35.25</v>
      </c>
      <c r="AB271">
        <v>0</v>
      </c>
      <c r="AC271">
        <v>0</v>
      </c>
      <c r="AD271">
        <v>0</v>
      </c>
      <c r="AE271">
        <v>35.25</v>
      </c>
      <c r="AF271">
        <v>0</v>
      </c>
      <c r="AG271">
        <v>0</v>
      </c>
      <c r="AH271">
        <v>0</v>
      </c>
      <c r="AI271">
        <v>1</v>
      </c>
      <c r="AJ271">
        <v>1</v>
      </c>
      <c r="AK271">
        <v>1</v>
      </c>
      <c r="AL271">
        <v>1</v>
      </c>
      <c r="AN271">
        <v>0</v>
      </c>
      <c r="AO271">
        <v>1</v>
      </c>
      <c r="AP271">
        <v>0</v>
      </c>
      <c r="AQ271">
        <v>0</v>
      </c>
      <c r="AR271">
        <v>0</v>
      </c>
      <c r="AS271" t="s">
        <v>3</v>
      </c>
      <c r="AT271">
        <v>2</v>
      </c>
      <c r="AU271" t="s">
        <v>3</v>
      </c>
      <c r="AV271">
        <v>0</v>
      </c>
      <c r="AW271">
        <v>2</v>
      </c>
      <c r="AX271">
        <v>52432012</v>
      </c>
      <c r="AY271">
        <v>1</v>
      </c>
      <c r="AZ271">
        <v>0</v>
      </c>
      <c r="BA271">
        <v>259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0</v>
      </c>
      <c r="BI271">
        <v>0</v>
      </c>
      <c r="BJ271">
        <v>0</v>
      </c>
      <c r="BK271">
        <v>0</v>
      </c>
      <c r="BL271">
        <v>0</v>
      </c>
      <c r="BM271">
        <v>0</v>
      </c>
      <c r="BN271">
        <v>0</v>
      </c>
      <c r="BO271">
        <v>0</v>
      </c>
      <c r="BP271">
        <v>0</v>
      </c>
      <c r="BQ271">
        <v>0</v>
      </c>
      <c r="BR271">
        <v>0</v>
      </c>
      <c r="BS271">
        <v>0</v>
      </c>
      <c r="BT271">
        <v>0</v>
      </c>
      <c r="BU271">
        <v>0</v>
      </c>
      <c r="BV271">
        <v>0</v>
      </c>
      <c r="BW271">
        <v>0</v>
      </c>
      <c r="CX271">
        <f>Y271*Source!I268</f>
        <v>2.024</v>
      </c>
      <c r="CY271">
        <f>AA271</f>
        <v>35.25</v>
      </c>
      <c r="CZ271">
        <f>AE271</f>
        <v>35.25</v>
      </c>
      <c r="DA271">
        <f>AI271</f>
        <v>1</v>
      </c>
      <c r="DB271">
        <f t="shared" si="20"/>
        <v>70.5</v>
      </c>
      <c r="DC271">
        <f t="shared" si="21"/>
        <v>0</v>
      </c>
    </row>
    <row r="272" spans="1:107" x14ac:dyDescent="0.2">
      <c r="A272">
        <f>ROW(Source!A271)</f>
        <v>271</v>
      </c>
      <c r="B272">
        <v>52430918</v>
      </c>
      <c r="C272">
        <v>52432015</v>
      </c>
      <c r="D272">
        <v>51848379</v>
      </c>
      <c r="E272">
        <v>27</v>
      </c>
      <c r="F272">
        <v>1</v>
      </c>
      <c r="G272">
        <v>27</v>
      </c>
      <c r="H272">
        <v>1</v>
      </c>
      <c r="I272" t="s">
        <v>378</v>
      </c>
      <c r="J272" t="s">
        <v>3</v>
      </c>
      <c r="K272" t="s">
        <v>379</v>
      </c>
      <c r="L272">
        <v>1191</v>
      </c>
      <c r="N272">
        <v>1013</v>
      </c>
      <c r="O272" t="s">
        <v>380</v>
      </c>
      <c r="P272" t="s">
        <v>380</v>
      </c>
      <c r="Q272">
        <v>1</v>
      </c>
      <c r="W272">
        <v>0</v>
      </c>
      <c r="X272">
        <v>476480486</v>
      </c>
      <c r="Y272">
        <v>10.3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1</v>
      </c>
      <c r="AJ272">
        <v>1</v>
      </c>
      <c r="AK272">
        <v>1</v>
      </c>
      <c r="AL272">
        <v>1</v>
      </c>
      <c r="AN272">
        <v>0</v>
      </c>
      <c r="AO272">
        <v>1</v>
      </c>
      <c r="AP272">
        <v>0</v>
      </c>
      <c r="AQ272">
        <v>0</v>
      </c>
      <c r="AR272">
        <v>0</v>
      </c>
      <c r="AS272" t="s">
        <v>3</v>
      </c>
      <c r="AT272">
        <v>10.3</v>
      </c>
      <c r="AU272" t="s">
        <v>3</v>
      </c>
      <c r="AV272">
        <v>1</v>
      </c>
      <c r="AW272">
        <v>2</v>
      </c>
      <c r="AX272">
        <v>52432020</v>
      </c>
      <c r="AY272">
        <v>1</v>
      </c>
      <c r="AZ272">
        <v>0</v>
      </c>
      <c r="BA272">
        <v>260</v>
      </c>
      <c r="BB272">
        <v>0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0</v>
      </c>
      <c r="BJ272">
        <v>0</v>
      </c>
      <c r="BK272">
        <v>0</v>
      </c>
      <c r="BL272">
        <v>0</v>
      </c>
      <c r="BM272">
        <v>0</v>
      </c>
      <c r="BN272">
        <v>0</v>
      </c>
      <c r="BO272">
        <v>0</v>
      </c>
      <c r="BP272">
        <v>0</v>
      </c>
      <c r="BQ272">
        <v>0</v>
      </c>
      <c r="BR272">
        <v>0</v>
      </c>
      <c r="BS272">
        <v>0</v>
      </c>
      <c r="BT272">
        <v>0</v>
      </c>
      <c r="BU272">
        <v>0</v>
      </c>
      <c r="BV272">
        <v>0</v>
      </c>
      <c r="BW272">
        <v>0</v>
      </c>
      <c r="CX272">
        <f>Y272*Source!I271</f>
        <v>10.4236</v>
      </c>
      <c r="CY272">
        <f>AD272</f>
        <v>0</v>
      </c>
      <c r="CZ272">
        <f>AH272</f>
        <v>0</v>
      </c>
      <c r="DA272">
        <f>AL272</f>
        <v>1</v>
      </c>
      <c r="DB272">
        <f t="shared" si="20"/>
        <v>0</v>
      </c>
      <c r="DC272">
        <f t="shared" si="21"/>
        <v>0</v>
      </c>
    </row>
    <row r="273" spans="1:107" x14ac:dyDescent="0.2">
      <c r="A273">
        <f>ROW(Source!A271)</f>
        <v>271</v>
      </c>
      <c r="B273">
        <v>52430918</v>
      </c>
      <c r="C273">
        <v>52432015</v>
      </c>
      <c r="D273">
        <v>51864991</v>
      </c>
      <c r="E273">
        <v>1</v>
      </c>
      <c r="F273">
        <v>1</v>
      </c>
      <c r="G273">
        <v>27</v>
      </c>
      <c r="H273">
        <v>2</v>
      </c>
      <c r="I273" t="s">
        <v>408</v>
      </c>
      <c r="J273" t="s">
        <v>409</v>
      </c>
      <c r="K273" t="s">
        <v>410</v>
      </c>
      <c r="L273">
        <v>1368</v>
      </c>
      <c r="N273">
        <v>1011</v>
      </c>
      <c r="O273" t="s">
        <v>84</v>
      </c>
      <c r="P273" t="s">
        <v>84</v>
      </c>
      <c r="Q273">
        <v>1</v>
      </c>
      <c r="W273">
        <v>0</v>
      </c>
      <c r="X273">
        <v>-1043398787</v>
      </c>
      <c r="Y273">
        <v>0.89</v>
      </c>
      <c r="AA273">
        <v>0</v>
      </c>
      <c r="AB273">
        <v>1261.8699999999999</v>
      </c>
      <c r="AC273">
        <v>530.02</v>
      </c>
      <c r="AD273">
        <v>0</v>
      </c>
      <c r="AE273">
        <v>0</v>
      </c>
      <c r="AF273">
        <v>1261.8699999999999</v>
      </c>
      <c r="AG273">
        <v>530.02</v>
      </c>
      <c r="AH273">
        <v>0</v>
      </c>
      <c r="AI273">
        <v>1</v>
      </c>
      <c r="AJ273">
        <v>1</v>
      </c>
      <c r="AK273">
        <v>1</v>
      </c>
      <c r="AL273">
        <v>1</v>
      </c>
      <c r="AN273">
        <v>0</v>
      </c>
      <c r="AO273">
        <v>1</v>
      </c>
      <c r="AP273">
        <v>0</v>
      </c>
      <c r="AQ273">
        <v>0</v>
      </c>
      <c r="AR273">
        <v>0</v>
      </c>
      <c r="AS273" t="s">
        <v>3</v>
      </c>
      <c r="AT273">
        <v>0.89</v>
      </c>
      <c r="AU273" t="s">
        <v>3</v>
      </c>
      <c r="AV273">
        <v>0</v>
      </c>
      <c r="AW273">
        <v>2</v>
      </c>
      <c r="AX273">
        <v>52432021</v>
      </c>
      <c r="AY273">
        <v>1</v>
      </c>
      <c r="AZ273">
        <v>0</v>
      </c>
      <c r="BA273">
        <v>261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0</v>
      </c>
      <c r="BJ273">
        <v>0</v>
      </c>
      <c r="BK273">
        <v>0</v>
      </c>
      <c r="BL273">
        <v>0</v>
      </c>
      <c r="BM273">
        <v>0</v>
      </c>
      <c r="BN273">
        <v>0</v>
      </c>
      <c r="BO273">
        <v>0</v>
      </c>
      <c r="BP273">
        <v>0</v>
      </c>
      <c r="BQ273">
        <v>0</v>
      </c>
      <c r="BR273">
        <v>0</v>
      </c>
      <c r="BS273">
        <v>0</v>
      </c>
      <c r="BT273">
        <v>0</v>
      </c>
      <c r="BU273">
        <v>0</v>
      </c>
      <c r="BV273">
        <v>0</v>
      </c>
      <c r="BW273">
        <v>0</v>
      </c>
      <c r="CX273">
        <f>Y273*Source!I271</f>
        <v>0.90068000000000004</v>
      </c>
      <c r="CY273">
        <f>AB273</f>
        <v>1261.8699999999999</v>
      </c>
      <c r="CZ273">
        <f>AF273</f>
        <v>1261.8699999999999</v>
      </c>
      <c r="DA273">
        <f>AJ273</f>
        <v>1</v>
      </c>
      <c r="DB273">
        <f t="shared" si="20"/>
        <v>1123.06</v>
      </c>
      <c r="DC273">
        <f t="shared" si="21"/>
        <v>471.72</v>
      </c>
    </row>
    <row r="274" spans="1:107" x14ac:dyDescent="0.2">
      <c r="A274">
        <f>ROW(Source!A271)</f>
        <v>271</v>
      </c>
      <c r="B274">
        <v>52430918</v>
      </c>
      <c r="C274">
        <v>52432015</v>
      </c>
      <c r="D274">
        <v>51865798</v>
      </c>
      <c r="E274">
        <v>1</v>
      </c>
      <c r="F274">
        <v>1</v>
      </c>
      <c r="G274">
        <v>27</v>
      </c>
      <c r="H274">
        <v>3</v>
      </c>
      <c r="I274" t="s">
        <v>411</v>
      </c>
      <c r="J274" t="s">
        <v>412</v>
      </c>
      <c r="K274" t="s">
        <v>413</v>
      </c>
      <c r="L274">
        <v>1348</v>
      </c>
      <c r="N274">
        <v>1009</v>
      </c>
      <c r="O274" t="s">
        <v>101</v>
      </c>
      <c r="P274" t="s">
        <v>101</v>
      </c>
      <c r="Q274">
        <v>1000</v>
      </c>
      <c r="W274">
        <v>0</v>
      </c>
      <c r="X274">
        <v>-68218516</v>
      </c>
      <c r="Y274">
        <v>0.06</v>
      </c>
      <c r="AA274">
        <v>25888.1</v>
      </c>
      <c r="AB274">
        <v>0</v>
      </c>
      <c r="AC274">
        <v>0</v>
      </c>
      <c r="AD274">
        <v>0</v>
      </c>
      <c r="AE274">
        <v>25888.1</v>
      </c>
      <c r="AF274">
        <v>0</v>
      </c>
      <c r="AG274">
        <v>0</v>
      </c>
      <c r="AH274">
        <v>0</v>
      </c>
      <c r="AI274">
        <v>1</v>
      </c>
      <c r="AJ274">
        <v>1</v>
      </c>
      <c r="AK274">
        <v>1</v>
      </c>
      <c r="AL274">
        <v>1</v>
      </c>
      <c r="AN274">
        <v>0</v>
      </c>
      <c r="AO274">
        <v>1</v>
      </c>
      <c r="AP274">
        <v>0</v>
      </c>
      <c r="AQ274">
        <v>0</v>
      </c>
      <c r="AR274">
        <v>0</v>
      </c>
      <c r="AS274" t="s">
        <v>3</v>
      </c>
      <c r="AT274">
        <v>0.06</v>
      </c>
      <c r="AU274" t="s">
        <v>3</v>
      </c>
      <c r="AV274">
        <v>0</v>
      </c>
      <c r="AW274">
        <v>2</v>
      </c>
      <c r="AX274">
        <v>52432022</v>
      </c>
      <c r="AY274">
        <v>1</v>
      </c>
      <c r="AZ274">
        <v>0</v>
      </c>
      <c r="BA274">
        <v>262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>
        <v>0</v>
      </c>
      <c r="BK274">
        <v>0</v>
      </c>
      <c r="BL274">
        <v>0</v>
      </c>
      <c r="BM274">
        <v>0</v>
      </c>
      <c r="BN274">
        <v>0</v>
      </c>
      <c r="BO274">
        <v>0</v>
      </c>
      <c r="BP274">
        <v>0</v>
      </c>
      <c r="BQ274">
        <v>0</v>
      </c>
      <c r="BR274">
        <v>0</v>
      </c>
      <c r="BS274">
        <v>0</v>
      </c>
      <c r="BT274">
        <v>0</v>
      </c>
      <c r="BU274">
        <v>0</v>
      </c>
      <c r="BV274">
        <v>0</v>
      </c>
      <c r="BW274">
        <v>0</v>
      </c>
      <c r="CX274">
        <f>Y274*Source!I271</f>
        <v>6.0719999999999996E-2</v>
      </c>
      <c r="CY274">
        <f>AA274</f>
        <v>25888.1</v>
      </c>
      <c r="CZ274">
        <f>AE274</f>
        <v>25888.1</v>
      </c>
      <c r="DA274">
        <f>AI274</f>
        <v>1</v>
      </c>
      <c r="DB274">
        <f t="shared" si="20"/>
        <v>1553.29</v>
      </c>
      <c r="DC274">
        <f t="shared" si="21"/>
        <v>0</v>
      </c>
    </row>
    <row r="275" spans="1:107" x14ac:dyDescent="0.2">
      <c r="A275">
        <f>ROW(Source!A271)</f>
        <v>271</v>
      </c>
      <c r="B275">
        <v>52430918</v>
      </c>
      <c r="C275">
        <v>52432015</v>
      </c>
      <c r="D275">
        <v>51868905</v>
      </c>
      <c r="E275">
        <v>1</v>
      </c>
      <c r="F275">
        <v>1</v>
      </c>
      <c r="G275">
        <v>27</v>
      </c>
      <c r="H275">
        <v>3</v>
      </c>
      <c r="I275" t="s">
        <v>414</v>
      </c>
      <c r="J275" t="s">
        <v>415</v>
      </c>
      <c r="K275" t="s">
        <v>416</v>
      </c>
      <c r="L275">
        <v>1348</v>
      </c>
      <c r="N275">
        <v>1009</v>
      </c>
      <c r="O275" t="s">
        <v>101</v>
      </c>
      <c r="P275" t="s">
        <v>101</v>
      </c>
      <c r="Q275">
        <v>1000</v>
      </c>
      <c r="W275">
        <v>0</v>
      </c>
      <c r="X275">
        <v>2062870502</v>
      </c>
      <c r="Y275">
        <v>7.14</v>
      </c>
      <c r="AA275">
        <v>2652.04</v>
      </c>
      <c r="AB275">
        <v>0</v>
      </c>
      <c r="AC275">
        <v>0</v>
      </c>
      <c r="AD275">
        <v>0</v>
      </c>
      <c r="AE275">
        <v>2652.04</v>
      </c>
      <c r="AF275">
        <v>0</v>
      </c>
      <c r="AG275">
        <v>0</v>
      </c>
      <c r="AH275">
        <v>0</v>
      </c>
      <c r="AI275">
        <v>1</v>
      </c>
      <c r="AJ275">
        <v>1</v>
      </c>
      <c r="AK275">
        <v>1</v>
      </c>
      <c r="AL275">
        <v>1</v>
      </c>
      <c r="AN275">
        <v>0</v>
      </c>
      <c r="AO275">
        <v>1</v>
      </c>
      <c r="AP275">
        <v>0</v>
      </c>
      <c r="AQ275">
        <v>0</v>
      </c>
      <c r="AR275">
        <v>0</v>
      </c>
      <c r="AS275" t="s">
        <v>3</v>
      </c>
      <c r="AT275">
        <v>7.14</v>
      </c>
      <c r="AU275" t="s">
        <v>3</v>
      </c>
      <c r="AV275">
        <v>0</v>
      </c>
      <c r="AW275">
        <v>2</v>
      </c>
      <c r="AX275">
        <v>52432023</v>
      </c>
      <c r="AY275">
        <v>1</v>
      </c>
      <c r="AZ275">
        <v>0</v>
      </c>
      <c r="BA275">
        <v>263</v>
      </c>
      <c r="BB275">
        <v>0</v>
      </c>
      <c r="BC275">
        <v>0</v>
      </c>
      <c r="BD275">
        <v>0</v>
      </c>
      <c r="BE275">
        <v>0</v>
      </c>
      <c r="BF275">
        <v>0</v>
      </c>
      <c r="BG275">
        <v>0</v>
      </c>
      <c r="BH275">
        <v>0</v>
      </c>
      <c r="BI275">
        <v>0</v>
      </c>
      <c r="BJ275">
        <v>0</v>
      </c>
      <c r="BK275">
        <v>0</v>
      </c>
      <c r="BL275">
        <v>0</v>
      </c>
      <c r="BM275">
        <v>0</v>
      </c>
      <c r="BN275">
        <v>0</v>
      </c>
      <c r="BO275">
        <v>0</v>
      </c>
      <c r="BP275">
        <v>0</v>
      </c>
      <c r="BQ275">
        <v>0</v>
      </c>
      <c r="BR275">
        <v>0</v>
      </c>
      <c r="BS275">
        <v>0</v>
      </c>
      <c r="BT275">
        <v>0</v>
      </c>
      <c r="BU275">
        <v>0</v>
      </c>
      <c r="BV275">
        <v>0</v>
      </c>
      <c r="BW275">
        <v>0</v>
      </c>
      <c r="CX275">
        <f>Y275*Source!I271</f>
        <v>7.2256799999999997</v>
      </c>
      <c r="CY275">
        <f>AA275</f>
        <v>2652.04</v>
      </c>
      <c r="CZ275">
        <f>AE275</f>
        <v>2652.04</v>
      </c>
      <c r="DA275">
        <f>AI275</f>
        <v>1</v>
      </c>
      <c r="DB275">
        <f t="shared" si="20"/>
        <v>18935.57</v>
      </c>
      <c r="DC275">
        <f t="shared" si="21"/>
        <v>0</v>
      </c>
    </row>
    <row r="276" spans="1:107" x14ac:dyDescent="0.2">
      <c r="A276">
        <f>ROW(Source!A272)</f>
        <v>272</v>
      </c>
      <c r="B276">
        <v>52430918</v>
      </c>
      <c r="C276">
        <v>52432024</v>
      </c>
      <c r="D276">
        <v>51848379</v>
      </c>
      <c r="E276">
        <v>27</v>
      </c>
      <c r="F276">
        <v>1</v>
      </c>
      <c r="G276">
        <v>27</v>
      </c>
      <c r="H276">
        <v>1</v>
      </c>
      <c r="I276" t="s">
        <v>378</v>
      </c>
      <c r="J276" t="s">
        <v>3</v>
      </c>
      <c r="K276" t="s">
        <v>379</v>
      </c>
      <c r="L276">
        <v>1191</v>
      </c>
      <c r="N276">
        <v>1013</v>
      </c>
      <c r="O276" t="s">
        <v>380</v>
      </c>
      <c r="P276" t="s">
        <v>380</v>
      </c>
      <c r="Q276">
        <v>1</v>
      </c>
      <c r="W276">
        <v>0</v>
      </c>
      <c r="X276">
        <v>476480486</v>
      </c>
      <c r="Y276">
        <v>18.440000000000001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1</v>
      </c>
      <c r="AJ276">
        <v>1</v>
      </c>
      <c r="AK276">
        <v>1</v>
      </c>
      <c r="AL276">
        <v>1</v>
      </c>
      <c r="AN276">
        <v>0</v>
      </c>
      <c r="AO276">
        <v>1</v>
      </c>
      <c r="AP276">
        <v>0</v>
      </c>
      <c r="AQ276">
        <v>0</v>
      </c>
      <c r="AR276">
        <v>0</v>
      </c>
      <c r="AS276" t="s">
        <v>3</v>
      </c>
      <c r="AT276">
        <v>18.440000000000001</v>
      </c>
      <c r="AU276" t="s">
        <v>3</v>
      </c>
      <c r="AV276">
        <v>1</v>
      </c>
      <c r="AW276">
        <v>2</v>
      </c>
      <c r="AX276">
        <v>52432035</v>
      </c>
      <c r="AY276">
        <v>1</v>
      </c>
      <c r="AZ276">
        <v>0</v>
      </c>
      <c r="BA276">
        <v>264</v>
      </c>
      <c r="BB276">
        <v>0</v>
      </c>
      <c r="BC276">
        <v>0</v>
      </c>
      <c r="BD276">
        <v>0</v>
      </c>
      <c r="BE276">
        <v>0</v>
      </c>
      <c r="BF276">
        <v>0</v>
      </c>
      <c r="BG276">
        <v>0</v>
      </c>
      <c r="BH276">
        <v>0</v>
      </c>
      <c r="BI276">
        <v>0</v>
      </c>
      <c r="BJ276">
        <v>0</v>
      </c>
      <c r="BK276">
        <v>0</v>
      </c>
      <c r="BL276">
        <v>0</v>
      </c>
      <c r="BM276">
        <v>0</v>
      </c>
      <c r="BN276">
        <v>0</v>
      </c>
      <c r="BO276">
        <v>0</v>
      </c>
      <c r="BP276">
        <v>0</v>
      </c>
      <c r="BQ276">
        <v>0</v>
      </c>
      <c r="BR276">
        <v>0</v>
      </c>
      <c r="BS276">
        <v>0</v>
      </c>
      <c r="BT276">
        <v>0</v>
      </c>
      <c r="BU276">
        <v>0</v>
      </c>
      <c r="BV276">
        <v>0</v>
      </c>
      <c r="BW276">
        <v>0</v>
      </c>
      <c r="CX276">
        <f>Y276*Source!I272</f>
        <v>18.661280000000001</v>
      </c>
      <c r="CY276">
        <f>AD276</f>
        <v>0</v>
      </c>
      <c r="CZ276">
        <f>AH276</f>
        <v>0</v>
      </c>
      <c r="DA276">
        <f>AL276</f>
        <v>1</v>
      </c>
      <c r="DB276">
        <f t="shared" si="20"/>
        <v>0</v>
      </c>
      <c r="DC276">
        <f t="shared" si="21"/>
        <v>0</v>
      </c>
    </row>
    <row r="277" spans="1:107" x14ac:dyDescent="0.2">
      <c r="A277">
        <f>ROW(Source!A272)</f>
        <v>272</v>
      </c>
      <c r="B277">
        <v>52430918</v>
      </c>
      <c r="C277">
        <v>52432024</v>
      </c>
      <c r="D277">
        <v>51865492</v>
      </c>
      <c r="E277">
        <v>1</v>
      </c>
      <c r="F277">
        <v>1</v>
      </c>
      <c r="G277">
        <v>27</v>
      </c>
      <c r="H277">
        <v>2</v>
      </c>
      <c r="I277" t="s">
        <v>417</v>
      </c>
      <c r="J277" t="s">
        <v>418</v>
      </c>
      <c r="K277" t="s">
        <v>419</v>
      </c>
      <c r="L277">
        <v>1368</v>
      </c>
      <c r="N277">
        <v>1011</v>
      </c>
      <c r="O277" t="s">
        <v>84</v>
      </c>
      <c r="P277" t="s">
        <v>84</v>
      </c>
      <c r="Q277">
        <v>1</v>
      </c>
      <c r="W277">
        <v>0</v>
      </c>
      <c r="X277">
        <v>72422803</v>
      </c>
      <c r="Y277">
        <v>2.64</v>
      </c>
      <c r="AA277">
        <v>0</v>
      </c>
      <c r="AB277">
        <v>531.41</v>
      </c>
      <c r="AC277">
        <v>373.56</v>
      </c>
      <c r="AD277">
        <v>0</v>
      </c>
      <c r="AE277">
        <v>0</v>
      </c>
      <c r="AF277">
        <v>531.41</v>
      </c>
      <c r="AG277">
        <v>373.56</v>
      </c>
      <c r="AH277">
        <v>0</v>
      </c>
      <c r="AI277">
        <v>1</v>
      </c>
      <c r="AJ277">
        <v>1</v>
      </c>
      <c r="AK277">
        <v>1</v>
      </c>
      <c r="AL277">
        <v>1</v>
      </c>
      <c r="AN277">
        <v>0</v>
      </c>
      <c r="AO277">
        <v>1</v>
      </c>
      <c r="AP277">
        <v>0</v>
      </c>
      <c r="AQ277">
        <v>0</v>
      </c>
      <c r="AR277">
        <v>0</v>
      </c>
      <c r="AS277" t="s">
        <v>3</v>
      </c>
      <c r="AT277">
        <v>2.64</v>
      </c>
      <c r="AU277" t="s">
        <v>3</v>
      </c>
      <c r="AV277">
        <v>0</v>
      </c>
      <c r="AW277">
        <v>2</v>
      </c>
      <c r="AX277">
        <v>52432036</v>
      </c>
      <c r="AY277">
        <v>1</v>
      </c>
      <c r="AZ277">
        <v>0</v>
      </c>
      <c r="BA277">
        <v>265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0</v>
      </c>
      <c r="BJ277">
        <v>0</v>
      </c>
      <c r="BK277">
        <v>0</v>
      </c>
      <c r="BL277">
        <v>0</v>
      </c>
      <c r="BM277">
        <v>0</v>
      </c>
      <c r="BN277">
        <v>0</v>
      </c>
      <c r="BO277">
        <v>0</v>
      </c>
      <c r="BP277">
        <v>0</v>
      </c>
      <c r="BQ277">
        <v>0</v>
      </c>
      <c r="BR277">
        <v>0</v>
      </c>
      <c r="BS277">
        <v>0</v>
      </c>
      <c r="BT277">
        <v>0</v>
      </c>
      <c r="BU277">
        <v>0</v>
      </c>
      <c r="BV277">
        <v>0</v>
      </c>
      <c r="BW277">
        <v>0</v>
      </c>
      <c r="CX277">
        <f>Y277*Source!I272</f>
        <v>2.6716800000000003</v>
      </c>
      <c r="CY277">
        <f>AB277</f>
        <v>531.41</v>
      </c>
      <c r="CZ277">
        <f>AF277</f>
        <v>531.41</v>
      </c>
      <c r="DA277">
        <f>AJ277</f>
        <v>1</v>
      </c>
      <c r="DB277">
        <f t="shared" si="20"/>
        <v>1402.92</v>
      </c>
      <c r="DC277">
        <f t="shared" si="21"/>
        <v>986.2</v>
      </c>
    </row>
    <row r="278" spans="1:107" x14ac:dyDescent="0.2">
      <c r="A278">
        <f>ROW(Source!A272)</f>
        <v>272</v>
      </c>
      <c r="B278">
        <v>52430918</v>
      </c>
      <c r="C278">
        <v>52432024</v>
      </c>
      <c r="D278">
        <v>51865715</v>
      </c>
      <c r="E278">
        <v>1</v>
      </c>
      <c r="F278">
        <v>1</v>
      </c>
      <c r="G278">
        <v>27</v>
      </c>
      <c r="H278">
        <v>2</v>
      </c>
      <c r="I278" t="s">
        <v>420</v>
      </c>
      <c r="J278" t="s">
        <v>421</v>
      </c>
      <c r="K278" t="s">
        <v>422</v>
      </c>
      <c r="L278">
        <v>1368</v>
      </c>
      <c r="N278">
        <v>1011</v>
      </c>
      <c r="O278" t="s">
        <v>84</v>
      </c>
      <c r="P278" t="s">
        <v>84</v>
      </c>
      <c r="Q278">
        <v>1</v>
      </c>
      <c r="W278">
        <v>0</v>
      </c>
      <c r="X278">
        <v>592514182</v>
      </c>
      <c r="Y278">
        <v>1.18</v>
      </c>
      <c r="AA278">
        <v>0</v>
      </c>
      <c r="AB278">
        <v>7.44</v>
      </c>
      <c r="AC278">
        <v>0.98</v>
      </c>
      <c r="AD278">
        <v>0</v>
      </c>
      <c r="AE278">
        <v>0</v>
      </c>
      <c r="AF278">
        <v>7.44</v>
      </c>
      <c r="AG278">
        <v>0.98</v>
      </c>
      <c r="AH278">
        <v>0</v>
      </c>
      <c r="AI278">
        <v>1</v>
      </c>
      <c r="AJ278">
        <v>1</v>
      </c>
      <c r="AK278">
        <v>1</v>
      </c>
      <c r="AL278">
        <v>1</v>
      </c>
      <c r="AN278">
        <v>0</v>
      </c>
      <c r="AO278">
        <v>1</v>
      </c>
      <c r="AP278">
        <v>0</v>
      </c>
      <c r="AQ278">
        <v>0</v>
      </c>
      <c r="AR278">
        <v>0</v>
      </c>
      <c r="AS278" t="s">
        <v>3</v>
      </c>
      <c r="AT278">
        <v>1.18</v>
      </c>
      <c r="AU278" t="s">
        <v>3</v>
      </c>
      <c r="AV278">
        <v>0</v>
      </c>
      <c r="AW278">
        <v>2</v>
      </c>
      <c r="AX278">
        <v>52432037</v>
      </c>
      <c r="AY278">
        <v>1</v>
      </c>
      <c r="AZ278">
        <v>0</v>
      </c>
      <c r="BA278">
        <v>266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v>0</v>
      </c>
      <c r="BJ278">
        <v>0</v>
      </c>
      <c r="BK278">
        <v>0</v>
      </c>
      <c r="BL278">
        <v>0</v>
      </c>
      <c r="BM278">
        <v>0</v>
      </c>
      <c r="BN278">
        <v>0</v>
      </c>
      <c r="BO278">
        <v>0</v>
      </c>
      <c r="BP278">
        <v>0</v>
      </c>
      <c r="BQ278">
        <v>0</v>
      </c>
      <c r="BR278">
        <v>0</v>
      </c>
      <c r="BS278">
        <v>0</v>
      </c>
      <c r="BT278">
        <v>0</v>
      </c>
      <c r="BU278">
        <v>0</v>
      </c>
      <c r="BV278">
        <v>0</v>
      </c>
      <c r="BW278">
        <v>0</v>
      </c>
      <c r="CX278">
        <f>Y278*Source!I272</f>
        <v>1.1941599999999999</v>
      </c>
      <c r="CY278">
        <f>AB278</f>
        <v>7.44</v>
      </c>
      <c r="CZ278">
        <f>AF278</f>
        <v>7.44</v>
      </c>
      <c r="DA278">
        <f>AJ278</f>
        <v>1</v>
      </c>
      <c r="DB278">
        <f t="shared" si="20"/>
        <v>8.7799999999999994</v>
      </c>
      <c r="DC278">
        <f t="shared" si="21"/>
        <v>1.1599999999999999</v>
      </c>
    </row>
    <row r="279" spans="1:107" x14ac:dyDescent="0.2">
      <c r="A279">
        <f>ROW(Source!A272)</f>
        <v>272</v>
      </c>
      <c r="B279">
        <v>52430918</v>
      </c>
      <c r="C279">
        <v>52432024</v>
      </c>
      <c r="D279">
        <v>51864917</v>
      </c>
      <c r="E279">
        <v>1</v>
      </c>
      <c r="F279">
        <v>1</v>
      </c>
      <c r="G279">
        <v>27</v>
      </c>
      <c r="H279">
        <v>2</v>
      </c>
      <c r="I279" t="s">
        <v>423</v>
      </c>
      <c r="J279" t="s">
        <v>424</v>
      </c>
      <c r="K279" t="s">
        <v>425</v>
      </c>
      <c r="L279">
        <v>1368</v>
      </c>
      <c r="N279">
        <v>1011</v>
      </c>
      <c r="O279" t="s">
        <v>84</v>
      </c>
      <c r="P279" t="s">
        <v>84</v>
      </c>
      <c r="Q279">
        <v>1</v>
      </c>
      <c r="W279">
        <v>0</v>
      </c>
      <c r="X279">
        <v>-2052459773</v>
      </c>
      <c r="Y279">
        <v>0.01</v>
      </c>
      <c r="AA279">
        <v>0</v>
      </c>
      <c r="AB279">
        <v>616.73</v>
      </c>
      <c r="AC279">
        <v>511.29</v>
      </c>
      <c r="AD279">
        <v>0</v>
      </c>
      <c r="AE279">
        <v>0</v>
      </c>
      <c r="AF279">
        <v>616.73</v>
      </c>
      <c r="AG279">
        <v>511.29</v>
      </c>
      <c r="AH279">
        <v>0</v>
      </c>
      <c r="AI279">
        <v>1</v>
      </c>
      <c r="AJ279">
        <v>1</v>
      </c>
      <c r="AK279">
        <v>1</v>
      </c>
      <c r="AL279">
        <v>1</v>
      </c>
      <c r="AN279">
        <v>0</v>
      </c>
      <c r="AO279">
        <v>1</v>
      </c>
      <c r="AP279">
        <v>0</v>
      </c>
      <c r="AQ279">
        <v>0</v>
      </c>
      <c r="AR279">
        <v>0</v>
      </c>
      <c r="AS279" t="s">
        <v>3</v>
      </c>
      <c r="AT279">
        <v>0.01</v>
      </c>
      <c r="AU279" t="s">
        <v>3</v>
      </c>
      <c r="AV279">
        <v>0</v>
      </c>
      <c r="AW279">
        <v>2</v>
      </c>
      <c r="AX279">
        <v>52432038</v>
      </c>
      <c r="AY279">
        <v>1</v>
      </c>
      <c r="AZ279">
        <v>0</v>
      </c>
      <c r="BA279">
        <v>267</v>
      </c>
      <c r="BB279">
        <v>0</v>
      </c>
      <c r="BC279">
        <v>0</v>
      </c>
      <c r="BD279">
        <v>0</v>
      </c>
      <c r="BE279">
        <v>0</v>
      </c>
      <c r="BF279">
        <v>0</v>
      </c>
      <c r="BG279">
        <v>0</v>
      </c>
      <c r="BH279">
        <v>0</v>
      </c>
      <c r="BI279">
        <v>0</v>
      </c>
      <c r="BJ279">
        <v>0</v>
      </c>
      <c r="BK279">
        <v>0</v>
      </c>
      <c r="BL279">
        <v>0</v>
      </c>
      <c r="BM279">
        <v>0</v>
      </c>
      <c r="BN279">
        <v>0</v>
      </c>
      <c r="BO279">
        <v>0</v>
      </c>
      <c r="BP279">
        <v>0</v>
      </c>
      <c r="BQ279">
        <v>0</v>
      </c>
      <c r="BR279">
        <v>0</v>
      </c>
      <c r="BS279">
        <v>0</v>
      </c>
      <c r="BT279">
        <v>0</v>
      </c>
      <c r="BU279">
        <v>0</v>
      </c>
      <c r="BV279">
        <v>0</v>
      </c>
      <c r="BW279">
        <v>0</v>
      </c>
      <c r="CX279">
        <f>Y279*Source!I272</f>
        <v>1.0120000000000001E-2</v>
      </c>
      <c r="CY279">
        <f>AB279</f>
        <v>616.73</v>
      </c>
      <c r="CZ279">
        <f>AF279</f>
        <v>616.73</v>
      </c>
      <c r="DA279">
        <f>AJ279</f>
        <v>1</v>
      </c>
      <c r="DB279">
        <f t="shared" si="20"/>
        <v>6.17</v>
      </c>
      <c r="DC279">
        <f t="shared" si="21"/>
        <v>5.1100000000000003</v>
      </c>
    </row>
    <row r="280" spans="1:107" x14ac:dyDescent="0.2">
      <c r="A280">
        <f>ROW(Source!A272)</f>
        <v>272</v>
      </c>
      <c r="B280">
        <v>52430918</v>
      </c>
      <c r="C280">
        <v>52432024</v>
      </c>
      <c r="D280">
        <v>51865101</v>
      </c>
      <c r="E280">
        <v>1</v>
      </c>
      <c r="F280">
        <v>1</v>
      </c>
      <c r="G280">
        <v>27</v>
      </c>
      <c r="H280">
        <v>2</v>
      </c>
      <c r="I280" t="s">
        <v>426</v>
      </c>
      <c r="J280" t="s">
        <v>427</v>
      </c>
      <c r="K280" t="s">
        <v>428</v>
      </c>
      <c r="L280">
        <v>1368</v>
      </c>
      <c r="N280">
        <v>1011</v>
      </c>
      <c r="O280" t="s">
        <v>84</v>
      </c>
      <c r="P280" t="s">
        <v>84</v>
      </c>
      <c r="Q280">
        <v>1</v>
      </c>
      <c r="W280">
        <v>0</v>
      </c>
      <c r="X280">
        <v>1110189246</v>
      </c>
      <c r="Y280">
        <v>2.64</v>
      </c>
      <c r="AA280">
        <v>0</v>
      </c>
      <c r="AB280">
        <v>454.31</v>
      </c>
      <c r="AC280">
        <v>405.68</v>
      </c>
      <c r="AD280">
        <v>0</v>
      </c>
      <c r="AE280">
        <v>0</v>
      </c>
      <c r="AF280">
        <v>454.31</v>
      </c>
      <c r="AG280">
        <v>405.68</v>
      </c>
      <c r="AH280">
        <v>0</v>
      </c>
      <c r="AI280">
        <v>1</v>
      </c>
      <c r="AJ280">
        <v>1</v>
      </c>
      <c r="AK280">
        <v>1</v>
      </c>
      <c r="AL280">
        <v>1</v>
      </c>
      <c r="AN280">
        <v>0</v>
      </c>
      <c r="AO280">
        <v>1</v>
      </c>
      <c r="AP280">
        <v>0</v>
      </c>
      <c r="AQ280">
        <v>0</v>
      </c>
      <c r="AR280">
        <v>0</v>
      </c>
      <c r="AS280" t="s">
        <v>3</v>
      </c>
      <c r="AT280">
        <v>2.64</v>
      </c>
      <c r="AU280" t="s">
        <v>3</v>
      </c>
      <c r="AV280">
        <v>0</v>
      </c>
      <c r="AW280">
        <v>2</v>
      </c>
      <c r="AX280">
        <v>52432039</v>
      </c>
      <c r="AY280">
        <v>1</v>
      </c>
      <c r="AZ280">
        <v>0</v>
      </c>
      <c r="BA280">
        <v>268</v>
      </c>
      <c r="BB280">
        <v>0</v>
      </c>
      <c r="BC280">
        <v>0</v>
      </c>
      <c r="BD280">
        <v>0</v>
      </c>
      <c r="BE280">
        <v>0</v>
      </c>
      <c r="BF280">
        <v>0</v>
      </c>
      <c r="BG280">
        <v>0</v>
      </c>
      <c r="BH280">
        <v>0</v>
      </c>
      <c r="BI280">
        <v>0</v>
      </c>
      <c r="BJ280">
        <v>0</v>
      </c>
      <c r="BK280">
        <v>0</v>
      </c>
      <c r="BL280">
        <v>0</v>
      </c>
      <c r="BM280">
        <v>0</v>
      </c>
      <c r="BN280">
        <v>0</v>
      </c>
      <c r="BO280">
        <v>0</v>
      </c>
      <c r="BP280">
        <v>0</v>
      </c>
      <c r="BQ280">
        <v>0</v>
      </c>
      <c r="BR280">
        <v>0</v>
      </c>
      <c r="BS280">
        <v>0</v>
      </c>
      <c r="BT280">
        <v>0</v>
      </c>
      <c r="BU280">
        <v>0</v>
      </c>
      <c r="BV280">
        <v>0</v>
      </c>
      <c r="BW280">
        <v>0</v>
      </c>
      <c r="CX280">
        <f>Y280*Source!I272</f>
        <v>2.6716800000000003</v>
      </c>
      <c r="CY280">
        <f>AB280</f>
        <v>454.31</v>
      </c>
      <c r="CZ280">
        <f>AF280</f>
        <v>454.31</v>
      </c>
      <c r="DA280">
        <f>AJ280</f>
        <v>1</v>
      </c>
      <c r="DB280">
        <f t="shared" si="20"/>
        <v>1199.3800000000001</v>
      </c>
      <c r="DC280">
        <f t="shared" si="21"/>
        <v>1071</v>
      </c>
    </row>
    <row r="281" spans="1:107" x14ac:dyDescent="0.2">
      <c r="A281">
        <f>ROW(Source!A272)</f>
        <v>272</v>
      </c>
      <c r="B281">
        <v>52430918</v>
      </c>
      <c r="C281">
        <v>52432024</v>
      </c>
      <c r="D281">
        <v>51867926</v>
      </c>
      <c r="E281">
        <v>1</v>
      </c>
      <c r="F281">
        <v>1</v>
      </c>
      <c r="G281">
        <v>27</v>
      </c>
      <c r="H281">
        <v>3</v>
      </c>
      <c r="I281" t="s">
        <v>429</v>
      </c>
      <c r="J281" t="s">
        <v>430</v>
      </c>
      <c r="K281" t="s">
        <v>431</v>
      </c>
      <c r="L281">
        <v>1327</v>
      </c>
      <c r="N281">
        <v>1005</v>
      </c>
      <c r="O281" t="s">
        <v>298</v>
      </c>
      <c r="P281" t="s">
        <v>298</v>
      </c>
      <c r="Q281">
        <v>1</v>
      </c>
      <c r="W281">
        <v>0</v>
      </c>
      <c r="X281">
        <v>-1185010663</v>
      </c>
      <c r="Y281">
        <v>5.6</v>
      </c>
      <c r="AA281">
        <v>12.02</v>
      </c>
      <c r="AB281">
        <v>0</v>
      </c>
      <c r="AC281">
        <v>0</v>
      </c>
      <c r="AD281">
        <v>0</v>
      </c>
      <c r="AE281">
        <v>12.02</v>
      </c>
      <c r="AF281">
        <v>0</v>
      </c>
      <c r="AG281">
        <v>0</v>
      </c>
      <c r="AH281">
        <v>0</v>
      </c>
      <c r="AI281">
        <v>1</v>
      </c>
      <c r="AJ281">
        <v>1</v>
      </c>
      <c r="AK281">
        <v>1</v>
      </c>
      <c r="AL281">
        <v>1</v>
      </c>
      <c r="AN281">
        <v>0</v>
      </c>
      <c r="AO281">
        <v>1</v>
      </c>
      <c r="AP281">
        <v>0</v>
      </c>
      <c r="AQ281">
        <v>0</v>
      </c>
      <c r="AR281">
        <v>0</v>
      </c>
      <c r="AS281" t="s">
        <v>3</v>
      </c>
      <c r="AT281">
        <v>5.6</v>
      </c>
      <c r="AU281" t="s">
        <v>3</v>
      </c>
      <c r="AV281">
        <v>0</v>
      </c>
      <c r="AW281">
        <v>2</v>
      </c>
      <c r="AX281">
        <v>52432040</v>
      </c>
      <c r="AY281">
        <v>1</v>
      </c>
      <c r="AZ281">
        <v>0</v>
      </c>
      <c r="BA281">
        <v>269</v>
      </c>
      <c r="BB281">
        <v>0</v>
      </c>
      <c r="BC281">
        <v>0</v>
      </c>
      <c r="BD281">
        <v>0</v>
      </c>
      <c r="BE281">
        <v>0</v>
      </c>
      <c r="BF281">
        <v>0</v>
      </c>
      <c r="BG281">
        <v>0</v>
      </c>
      <c r="BH281">
        <v>0</v>
      </c>
      <c r="BI281">
        <v>0</v>
      </c>
      <c r="BJ281">
        <v>0</v>
      </c>
      <c r="BK281">
        <v>0</v>
      </c>
      <c r="BL281">
        <v>0</v>
      </c>
      <c r="BM281">
        <v>0</v>
      </c>
      <c r="BN281">
        <v>0</v>
      </c>
      <c r="BO281">
        <v>0</v>
      </c>
      <c r="BP281">
        <v>0</v>
      </c>
      <c r="BQ281">
        <v>0</v>
      </c>
      <c r="BR281">
        <v>0</v>
      </c>
      <c r="BS281">
        <v>0</v>
      </c>
      <c r="BT281">
        <v>0</v>
      </c>
      <c r="BU281">
        <v>0</v>
      </c>
      <c r="BV281">
        <v>0</v>
      </c>
      <c r="BW281">
        <v>0</v>
      </c>
      <c r="CX281">
        <f>Y281*Source!I272</f>
        <v>5.6671999999999993</v>
      </c>
      <c r="CY281">
        <f>AA281</f>
        <v>12.02</v>
      </c>
      <c r="CZ281">
        <f>AE281</f>
        <v>12.02</v>
      </c>
      <c r="DA281">
        <f>AI281</f>
        <v>1</v>
      </c>
      <c r="DB281">
        <f t="shared" si="20"/>
        <v>67.31</v>
      </c>
      <c r="DC281">
        <f t="shared" si="21"/>
        <v>0</v>
      </c>
    </row>
    <row r="282" spans="1:107" x14ac:dyDescent="0.2">
      <c r="A282">
        <f>ROW(Source!A272)</f>
        <v>272</v>
      </c>
      <c r="B282">
        <v>52430918</v>
      </c>
      <c r="C282">
        <v>52432024</v>
      </c>
      <c r="D282">
        <v>51868013</v>
      </c>
      <c r="E282">
        <v>1</v>
      </c>
      <c r="F282">
        <v>1</v>
      </c>
      <c r="G282">
        <v>27</v>
      </c>
      <c r="H282">
        <v>3</v>
      </c>
      <c r="I282" t="s">
        <v>432</v>
      </c>
      <c r="J282" t="s">
        <v>433</v>
      </c>
      <c r="K282" t="s">
        <v>434</v>
      </c>
      <c r="L282">
        <v>1348</v>
      </c>
      <c r="N282">
        <v>1009</v>
      </c>
      <c r="O282" t="s">
        <v>101</v>
      </c>
      <c r="P282" t="s">
        <v>101</v>
      </c>
      <c r="Q282">
        <v>1000</v>
      </c>
      <c r="W282">
        <v>0</v>
      </c>
      <c r="X282">
        <v>1287476064</v>
      </c>
      <c r="Y282">
        <v>3.15E-3</v>
      </c>
      <c r="AA282">
        <v>343020.03</v>
      </c>
      <c r="AB282">
        <v>0</v>
      </c>
      <c r="AC282">
        <v>0</v>
      </c>
      <c r="AD282">
        <v>0</v>
      </c>
      <c r="AE282">
        <v>343020.03</v>
      </c>
      <c r="AF282">
        <v>0</v>
      </c>
      <c r="AG282">
        <v>0</v>
      </c>
      <c r="AH282">
        <v>0</v>
      </c>
      <c r="AI282">
        <v>1</v>
      </c>
      <c r="AJ282">
        <v>1</v>
      </c>
      <c r="AK282">
        <v>1</v>
      </c>
      <c r="AL282">
        <v>1</v>
      </c>
      <c r="AN282">
        <v>0</v>
      </c>
      <c r="AO282">
        <v>1</v>
      </c>
      <c r="AP282">
        <v>0</v>
      </c>
      <c r="AQ282">
        <v>0</v>
      </c>
      <c r="AR282">
        <v>0</v>
      </c>
      <c r="AS282" t="s">
        <v>3</v>
      </c>
      <c r="AT282">
        <v>3.15E-3</v>
      </c>
      <c r="AU282" t="s">
        <v>3</v>
      </c>
      <c r="AV282">
        <v>0</v>
      </c>
      <c r="AW282">
        <v>2</v>
      </c>
      <c r="AX282">
        <v>52432041</v>
      </c>
      <c r="AY282">
        <v>1</v>
      </c>
      <c r="AZ282">
        <v>0</v>
      </c>
      <c r="BA282">
        <v>270</v>
      </c>
      <c r="BB282">
        <v>0</v>
      </c>
      <c r="BC282">
        <v>0</v>
      </c>
      <c r="BD282">
        <v>0</v>
      </c>
      <c r="BE282">
        <v>0</v>
      </c>
      <c r="BF282">
        <v>0</v>
      </c>
      <c r="BG282">
        <v>0</v>
      </c>
      <c r="BH282">
        <v>0</v>
      </c>
      <c r="BI282">
        <v>0</v>
      </c>
      <c r="BJ282">
        <v>0</v>
      </c>
      <c r="BK282">
        <v>0</v>
      </c>
      <c r="BL282">
        <v>0</v>
      </c>
      <c r="BM282">
        <v>0</v>
      </c>
      <c r="BN282">
        <v>0</v>
      </c>
      <c r="BO282">
        <v>0</v>
      </c>
      <c r="BP282">
        <v>0</v>
      </c>
      <c r="BQ282">
        <v>0</v>
      </c>
      <c r="BR282">
        <v>0</v>
      </c>
      <c r="BS282">
        <v>0</v>
      </c>
      <c r="BT282">
        <v>0</v>
      </c>
      <c r="BU282">
        <v>0</v>
      </c>
      <c r="BV282">
        <v>0</v>
      </c>
      <c r="BW282">
        <v>0</v>
      </c>
      <c r="CX282">
        <f>Y282*Source!I272</f>
        <v>3.1878000000000002E-3</v>
      </c>
      <c r="CY282">
        <f>AA282</f>
        <v>343020.03</v>
      </c>
      <c r="CZ282">
        <f>AE282</f>
        <v>343020.03</v>
      </c>
      <c r="DA282">
        <f>AI282</f>
        <v>1</v>
      </c>
      <c r="DB282">
        <f t="shared" si="20"/>
        <v>1080.51</v>
      </c>
      <c r="DC282">
        <f t="shared" si="21"/>
        <v>0</v>
      </c>
    </row>
    <row r="283" spans="1:107" x14ac:dyDescent="0.2">
      <c r="A283">
        <f>ROW(Source!A272)</f>
        <v>272</v>
      </c>
      <c r="B283">
        <v>52430918</v>
      </c>
      <c r="C283">
        <v>52432024</v>
      </c>
      <c r="D283">
        <v>51868230</v>
      </c>
      <c r="E283">
        <v>1</v>
      </c>
      <c r="F283">
        <v>1</v>
      </c>
      <c r="G283">
        <v>27</v>
      </c>
      <c r="H283">
        <v>3</v>
      </c>
      <c r="I283" t="s">
        <v>435</v>
      </c>
      <c r="J283" t="s">
        <v>436</v>
      </c>
      <c r="K283" t="s">
        <v>437</v>
      </c>
      <c r="L283">
        <v>1346</v>
      </c>
      <c r="N283">
        <v>1009</v>
      </c>
      <c r="O283" t="s">
        <v>438</v>
      </c>
      <c r="P283" t="s">
        <v>438</v>
      </c>
      <c r="Q283">
        <v>1</v>
      </c>
      <c r="W283">
        <v>0</v>
      </c>
      <c r="X283">
        <v>1696686191</v>
      </c>
      <c r="Y283">
        <v>735</v>
      </c>
      <c r="AA283">
        <v>17.77</v>
      </c>
      <c r="AB283">
        <v>0</v>
      </c>
      <c r="AC283">
        <v>0</v>
      </c>
      <c r="AD283">
        <v>0</v>
      </c>
      <c r="AE283">
        <v>17.77</v>
      </c>
      <c r="AF283">
        <v>0</v>
      </c>
      <c r="AG283">
        <v>0</v>
      </c>
      <c r="AH283">
        <v>0</v>
      </c>
      <c r="AI283">
        <v>1</v>
      </c>
      <c r="AJ283">
        <v>1</v>
      </c>
      <c r="AK283">
        <v>1</v>
      </c>
      <c r="AL283">
        <v>1</v>
      </c>
      <c r="AN283">
        <v>0</v>
      </c>
      <c r="AO283">
        <v>1</v>
      </c>
      <c r="AP283">
        <v>0</v>
      </c>
      <c r="AQ283">
        <v>0</v>
      </c>
      <c r="AR283">
        <v>0</v>
      </c>
      <c r="AS283" t="s">
        <v>3</v>
      </c>
      <c r="AT283">
        <v>735</v>
      </c>
      <c r="AU283" t="s">
        <v>3</v>
      </c>
      <c r="AV283">
        <v>0</v>
      </c>
      <c r="AW283">
        <v>2</v>
      </c>
      <c r="AX283">
        <v>52432042</v>
      </c>
      <c r="AY283">
        <v>1</v>
      </c>
      <c r="AZ283">
        <v>0</v>
      </c>
      <c r="BA283">
        <v>271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v>0</v>
      </c>
      <c r="BH283">
        <v>0</v>
      </c>
      <c r="BI283">
        <v>0</v>
      </c>
      <c r="BJ283">
        <v>0</v>
      </c>
      <c r="BK283">
        <v>0</v>
      </c>
      <c r="BL283">
        <v>0</v>
      </c>
      <c r="BM283">
        <v>0</v>
      </c>
      <c r="BN283">
        <v>0</v>
      </c>
      <c r="BO283">
        <v>0</v>
      </c>
      <c r="BP283">
        <v>0</v>
      </c>
      <c r="BQ283">
        <v>0</v>
      </c>
      <c r="BR283">
        <v>0</v>
      </c>
      <c r="BS283">
        <v>0</v>
      </c>
      <c r="BT283">
        <v>0</v>
      </c>
      <c r="BU283">
        <v>0</v>
      </c>
      <c r="BV283">
        <v>0</v>
      </c>
      <c r="BW283">
        <v>0</v>
      </c>
      <c r="CX283">
        <f>Y283*Source!I272</f>
        <v>743.82</v>
      </c>
      <c r="CY283">
        <f>AA283</f>
        <v>17.77</v>
      </c>
      <c r="CZ283">
        <f>AE283</f>
        <v>17.77</v>
      </c>
      <c r="DA283">
        <f>AI283</f>
        <v>1</v>
      </c>
      <c r="DB283">
        <f t="shared" si="20"/>
        <v>13060.95</v>
      </c>
      <c r="DC283">
        <f t="shared" si="21"/>
        <v>0</v>
      </c>
    </row>
    <row r="284" spans="1:107" x14ac:dyDescent="0.2">
      <c r="A284">
        <f>ROW(Source!A272)</f>
        <v>272</v>
      </c>
      <c r="B284">
        <v>52430918</v>
      </c>
      <c r="C284">
        <v>52432024</v>
      </c>
      <c r="D284">
        <v>51868237</v>
      </c>
      <c r="E284">
        <v>1</v>
      </c>
      <c r="F284">
        <v>1</v>
      </c>
      <c r="G284">
        <v>27</v>
      </c>
      <c r="H284">
        <v>3</v>
      </c>
      <c r="I284" t="s">
        <v>439</v>
      </c>
      <c r="J284" t="s">
        <v>440</v>
      </c>
      <c r="K284" t="s">
        <v>441</v>
      </c>
      <c r="L284">
        <v>1346</v>
      </c>
      <c r="N284">
        <v>1009</v>
      </c>
      <c r="O284" t="s">
        <v>438</v>
      </c>
      <c r="P284" t="s">
        <v>438</v>
      </c>
      <c r="Q284">
        <v>1</v>
      </c>
      <c r="W284">
        <v>0</v>
      </c>
      <c r="X284">
        <v>-319511878</v>
      </c>
      <c r="Y284">
        <v>241.5</v>
      </c>
      <c r="AA284">
        <v>202.34</v>
      </c>
      <c r="AB284">
        <v>0</v>
      </c>
      <c r="AC284">
        <v>0</v>
      </c>
      <c r="AD284">
        <v>0</v>
      </c>
      <c r="AE284">
        <v>202.34</v>
      </c>
      <c r="AF284">
        <v>0</v>
      </c>
      <c r="AG284">
        <v>0</v>
      </c>
      <c r="AH284">
        <v>0</v>
      </c>
      <c r="AI284">
        <v>1</v>
      </c>
      <c r="AJ284">
        <v>1</v>
      </c>
      <c r="AK284">
        <v>1</v>
      </c>
      <c r="AL284">
        <v>1</v>
      </c>
      <c r="AN284">
        <v>0</v>
      </c>
      <c r="AO284">
        <v>1</v>
      </c>
      <c r="AP284">
        <v>0</v>
      </c>
      <c r="AQ284">
        <v>0</v>
      </c>
      <c r="AR284">
        <v>0</v>
      </c>
      <c r="AS284" t="s">
        <v>3</v>
      </c>
      <c r="AT284">
        <v>241.5</v>
      </c>
      <c r="AU284" t="s">
        <v>3</v>
      </c>
      <c r="AV284">
        <v>0</v>
      </c>
      <c r="AW284">
        <v>2</v>
      </c>
      <c r="AX284">
        <v>52432043</v>
      </c>
      <c r="AY284">
        <v>1</v>
      </c>
      <c r="AZ284">
        <v>0</v>
      </c>
      <c r="BA284">
        <v>272</v>
      </c>
      <c r="BB284">
        <v>0</v>
      </c>
      <c r="BC284">
        <v>0</v>
      </c>
      <c r="BD284">
        <v>0</v>
      </c>
      <c r="BE284">
        <v>0</v>
      </c>
      <c r="BF284">
        <v>0</v>
      </c>
      <c r="BG284">
        <v>0</v>
      </c>
      <c r="BH284">
        <v>0</v>
      </c>
      <c r="BI284">
        <v>0</v>
      </c>
      <c r="BJ284">
        <v>0</v>
      </c>
      <c r="BK284">
        <v>0</v>
      </c>
      <c r="BL284">
        <v>0</v>
      </c>
      <c r="BM284">
        <v>0</v>
      </c>
      <c r="BN284">
        <v>0</v>
      </c>
      <c r="BO284">
        <v>0</v>
      </c>
      <c r="BP284">
        <v>0</v>
      </c>
      <c r="BQ284">
        <v>0</v>
      </c>
      <c r="BR284">
        <v>0</v>
      </c>
      <c r="BS284">
        <v>0</v>
      </c>
      <c r="BT284">
        <v>0</v>
      </c>
      <c r="BU284">
        <v>0</v>
      </c>
      <c r="BV284">
        <v>0</v>
      </c>
      <c r="BW284">
        <v>0</v>
      </c>
      <c r="CX284">
        <f>Y284*Source!I272</f>
        <v>244.398</v>
      </c>
      <c r="CY284">
        <f>AA284</f>
        <v>202.34</v>
      </c>
      <c r="CZ284">
        <f>AE284</f>
        <v>202.34</v>
      </c>
      <c r="DA284">
        <f>AI284</f>
        <v>1</v>
      </c>
      <c r="DB284">
        <f t="shared" si="20"/>
        <v>48865.11</v>
      </c>
      <c r="DC284">
        <f t="shared" si="21"/>
        <v>0</v>
      </c>
    </row>
    <row r="285" spans="1:107" x14ac:dyDescent="0.2">
      <c r="A285">
        <f>ROW(Source!A272)</f>
        <v>272</v>
      </c>
      <c r="B285">
        <v>52430918</v>
      </c>
      <c r="C285">
        <v>52432024</v>
      </c>
      <c r="D285">
        <v>51866204</v>
      </c>
      <c r="E285">
        <v>1</v>
      </c>
      <c r="F285">
        <v>1</v>
      </c>
      <c r="G285">
        <v>27</v>
      </c>
      <c r="H285">
        <v>3</v>
      </c>
      <c r="I285" t="s">
        <v>442</v>
      </c>
      <c r="J285" t="s">
        <v>443</v>
      </c>
      <c r="K285" t="s">
        <v>444</v>
      </c>
      <c r="L285">
        <v>1348</v>
      </c>
      <c r="N285">
        <v>1009</v>
      </c>
      <c r="O285" t="s">
        <v>101</v>
      </c>
      <c r="P285" t="s">
        <v>101</v>
      </c>
      <c r="Q285">
        <v>1000</v>
      </c>
      <c r="W285">
        <v>0</v>
      </c>
      <c r="X285">
        <v>-1600259051</v>
      </c>
      <c r="Y285">
        <v>5.2499999999999998E-2</v>
      </c>
      <c r="AA285">
        <v>748299.67</v>
      </c>
      <c r="AB285">
        <v>0</v>
      </c>
      <c r="AC285">
        <v>0</v>
      </c>
      <c r="AD285">
        <v>0</v>
      </c>
      <c r="AE285">
        <v>748299.67</v>
      </c>
      <c r="AF285">
        <v>0</v>
      </c>
      <c r="AG285">
        <v>0</v>
      </c>
      <c r="AH285">
        <v>0</v>
      </c>
      <c r="AI285">
        <v>1</v>
      </c>
      <c r="AJ285">
        <v>1</v>
      </c>
      <c r="AK285">
        <v>1</v>
      </c>
      <c r="AL285">
        <v>1</v>
      </c>
      <c r="AN285">
        <v>0</v>
      </c>
      <c r="AO285">
        <v>1</v>
      </c>
      <c r="AP285">
        <v>0</v>
      </c>
      <c r="AQ285">
        <v>0</v>
      </c>
      <c r="AR285">
        <v>0</v>
      </c>
      <c r="AS285" t="s">
        <v>3</v>
      </c>
      <c r="AT285">
        <v>5.2499999999999998E-2</v>
      </c>
      <c r="AU285" t="s">
        <v>3</v>
      </c>
      <c r="AV285">
        <v>0</v>
      </c>
      <c r="AW285">
        <v>2</v>
      </c>
      <c r="AX285">
        <v>52432044</v>
      </c>
      <c r="AY285">
        <v>1</v>
      </c>
      <c r="AZ285">
        <v>0</v>
      </c>
      <c r="BA285">
        <v>273</v>
      </c>
      <c r="BB285">
        <v>0</v>
      </c>
      <c r="BC285">
        <v>0</v>
      </c>
      <c r="BD285">
        <v>0</v>
      </c>
      <c r="BE285">
        <v>0</v>
      </c>
      <c r="BF285">
        <v>0</v>
      </c>
      <c r="BG285">
        <v>0</v>
      </c>
      <c r="BH285">
        <v>0</v>
      </c>
      <c r="BI285">
        <v>0</v>
      </c>
      <c r="BJ285">
        <v>0</v>
      </c>
      <c r="BK285">
        <v>0</v>
      </c>
      <c r="BL285">
        <v>0</v>
      </c>
      <c r="BM285">
        <v>0</v>
      </c>
      <c r="BN285">
        <v>0</v>
      </c>
      <c r="BO285">
        <v>0</v>
      </c>
      <c r="BP285">
        <v>0</v>
      </c>
      <c r="BQ285">
        <v>0</v>
      </c>
      <c r="BR285">
        <v>0</v>
      </c>
      <c r="BS285">
        <v>0</v>
      </c>
      <c r="BT285">
        <v>0</v>
      </c>
      <c r="BU285">
        <v>0</v>
      </c>
      <c r="BV285">
        <v>0</v>
      </c>
      <c r="BW285">
        <v>0</v>
      </c>
      <c r="CX285">
        <f>Y285*Source!I272</f>
        <v>5.3129999999999997E-2</v>
      </c>
      <c r="CY285">
        <f>AA285</f>
        <v>748299.67</v>
      </c>
      <c r="CZ285">
        <f>AE285</f>
        <v>748299.67</v>
      </c>
      <c r="DA285">
        <f>AI285</f>
        <v>1</v>
      </c>
      <c r="DB285">
        <f t="shared" si="20"/>
        <v>39285.730000000003</v>
      </c>
      <c r="DC285">
        <f t="shared" si="21"/>
        <v>0</v>
      </c>
    </row>
    <row r="286" spans="1:107" x14ac:dyDescent="0.2">
      <c r="A286">
        <f>ROW(Source!A273)</f>
        <v>273</v>
      </c>
      <c r="B286">
        <v>52430918</v>
      </c>
      <c r="C286">
        <v>52432045</v>
      </c>
      <c r="D286">
        <v>51848379</v>
      </c>
      <c r="E286">
        <v>27</v>
      </c>
      <c r="F286">
        <v>1</v>
      </c>
      <c r="G286">
        <v>27</v>
      </c>
      <c r="H286">
        <v>1</v>
      </c>
      <c r="I286" t="s">
        <v>378</v>
      </c>
      <c r="J286" t="s">
        <v>3</v>
      </c>
      <c r="K286" t="s">
        <v>379</v>
      </c>
      <c r="L286">
        <v>1191</v>
      </c>
      <c r="N286">
        <v>1013</v>
      </c>
      <c r="O286" t="s">
        <v>380</v>
      </c>
      <c r="P286" t="s">
        <v>380</v>
      </c>
      <c r="Q286">
        <v>1</v>
      </c>
      <c r="W286">
        <v>0</v>
      </c>
      <c r="X286">
        <v>476480486</v>
      </c>
      <c r="Y286">
        <v>2.65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1</v>
      </c>
      <c r="AJ286">
        <v>1</v>
      </c>
      <c r="AK286">
        <v>1</v>
      </c>
      <c r="AL286">
        <v>1</v>
      </c>
      <c r="AN286">
        <v>0</v>
      </c>
      <c r="AO286">
        <v>1</v>
      </c>
      <c r="AP286">
        <v>0</v>
      </c>
      <c r="AQ286">
        <v>0</v>
      </c>
      <c r="AR286">
        <v>0</v>
      </c>
      <c r="AS286" t="s">
        <v>3</v>
      </c>
      <c r="AT286">
        <v>2.65</v>
      </c>
      <c r="AU286" t="s">
        <v>3</v>
      </c>
      <c r="AV286">
        <v>1</v>
      </c>
      <c r="AW286">
        <v>2</v>
      </c>
      <c r="AX286">
        <v>52432052</v>
      </c>
      <c r="AY286">
        <v>1</v>
      </c>
      <c r="AZ286">
        <v>0</v>
      </c>
      <c r="BA286">
        <v>274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0</v>
      </c>
      <c r="BJ286">
        <v>0</v>
      </c>
      <c r="BK286">
        <v>0</v>
      </c>
      <c r="BL286">
        <v>0</v>
      </c>
      <c r="BM286">
        <v>0</v>
      </c>
      <c r="BN286">
        <v>0</v>
      </c>
      <c r="BO286">
        <v>0</v>
      </c>
      <c r="BP286">
        <v>0</v>
      </c>
      <c r="BQ286">
        <v>0</v>
      </c>
      <c r="BR286">
        <v>0</v>
      </c>
      <c r="BS286">
        <v>0</v>
      </c>
      <c r="BT286">
        <v>0</v>
      </c>
      <c r="BU286">
        <v>0</v>
      </c>
      <c r="BV286">
        <v>0</v>
      </c>
      <c r="BW286">
        <v>0</v>
      </c>
      <c r="CX286">
        <f>Y286*Source!I273</f>
        <v>2.6818</v>
      </c>
      <c r="CY286">
        <f>AD286</f>
        <v>0</v>
      </c>
      <c r="CZ286">
        <f>AH286</f>
        <v>0</v>
      </c>
      <c r="DA286">
        <f>AL286</f>
        <v>1</v>
      </c>
      <c r="DB286">
        <f t="shared" si="20"/>
        <v>0</v>
      </c>
      <c r="DC286">
        <f t="shared" si="21"/>
        <v>0</v>
      </c>
    </row>
    <row r="287" spans="1:107" x14ac:dyDescent="0.2">
      <c r="A287">
        <f>ROW(Source!A273)</f>
        <v>273</v>
      </c>
      <c r="B287">
        <v>52430918</v>
      </c>
      <c r="C287">
        <v>52432045</v>
      </c>
      <c r="D287">
        <v>51865492</v>
      </c>
      <c r="E287">
        <v>1</v>
      </c>
      <c r="F287">
        <v>1</v>
      </c>
      <c r="G287">
        <v>27</v>
      </c>
      <c r="H287">
        <v>2</v>
      </c>
      <c r="I287" t="s">
        <v>417</v>
      </c>
      <c r="J287" t="s">
        <v>418</v>
      </c>
      <c r="K287" t="s">
        <v>419</v>
      </c>
      <c r="L287">
        <v>1368</v>
      </c>
      <c r="N287">
        <v>1011</v>
      </c>
      <c r="O287" t="s">
        <v>84</v>
      </c>
      <c r="P287" t="s">
        <v>84</v>
      </c>
      <c r="Q287">
        <v>1</v>
      </c>
      <c r="W287">
        <v>0</v>
      </c>
      <c r="X287">
        <v>72422803</v>
      </c>
      <c r="Y287">
        <v>0.5</v>
      </c>
      <c r="AA287">
        <v>0</v>
      </c>
      <c r="AB287">
        <v>531.41</v>
      </c>
      <c r="AC287">
        <v>373.56</v>
      </c>
      <c r="AD287">
        <v>0</v>
      </c>
      <c r="AE287">
        <v>0</v>
      </c>
      <c r="AF287">
        <v>531.41</v>
      </c>
      <c r="AG287">
        <v>373.56</v>
      </c>
      <c r="AH287">
        <v>0</v>
      </c>
      <c r="AI287">
        <v>1</v>
      </c>
      <c r="AJ287">
        <v>1</v>
      </c>
      <c r="AK287">
        <v>1</v>
      </c>
      <c r="AL287">
        <v>1</v>
      </c>
      <c r="AN287">
        <v>0</v>
      </c>
      <c r="AO287">
        <v>1</v>
      </c>
      <c r="AP287">
        <v>0</v>
      </c>
      <c r="AQ287">
        <v>0</v>
      </c>
      <c r="AR287">
        <v>0</v>
      </c>
      <c r="AS287" t="s">
        <v>3</v>
      </c>
      <c r="AT287">
        <v>0.5</v>
      </c>
      <c r="AU287" t="s">
        <v>3</v>
      </c>
      <c r="AV287">
        <v>0</v>
      </c>
      <c r="AW287">
        <v>2</v>
      </c>
      <c r="AX287">
        <v>52432053</v>
      </c>
      <c r="AY287">
        <v>1</v>
      </c>
      <c r="AZ287">
        <v>0</v>
      </c>
      <c r="BA287">
        <v>275</v>
      </c>
      <c r="BB287">
        <v>0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0</v>
      </c>
      <c r="BI287">
        <v>0</v>
      </c>
      <c r="BJ287">
        <v>0</v>
      </c>
      <c r="BK287">
        <v>0</v>
      </c>
      <c r="BL287">
        <v>0</v>
      </c>
      <c r="BM287">
        <v>0</v>
      </c>
      <c r="BN287">
        <v>0</v>
      </c>
      <c r="BO287">
        <v>0</v>
      </c>
      <c r="BP287">
        <v>0</v>
      </c>
      <c r="BQ287">
        <v>0</v>
      </c>
      <c r="BR287">
        <v>0</v>
      </c>
      <c r="BS287">
        <v>0</v>
      </c>
      <c r="BT287">
        <v>0</v>
      </c>
      <c r="BU287">
        <v>0</v>
      </c>
      <c r="BV287">
        <v>0</v>
      </c>
      <c r="BW287">
        <v>0</v>
      </c>
      <c r="CX287">
        <f>Y287*Source!I273</f>
        <v>0.50600000000000001</v>
      </c>
      <c r="CY287">
        <f>AB287</f>
        <v>531.41</v>
      </c>
      <c r="CZ287">
        <f>AF287</f>
        <v>531.41</v>
      </c>
      <c r="DA287">
        <f>AJ287</f>
        <v>1</v>
      </c>
      <c r="DB287">
        <f t="shared" si="20"/>
        <v>265.70999999999998</v>
      </c>
      <c r="DC287">
        <f t="shared" si="21"/>
        <v>186.78</v>
      </c>
    </row>
    <row r="288" spans="1:107" x14ac:dyDescent="0.2">
      <c r="A288">
        <f>ROW(Source!A273)</f>
        <v>273</v>
      </c>
      <c r="B288">
        <v>52430918</v>
      </c>
      <c r="C288">
        <v>52432045</v>
      </c>
      <c r="D288">
        <v>51865101</v>
      </c>
      <c r="E288">
        <v>1</v>
      </c>
      <c r="F288">
        <v>1</v>
      </c>
      <c r="G288">
        <v>27</v>
      </c>
      <c r="H288">
        <v>2</v>
      </c>
      <c r="I288" t="s">
        <v>426</v>
      </c>
      <c r="J288" t="s">
        <v>427</v>
      </c>
      <c r="K288" t="s">
        <v>428</v>
      </c>
      <c r="L288">
        <v>1368</v>
      </c>
      <c r="N288">
        <v>1011</v>
      </c>
      <c r="O288" t="s">
        <v>84</v>
      </c>
      <c r="P288" t="s">
        <v>84</v>
      </c>
      <c r="Q288">
        <v>1</v>
      </c>
      <c r="W288">
        <v>0</v>
      </c>
      <c r="X288">
        <v>1110189246</v>
      </c>
      <c r="Y288">
        <v>0.5</v>
      </c>
      <c r="AA288">
        <v>0</v>
      </c>
      <c r="AB288">
        <v>454.31</v>
      </c>
      <c r="AC288">
        <v>405.68</v>
      </c>
      <c r="AD288">
        <v>0</v>
      </c>
      <c r="AE288">
        <v>0</v>
      </c>
      <c r="AF288">
        <v>454.31</v>
      </c>
      <c r="AG288">
        <v>405.68</v>
      </c>
      <c r="AH288">
        <v>0</v>
      </c>
      <c r="AI288">
        <v>1</v>
      </c>
      <c r="AJ288">
        <v>1</v>
      </c>
      <c r="AK288">
        <v>1</v>
      </c>
      <c r="AL288">
        <v>1</v>
      </c>
      <c r="AN288">
        <v>0</v>
      </c>
      <c r="AO288">
        <v>1</v>
      </c>
      <c r="AP288">
        <v>0</v>
      </c>
      <c r="AQ288">
        <v>0</v>
      </c>
      <c r="AR288">
        <v>0</v>
      </c>
      <c r="AS288" t="s">
        <v>3</v>
      </c>
      <c r="AT288">
        <v>0.5</v>
      </c>
      <c r="AU288" t="s">
        <v>3</v>
      </c>
      <c r="AV288">
        <v>0</v>
      </c>
      <c r="AW288">
        <v>2</v>
      </c>
      <c r="AX288">
        <v>52432054</v>
      </c>
      <c r="AY288">
        <v>1</v>
      </c>
      <c r="AZ288">
        <v>0</v>
      </c>
      <c r="BA288">
        <v>276</v>
      </c>
      <c r="BB288">
        <v>0</v>
      </c>
      <c r="BC288">
        <v>0</v>
      </c>
      <c r="BD288">
        <v>0</v>
      </c>
      <c r="BE288">
        <v>0</v>
      </c>
      <c r="BF288">
        <v>0</v>
      </c>
      <c r="BG288">
        <v>0</v>
      </c>
      <c r="BH288">
        <v>0</v>
      </c>
      <c r="BI288">
        <v>0</v>
      </c>
      <c r="BJ288">
        <v>0</v>
      </c>
      <c r="BK288">
        <v>0</v>
      </c>
      <c r="BL288">
        <v>0</v>
      </c>
      <c r="BM288">
        <v>0</v>
      </c>
      <c r="BN288">
        <v>0</v>
      </c>
      <c r="BO288">
        <v>0</v>
      </c>
      <c r="BP288">
        <v>0</v>
      </c>
      <c r="BQ288">
        <v>0</v>
      </c>
      <c r="BR288">
        <v>0</v>
      </c>
      <c r="BS288">
        <v>0</v>
      </c>
      <c r="BT288">
        <v>0</v>
      </c>
      <c r="BU288">
        <v>0</v>
      </c>
      <c r="BV288">
        <v>0</v>
      </c>
      <c r="BW288">
        <v>0</v>
      </c>
      <c r="CX288">
        <f>Y288*Source!I273</f>
        <v>0.50600000000000001</v>
      </c>
      <c r="CY288">
        <f>AB288</f>
        <v>454.31</v>
      </c>
      <c r="CZ288">
        <f>AF288</f>
        <v>454.31</v>
      </c>
      <c r="DA288">
        <f>AJ288</f>
        <v>1</v>
      </c>
      <c r="DB288">
        <f t="shared" si="20"/>
        <v>227.16</v>
      </c>
      <c r="DC288">
        <f t="shared" si="21"/>
        <v>202.84</v>
      </c>
    </row>
    <row r="289" spans="1:107" x14ac:dyDescent="0.2">
      <c r="A289">
        <f>ROW(Source!A273)</f>
        <v>273</v>
      </c>
      <c r="B289">
        <v>52430918</v>
      </c>
      <c r="C289">
        <v>52432045</v>
      </c>
      <c r="D289">
        <v>51868230</v>
      </c>
      <c r="E289">
        <v>1</v>
      </c>
      <c r="F289">
        <v>1</v>
      </c>
      <c r="G289">
        <v>27</v>
      </c>
      <c r="H289">
        <v>3</v>
      </c>
      <c r="I289" t="s">
        <v>435</v>
      </c>
      <c r="J289" t="s">
        <v>436</v>
      </c>
      <c r="K289" t="s">
        <v>437</v>
      </c>
      <c r="L289">
        <v>1346</v>
      </c>
      <c r="N289">
        <v>1009</v>
      </c>
      <c r="O289" t="s">
        <v>438</v>
      </c>
      <c r="P289" t="s">
        <v>438</v>
      </c>
      <c r="Q289">
        <v>1</v>
      </c>
      <c r="W289">
        <v>0</v>
      </c>
      <c r="X289">
        <v>1696686191</v>
      </c>
      <c r="Y289">
        <v>147</v>
      </c>
      <c r="AA289">
        <v>17.77</v>
      </c>
      <c r="AB289">
        <v>0</v>
      </c>
      <c r="AC289">
        <v>0</v>
      </c>
      <c r="AD289">
        <v>0</v>
      </c>
      <c r="AE289">
        <v>17.77</v>
      </c>
      <c r="AF289">
        <v>0</v>
      </c>
      <c r="AG289">
        <v>0</v>
      </c>
      <c r="AH289">
        <v>0</v>
      </c>
      <c r="AI289">
        <v>1</v>
      </c>
      <c r="AJ289">
        <v>1</v>
      </c>
      <c r="AK289">
        <v>1</v>
      </c>
      <c r="AL289">
        <v>1</v>
      </c>
      <c r="AN289">
        <v>0</v>
      </c>
      <c r="AO289">
        <v>1</v>
      </c>
      <c r="AP289">
        <v>0</v>
      </c>
      <c r="AQ289">
        <v>0</v>
      </c>
      <c r="AR289">
        <v>0</v>
      </c>
      <c r="AS289" t="s">
        <v>3</v>
      </c>
      <c r="AT289">
        <v>147</v>
      </c>
      <c r="AU289" t="s">
        <v>3</v>
      </c>
      <c r="AV289">
        <v>0</v>
      </c>
      <c r="AW289">
        <v>2</v>
      </c>
      <c r="AX289">
        <v>52432055</v>
      </c>
      <c r="AY289">
        <v>1</v>
      </c>
      <c r="AZ289">
        <v>0</v>
      </c>
      <c r="BA289">
        <v>277</v>
      </c>
      <c r="BB289">
        <v>0</v>
      </c>
      <c r="BC289">
        <v>0</v>
      </c>
      <c r="BD289">
        <v>0</v>
      </c>
      <c r="BE289">
        <v>0</v>
      </c>
      <c r="BF289">
        <v>0</v>
      </c>
      <c r="BG289">
        <v>0</v>
      </c>
      <c r="BH289">
        <v>0</v>
      </c>
      <c r="BI289">
        <v>0</v>
      </c>
      <c r="BJ289">
        <v>0</v>
      </c>
      <c r="BK289">
        <v>0</v>
      </c>
      <c r="BL289">
        <v>0</v>
      </c>
      <c r="BM289">
        <v>0</v>
      </c>
      <c r="BN289">
        <v>0</v>
      </c>
      <c r="BO289">
        <v>0</v>
      </c>
      <c r="BP289">
        <v>0</v>
      </c>
      <c r="BQ289">
        <v>0</v>
      </c>
      <c r="BR289">
        <v>0</v>
      </c>
      <c r="BS289">
        <v>0</v>
      </c>
      <c r="BT289">
        <v>0</v>
      </c>
      <c r="BU289">
        <v>0</v>
      </c>
      <c r="BV289">
        <v>0</v>
      </c>
      <c r="BW289">
        <v>0</v>
      </c>
      <c r="CX289">
        <f>Y289*Source!I273</f>
        <v>148.76400000000001</v>
      </c>
      <c r="CY289">
        <f>AA289</f>
        <v>17.77</v>
      </c>
      <c r="CZ289">
        <f>AE289</f>
        <v>17.77</v>
      </c>
      <c r="DA289">
        <f>AI289</f>
        <v>1</v>
      </c>
      <c r="DB289">
        <f t="shared" si="20"/>
        <v>2612.19</v>
      </c>
      <c r="DC289">
        <f t="shared" si="21"/>
        <v>0</v>
      </c>
    </row>
    <row r="290" spans="1:107" x14ac:dyDescent="0.2">
      <c r="A290">
        <f>ROW(Source!A273)</f>
        <v>273</v>
      </c>
      <c r="B290">
        <v>52430918</v>
      </c>
      <c r="C290">
        <v>52432045</v>
      </c>
      <c r="D290">
        <v>51868237</v>
      </c>
      <c r="E290">
        <v>1</v>
      </c>
      <c r="F290">
        <v>1</v>
      </c>
      <c r="G290">
        <v>27</v>
      </c>
      <c r="H290">
        <v>3</v>
      </c>
      <c r="I290" t="s">
        <v>439</v>
      </c>
      <c r="J290" t="s">
        <v>440</v>
      </c>
      <c r="K290" t="s">
        <v>441</v>
      </c>
      <c r="L290">
        <v>1346</v>
      </c>
      <c r="N290">
        <v>1009</v>
      </c>
      <c r="O290" t="s">
        <v>438</v>
      </c>
      <c r="P290" t="s">
        <v>438</v>
      </c>
      <c r="Q290">
        <v>1</v>
      </c>
      <c r="W290">
        <v>0</v>
      </c>
      <c r="X290">
        <v>-319511878</v>
      </c>
      <c r="Y290">
        <v>42</v>
      </c>
      <c r="AA290">
        <v>202.34</v>
      </c>
      <c r="AB290">
        <v>0</v>
      </c>
      <c r="AC290">
        <v>0</v>
      </c>
      <c r="AD290">
        <v>0</v>
      </c>
      <c r="AE290">
        <v>202.34</v>
      </c>
      <c r="AF290">
        <v>0</v>
      </c>
      <c r="AG290">
        <v>0</v>
      </c>
      <c r="AH290">
        <v>0</v>
      </c>
      <c r="AI290">
        <v>1</v>
      </c>
      <c r="AJ290">
        <v>1</v>
      </c>
      <c r="AK290">
        <v>1</v>
      </c>
      <c r="AL290">
        <v>1</v>
      </c>
      <c r="AN290">
        <v>0</v>
      </c>
      <c r="AO290">
        <v>1</v>
      </c>
      <c r="AP290">
        <v>0</v>
      </c>
      <c r="AQ290">
        <v>0</v>
      </c>
      <c r="AR290">
        <v>0</v>
      </c>
      <c r="AS290" t="s">
        <v>3</v>
      </c>
      <c r="AT290">
        <v>42</v>
      </c>
      <c r="AU290" t="s">
        <v>3</v>
      </c>
      <c r="AV290">
        <v>0</v>
      </c>
      <c r="AW290">
        <v>2</v>
      </c>
      <c r="AX290">
        <v>52432056</v>
      </c>
      <c r="AY290">
        <v>1</v>
      </c>
      <c r="AZ290">
        <v>0</v>
      </c>
      <c r="BA290">
        <v>278</v>
      </c>
      <c r="BB290">
        <v>0</v>
      </c>
      <c r="BC290">
        <v>0</v>
      </c>
      <c r="BD290">
        <v>0</v>
      </c>
      <c r="BE290">
        <v>0</v>
      </c>
      <c r="BF290">
        <v>0</v>
      </c>
      <c r="BG290">
        <v>0</v>
      </c>
      <c r="BH290">
        <v>0</v>
      </c>
      <c r="BI290">
        <v>0</v>
      </c>
      <c r="BJ290">
        <v>0</v>
      </c>
      <c r="BK290">
        <v>0</v>
      </c>
      <c r="BL290">
        <v>0</v>
      </c>
      <c r="BM290">
        <v>0</v>
      </c>
      <c r="BN290">
        <v>0</v>
      </c>
      <c r="BO290">
        <v>0</v>
      </c>
      <c r="BP290">
        <v>0</v>
      </c>
      <c r="BQ290">
        <v>0</v>
      </c>
      <c r="BR290">
        <v>0</v>
      </c>
      <c r="BS290">
        <v>0</v>
      </c>
      <c r="BT290">
        <v>0</v>
      </c>
      <c r="BU290">
        <v>0</v>
      </c>
      <c r="BV290">
        <v>0</v>
      </c>
      <c r="BW290">
        <v>0</v>
      </c>
      <c r="CX290">
        <f>Y290*Source!I273</f>
        <v>42.503999999999998</v>
      </c>
      <c r="CY290">
        <f>AA290</f>
        <v>202.34</v>
      </c>
      <c r="CZ290">
        <f>AE290</f>
        <v>202.34</v>
      </c>
      <c r="DA290">
        <f>AI290</f>
        <v>1</v>
      </c>
      <c r="DB290">
        <f t="shared" si="20"/>
        <v>8498.2800000000007</v>
      </c>
      <c r="DC290">
        <f t="shared" si="21"/>
        <v>0</v>
      </c>
    </row>
    <row r="291" spans="1:107" x14ac:dyDescent="0.2">
      <c r="A291">
        <f>ROW(Source!A273)</f>
        <v>273</v>
      </c>
      <c r="B291">
        <v>52430918</v>
      </c>
      <c r="C291">
        <v>52432045</v>
      </c>
      <c r="D291">
        <v>51866204</v>
      </c>
      <c r="E291">
        <v>1</v>
      </c>
      <c r="F291">
        <v>1</v>
      </c>
      <c r="G291">
        <v>27</v>
      </c>
      <c r="H291">
        <v>3</v>
      </c>
      <c r="I291" t="s">
        <v>442</v>
      </c>
      <c r="J291" t="s">
        <v>443</v>
      </c>
      <c r="K291" t="s">
        <v>444</v>
      </c>
      <c r="L291">
        <v>1348</v>
      </c>
      <c r="N291">
        <v>1009</v>
      </c>
      <c r="O291" t="s">
        <v>101</v>
      </c>
      <c r="P291" t="s">
        <v>101</v>
      </c>
      <c r="Q291">
        <v>1000</v>
      </c>
      <c r="W291">
        <v>0</v>
      </c>
      <c r="X291">
        <v>-1600259051</v>
      </c>
      <c r="Y291">
        <v>1.0500000000000001E-2</v>
      </c>
      <c r="AA291">
        <v>748299.67</v>
      </c>
      <c r="AB291">
        <v>0</v>
      </c>
      <c r="AC291">
        <v>0</v>
      </c>
      <c r="AD291">
        <v>0</v>
      </c>
      <c r="AE291">
        <v>748299.67</v>
      </c>
      <c r="AF291">
        <v>0</v>
      </c>
      <c r="AG291">
        <v>0</v>
      </c>
      <c r="AH291">
        <v>0</v>
      </c>
      <c r="AI291">
        <v>1</v>
      </c>
      <c r="AJ291">
        <v>1</v>
      </c>
      <c r="AK291">
        <v>1</v>
      </c>
      <c r="AL291">
        <v>1</v>
      </c>
      <c r="AN291">
        <v>0</v>
      </c>
      <c r="AO291">
        <v>1</v>
      </c>
      <c r="AP291">
        <v>0</v>
      </c>
      <c r="AQ291">
        <v>0</v>
      </c>
      <c r="AR291">
        <v>0</v>
      </c>
      <c r="AS291" t="s">
        <v>3</v>
      </c>
      <c r="AT291">
        <v>1.0500000000000001E-2</v>
      </c>
      <c r="AU291" t="s">
        <v>3</v>
      </c>
      <c r="AV291">
        <v>0</v>
      </c>
      <c r="AW291">
        <v>2</v>
      </c>
      <c r="AX291">
        <v>52432057</v>
      </c>
      <c r="AY291">
        <v>1</v>
      </c>
      <c r="AZ291">
        <v>0</v>
      </c>
      <c r="BA291">
        <v>279</v>
      </c>
      <c r="BB291">
        <v>0</v>
      </c>
      <c r="BC291">
        <v>0</v>
      </c>
      <c r="BD291">
        <v>0</v>
      </c>
      <c r="BE291">
        <v>0</v>
      </c>
      <c r="BF291">
        <v>0</v>
      </c>
      <c r="BG291">
        <v>0</v>
      </c>
      <c r="BH291">
        <v>0</v>
      </c>
      <c r="BI291">
        <v>0</v>
      </c>
      <c r="BJ291">
        <v>0</v>
      </c>
      <c r="BK291">
        <v>0</v>
      </c>
      <c r="BL291">
        <v>0</v>
      </c>
      <c r="BM291">
        <v>0</v>
      </c>
      <c r="BN291">
        <v>0</v>
      </c>
      <c r="BO291">
        <v>0</v>
      </c>
      <c r="BP291">
        <v>0</v>
      </c>
      <c r="BQ291">
        <v>0</v>
      </c>
      <c r="BR291">
        <v>0</v>
      </c>
      <c r="BS291">
        <v>0</v>
      </c>
      <c r="BT291">
        <v>0</v>
      </c>
      <c r="BU291">
        <v>0</v>
      </c>
      <c r="BV291">
        <v>0</v>
      </c>
      <c r="BW291">
        <v>0</v>
      </c>
      <c r="CX291">
        <f>Y291*Source!I273</f>
        <v>1.0626E-2</v>
      </c>
      <c r="CY291">
        <f>AA291</f>
        <v>748299.67</v>
      </c>
      <c r="CZ291">
        <f>AE291</f>
        <v>748299.67</v>
      </c>
      <c r="DA291">
        <f>AI291</f>
        <v>1</v>
      </c>
      <c r="DB291">
        <f t="shared" si="20"/>
        <v>7857.15</v>
      </c>
      <c r="DC291">
        <f t="shared" si="21"/>
        <v>0</v>
      </c>
    </row>
    <row r="292" spans="1:107" x14ac:dyDescent="0.2">
      <c r="A292">
        <f>ROW(Source!A274)</f>
        <v>274</v>
      </c>
      <c r="B292">
        <v>52430918</v>
      </c>
      <c r="C292">
        <v>52432058</v>
      </c>
      <c r="D292">
        <v>51848379</v>
      </c>
      <c r="E292">
        <v>27</v>
      </c>
      <c r="F292">
        <v>1</v>
      </c>
      <c r="G292">
        <v>27</v>
      </c>
      <c r="H292">
        <v>1</v>
      </c>
      <c r="I292" t="s">
        <v>378</v>
      </c>
      <c r="J292" t="s">
        <v>3</v>
      </c>
      <c r="K292" t="s">
        <v>379</v>
      </c>
      <c r="L292">
        <v>1191</v>
      </c>
      <c r="N292">
        <v>1013</v>
      </c>
      <c r="O292" t="s">
        <v>380</v>
      </c>
      <c r="P292" t="s">
        <v>380</v>
      </c>
      <c r="Q292">
        <v>1</v>
      </c>
      <c r="W292">
        <v>0</v>
      </c>
      <c r="X292">
        <v>476480486</v>
      </c>
      <c r="Y292">
        <v>221.6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1</v>
      </c>
      <c r="AJ292">
        <v>1</v>
      </c>
      <c r="AK292">
        <v>1</v>
      </c>
      <c r="AL292">
        <v>1</v>
      </c>
      <c r="AN292">
        <v>0</v>
      </c>
      <c r="AO292">
        <v>1</v>
      </c>
      <c r="AP292">
        <v>0</v>
      </c>
      <c r="AQ292">
        <v>0</v>
      </c>
      <c r="AR292">
        <v>0</v>
      </c>
      <c r="AS292" t="s">
        <v>3</v>
      </c>
      <c r="AT292">
        <v>221.6</v>
      </c>
      <c r="AU292" t="s">
        <v>3</v>
      </c>
      <c r="AV292">
        <v>1</v>
      </c>
      <c r="AW292">
        <v>2</v>
      </c>
      <c r="AX292">
        <v>52432060</v>
      </c>
      <c r="AY292">
        <v>1</v>
      </c>
      <c r="AZ292">
        <v>0</v>
      </c>
      <c r="BA292">
        <v>280</v>
      </c>
      <c r="BB292">
        <v>0</v>
      </c>
      <c r="BC292">
        <v>0</v>
      </c>
      <c r="BD292">
        <v>0</v>
      </c>
      <c r="BE292">
        <v>0</v>
      </c>
      <c r="BF292">
        <v>0</v>
      </c>
      <c r="BG292">
        <v>0</v>
      </c>
      <c r="BH292">
        <v>0</v>
      </c>
      <c r="BI292">
        <v>0</v>
      </c>
      <c r="BJ292">
        <v>0</v>
      </c>
      <c r="BK292">
        <v>0</v>
      </c>
      <c r="BL292">
        <v>0</v>
      </c>
      <c r="BM292">
        <v>0</v>
      </c>
      <c r="BN292">
        <v>0</v>
      </c>
      <c r="BO292">
        <v>0</v>
      </c>
      <c r="BP292">
        <v>0</v>
      </c>
      <c r="BQ292">
        <v>0</v>
      </c>
      <c r="BR292">
        <v>0</v>
      </c>
      <c r="BS292">
        <v>0</v>
      </c>
      <c r="BT292">
        <v>0</v>
      </c>
      <c r="BU292">
        <v>0</v>
      </c>
      <c r="BV292">
        <v>0</v>
      </c>
      <c r="BW292">
        <v>0</v>
      </c>
      <c r="CX292">
        <f>Y292*Source!I274</f>
        <v>0</v>
      </c>
      <c r="CY292">
        <f>AD292</f>
        <v>0</v>
      </c>
      <c r="CZ292">
        <f>AH292</f>
        <v>0</v>
      </c>
      <c r="DA292">
        <f>AL292</f>
        <v>1</v>
      </c>
      <c r="DB292">
        <f t="shared" si="20"/>
        <v>0</v>
      </c>
      <c r="DC292">
        <f t="shared" si="21"/>
        <v>0</v>
      </c>
    </row>
    <row r="293" spans="1:107" x14ac:dyDescent="0.2">
      <c r="A293">
        <f>ROW(Source!A275)</f>
        <v>275</v>
      </c>
      <c r="B293">
        <v>52430918</v>
      </c>
      <c r="C293">
        <v>52432061</v>
      </c>
      <c r="D293">
        <v>51848379</v>
      </c>
      <c r="E293">
        <v>27</v>
      </c>
      <c r="F293">
        <v>1</v>
      </c>
      <c r="G293">
        <v>27</v>
      </c>
      <c r="H293">
        <v>1</v>
      </c>
      <c r="I293" t="s">
        <v>378</v>
      </c>
      <c r="J293" t="s">
        <v>3</v>
      </c>
      <c r="K293" t="s">
        <v>379</v>
      </c>
      <c r="L293">
        <v>1191</v>
      </c>
      <c r="N293">
        <v>1013</v>
      </c>
      <c r="O293" t="s">
        <v>380</v>
      </c>
      <c r="P293" t="s">
        <v>380</v>
      </c>
      <c r="Q293">
        <v>1</v>
      </c>
      <c r="W293">
        <v>0</v>
      </c>
      <c r="X293">
        <v>476480486</v>
      </c>
      <c r="Y293">
        <v>16.559999999999999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1</v>
      </c>
      <c r="AJ293">
        <v>1</v>
      </c>
      <c r="AK293">
        <v>1</v>
      </c>
      <c r="AL293">
        <v>1</v>
      </c>
      <c r="AN293">
        <v>0</v>
      </c>
      <c r="AO293">
        <v>1</v>
      </c>
      <c r="AP293">
        <v>0</v>
      </c>
      <c r="AQ293">
        <v>0</v>
      </c>
      <c r="AR293">
        <v>0</v>
      </c>
      <c r="AS293" t="s">
        <v>3</v>
      </c>
      <c r="AT293">
        <v>16.559999999999999</v>
      </c>
      <c r="AU293" t="s">
        <v>3</v>
      </c>
      <c r="AV293">
        <v>1</v>
      </c>
      <c r="AW293">
        <v>2</v>
      </c>
      <c r="AX293">
        <v>52432070</v>
      </c>
      <c r="AY293">
        <v>1</v>
      </c>
      <c r="AZ293">
        <v>0</v>
      </c>
      <c r="BA293">
        <v>281</v>
      </c>
      <c r="BB293">
        <v>0</v>
      </c>
      <c r="BC293">
        <v>0</v>
      </c>
      <c r="BD293">
        <v>0</v>
      </c>
      <c r="BE293">
        <v>0</v>
      </c>
      <c r="BF293">
        <v>0</v>
      </c>
      <c r="BG293">
        <v>0</v>
      </c>
      <c r="BH293">
        <v>0</v>
      </c>
      <c r="BI293">
        <v>0</v>
      </c>
      <c r="BJ293">
        <v>0</v>
      </c>
      <c r="BK293">
        <v>0</v>
      </c>
      <c r="BL293">
        <v>0</v>
      </c>
      <c r="BM293">
        <v>0</v>
      </c>
      <c r="BN293">
        <v>0</v>
      </c>
      <c r="BO293">
        <v>0</v>
      </c>
      <c r="BP293">
        <v>0</v>
      </c>
      <c r="BQ293">
        <v>0</v>
      </c>
      <c r="BR293">
        <v>0</v>
      </c>
      <c r="BS293">
        <v>0</v>
      </c>
      <c r="BT293">
        <v>0</v>
      </c>
      <c r="BU293">
        <v>0</v>
      </c>
      <c r="BV293">
        <v>0</v>
      </c>
      <c r="BW293">
        <v>0</v>
      </c>
      <c r="CX293">
        <f>Y293*Source!I275</f>
        <v>0</v>
      </c>
      <c r="CY293">
        <f>AD293</f>
        <v>0</v>
      </c>
      <c r="CZ293">
        <f>AH293</f>
        <v>0</v>
      </c>
      <c r="DA293">
        <f>AL293</f>
        <v>1</v>
      </c>
      <c r="DB293">
        <f t="shared" si="20"/>
        <v>0</v>
      </c>
      <c r="DC293">
        <f t="shared" si="21"/>
        <v>0</v>
      </c>
    </row>
    <row r="294" spans="1:107" x14ac:dyDescent="0.2">
      <c r="A294">
        <f>ROW(Source!A275)</f>
        <v>275</v>
      </c>
      <c r="B294">
        <v>52430918</v>
      </c>
      <c r="C294">
        <v>52432061</v>
      </c>
      <c r="D294">
        <v>51864848</v>
      </c>
      <c r="E294">
        <v>1</v>
      </c>
      <c r="F294">
        <v>1</v>
      </c>
      <c r="G294">
        <v>27</v>
      </c>
      <c r="H294">
        <v>2</v>
      </c>
      <c r="I294" t="s">
        <v>387</v>
      </c>
      <c r="J294" t="s">
        <v>388</v>
      </c>
      <c r="K294" t="s">
        <v>389</v>
      </c>
      <c r="L294">
        <v>1368</v>
      </c>
      <c r="N294">
        <v>1011</v>
      </c>
      <c r="O294" t="s">
        <v>84</v>
      </c>
      <c r="P294" t="s">
        <v>84</v>
      </c>
      <c r="Q294">
        <v>1</v>
      </c>
      <c r="W294">
        <v>0</v>
      </c>
      <c r="X294">
        <v>2108619810</v>
      </c>
      <c r="Y294">
        <v>2.08</v>
      </c>
      <c r="AA294">
        <v>0</v>
      </c>
      <c r="AB294">
        <v>740.94</v>
      </c>
      <c r="AC294">
        <v>413.22</v>
      </c>
      <c r="AD294">
        <v>0</v>
      </c>
      <c r="AE294">
        <v>0</v>
      </c>
      <c r="AF294">
        <v>740.94</v>
      </c>
      <c r="AG294">
        <v>413.22</v>
      </c>
      <c r="AH294">
        <v>0</v>
      </c>
      <c r="AI294">
        <v>1</v>
      </c>
      <c r="AJ294">
        <v>1</v>
      </c>
      <c r="AK294">
        <v>1</v>
      </c>
      <c r="AL294">
        <v>1</v>
      </c>
      <c r="AN294">
        <v>0</v>
      </c>
      <c r="AO294">
        <v>1</v>
      </c>
      <c r="AP294">
        <v>0</v>
      </c>
      <c r="AQ294">
        <v>0</v>
      </c>
      <c r="AR294">
        <v>0</v>
      </c>
      <c r="AS294" t="s">
        <v>3</v>
      </c>
      <c r="AT294">
        <v>2.08</v>
      </c>
      <c r="AU294" t="s">
        <v>3</v>
      </c>
      <c r="AV294">
        <v>0</v>
      </c>
      <c r="AW294">
        <v>2</v>
      </c>
      <c r="AX294">
        <v>52432071</v>
      </c>
      <c r="AY294">
        <v>1</v>
      </c>
      <c r="AZ294">
        <v>0</v>
      </c>
      <c r="BA294">
        <v>282</v>
      </c>
      <c r="BB294">
        <v>0</v>
      </c>
      <c r="BC294">
        <v>0</v>
      </c>
      <c r="BD294">
        <v>0</v>
      </c>
      <c r="BE294">
        <v>0</v>
      </c>
      <c r="BF294">
        <v>0</v>
      </c>
      <c r="BG294">
        <v>0</v>
      </c>
      <c r="BH294">
        <v>0</v>
      </c>
      <c r="BI294">
        <v>0</v>
      </c>
      <c r="BJ294">
        <v>0</v>
      </c>
      <c r="BK294">
        <v>0</v>
      </c>
      <c r="BL294">
        <v>0</v>
      </c>
      <c r="BM294">
        <v>0</v>
      </c>
      <c r="BN294">
        <v>0</v>
      </c>
      <c r="BO294">
        <v>0</v>
      </c>
      <c r="BP294">
        <v>0</v>
      </c>
      <c r="BQ294">
        <v>0</v>
      </c>
      <c r="BR294">
        <v>0</v>
      </c>
      <c r="BS294">
        <v>0</v>
      </c>
      <c r="BT294">
        <v>0</v>
      </c>
      <c r="BU294">
        <v>0</v>
      </c>
      <c r="BV294">
        <v>0</v>
      </c>
      <c r="BW294">
        <v>0</v>
      </c>
      <c r="CX294">
        <f>Y294*Source!I275</f>
        <v>0</v>
      </c>
      <c r="CY294">
        <f>AB294</f>
        <v>740.94</v>
      </c>
      <c r="CZ294">
        <f>AF294</f>
        <v>740.94</v>
      </c>
      <c r="DA294">
        <f>AJ294</f>
        <v>1</v>
      </c>
      <c r="DB294">
        <f t="shared" si="20"/>
        <v>1541.16</v>
      </c>
      <c r="DC294">
        <f t="shared" si="21"/>
        <v>859.5</v>
      </c>
    </row>
    <row r="295" spans="1:107" x14ac:dyDescent="0.2">
      <c r="A295">
        <f>ROW(Source!A275)</f>
        <v>275</v>
      </c>
      <c r="B295">
        <v>52430918</v>
      </c>
      <c r="C295">
        <v>52432061</v>
      </c>
      <c r="D295">
        <v>51865003</v>
      </c>
      <c r="E295">
        <v>1</v>
      </c>
      <c r="F295">
        <v>1</v>
      </c>
      <c r="G295">
        <v>27</v>
      </c>
      <c r="H295">
        <v>2</v>
      </c>
      <c r="I295" t="s">
        <v>390</v>
      </c>
      <c r="J295" t="s">
        <v>391</v>
      </c>
      <c r="K295" t="s">
        <v>392</v>
      </c>
      <c r="L295">
        <v>1368</v>
      </c>
      <c r="N295">
        <v>1011</v>
      </c>
      <c r="O295" t="s">
        <v>84</v>
      </c>
      <c r="P295" t="s">
        <v>84</v>
      </c>
      <c r="Q295">
        <v>1</v>
      </c>
      <c r="W295">
        <v>0</v>
      </c>
      <c r="X295">
        <v>-1512295274</v>
      </c>
      <c r="Y295">
        <v>2.08</v>
      </c>
      <c r="AA295">
        <v>0</v>
      </c>
      <c r="AB295">
        <v>430.32</v>
      </c>
      <c r="AC295">
        <v>215.31</v>
      </c>
      <c r="AD295">
        <v>0</v>
      </c>
      <c r="AE295">
        <v>0</v>
      </c>
      <c r="AF295">
        <v>430.32</v>
      </c>
      <c r="AG295">
        <v>215.31</v>
      </c>
      <c r="AH295">
        <v>0</v>
      </c>
      <c r="AI295">
        <v>1</v>
      </c>
      <c r="AJ295">
        <v>1</v>
      </c>
      <c r="AK295">
        <v>1</v>
      </c>
      <c r="AL295">
        <v>1</v>
      </c>
      <c r="AN295">
        <v>0</v>
      </c>
      <c r="AO295">
        <v>1</v>
      </c>
      <c r="AP295">
        <v>0</v>
      </c>
      <c r="AQ295">
        <v>0</v>
      </c>
      <c r="AR295">
        <v>0</v>
      </c>
      <c r="AS295" t="s">
        <v>3</v>
      </c>
      <c r="AT295">
        <v>2.08</v>
      </c>
      <c r="AU295" t="s">
        <v>3</v>
      </c>
      <c r="AV295">
        <v>0</v>
      </c>
      <c r="AW295">
        <v>2</v>
      </c>
      <c r="AX295">
        <v>52432072</v>
      </c>
      <c r="AY295">
        <v>1</v>
      </c>
      <c r="AZ295">
        <v>0</v>
      </c>
      <c r="BA295">
        <v>283</v>
      </c>
      <c r="BB295">
        <v>0</v>
      </c>
      <c r="BC295">
        <v>0</v>
      </c>
      <c r="BD295">
        <v>0</v>
      </c>
      <c r="BE295">
        <v>0</v>
      </c>
      <c r="BF295">
        <v>0</v>
      </c>
      <c r="BG295">
        <v>0</v>
      </c>
      <c r="BH295">
        <v>0</v>
      </c>
      <c r="BI295">
        <v>0</v>
      </c>
      <c r="BJ295">
        <v>0</v>
      </c>
      <c r="BK295">
        <v>0</v>
      </c>
      <c r="BL295">
        <v>0</v>
      </c>
      <c r="BM295">
        <v>0</v>
      </c>
      <c r="BN295">
        <v>0</v>
      </c>
      <c r="BO295">
        <v>0</v>
      </c>
      <c r="BP295">
        <v>0</v>
      </c>
      <c r="BQ295">
        <v>0</v>
      </c>
      <c r="BR295">
        <v>0</v>
      </c>
      <c r="BS295">
        <v>0</v>
      </c>
      <c r="BT295">
        <v>0</v>
      </c>
      <c r="BU295">
        <v>0</v>
      </c>
      <c r="BV295">
        <v>0</v>
      </c>
      <c r="BW295">
        <v>0</v>
      </c>
      <c r="CX295">
        <f>Y295*Source!I275</f>
        <v>0</v>
      </c>
      <c r="CY295">
        <f>AB295</f>
        <v>430.32</v>
      </c>
      <c r="CZ295">
        <f>AF295</f>
        <v>430.32</v>
      </c>
      <c r="DA295">
        <f>AJ295</f>
        <v>1</v>
      </c>
      <c r="DB295">
        <f t="shared" si="20"/>
        <v>895.07</v>
      </c>
      <c r="DC295">
        <f t="shared" si="21"/>
        <v>447.84</v>
      </c>
    </row>
    <row r="296" spans="1:107" x14ac:dyDescent="0.2">
      <c r="A296">
        <f>ROW(Source!A275)</f>
        <v>275</v>
      </c>
      <c r="B296">
        <v>52430918</v>
      </c>
      <c r="C296">
        <v>52432061</v>
      </c>
      <c r="D296">
        <v>51865006</v>
      </c>
      <c r="E296">
        <v>1</v>
      </c>
      <c r="F296">
        <v>1</v>
      </c>
      <c r="G296">
        <v>27</v>
      </c>
      <c r="H296">
        <v>2</v>
      </c>
      <c r="I296" t="s">
        <v>393</v>
      </c>
      <c r="J296" t="s">
        <v>394</v>
      </c>
      <c r="K296" t="s">
        <v>395</v>
      </c>
      <c r="L296">
        <v>1368</v>
      </c>
      <c r="N296">
        <v>1011</v>
      </c>
      <c r="O296" t="s">
        <v>84</v>
      </c>
      <c r="P296" t="s">
        <v>84</v>
      </c>
      <c r="Q296">
        <v>1</v>
      </c>
      <c r="W296">
        <v>0</v>
      </c>
      <c r="X296">
        <v>2042885981</v>
      </c>
      <c r="Y296">
        <v>0.81</v>
      </c>
      <c r="AA296">
        <v>0</v>
      </c>
      <c r="AB296">
        <v>2020.59</v>
      </c>
      <c r="AC296">
        <v>458.56</v>
      </c>
      <c r="AD296">
        <v>0</v>
      </c>
      <c r="AE296">
        <v>0</v>
      </c>
      <c r="AF296">
        <v>2020.59</v>
      </c>
      <c r="AG296">
        <v>458.56</v>
      </c>
      <c r="AH296">
        <v>0</v>
      </c>
      <c r="AI296">
        <v>1</v>
      </c>
      <c r="AJ296">
        <v>1</v>
      </c>
      <c r="AK296">
        <v>1</v>
      </c>
      <c r="AL296">
        <v>1</v>
      </c>
      <c r="AN296">
        <v>0</v>
      </c>
      <c r="AO296">
        <v>1</v>
      </c>
      <c r="AP296">
        <v>0</v>
      </c>
      <c r="AQ296">
        <v>0</v>
      </c>
      <c r="AR296">
        <v>0</v>
      </c>
      <c r="AS296" t="s">
        <v>3</v>
      </c>
      <c r="AT296">
        <v>0.81</v>
      </c>
      <c r="AU296" t="s">
        <v>3</v>
      </c>
      <c r="AV296">
        <v>0</v>
      </c>
      <c r="AW296">
        <v>2</v>
      </c>
      <c r="AX296">
        <v>52432073</v>
      </c>
      <c r="AY296">
        <v>1</v>
      </c>
      <c r="AZ296">
        <v>0</v>
      </c>
      <c r="BA296">
        <v>284</v>
      </c>
      <c r="BB296">
        <v>0</v>
      </c>
      <c r="BC296">
        <v>0</v>
      </c>
      <c r="BD296">
        <v>0</v>
      </c>
      <c r="BE296">
        <v>0</v>
      </c>
      <c r="BF296">
        <v>0</v>
      </c>
      <c r="BG296">
        <v>0</v>
      </c>
      <c r="BH296">
        <v>0</v>
      </c>
      <c r="BI296">
        <v>0</v>
      </c>
      <c r="BJ296">
        <v>0</v>
      </c>
      <c r="BK296">
        <v>0</v>
      </c>
      <c r="BL296">
        <v>0</v>
      </c>
      <c r="BM296">
        <v>0</v>
      </c>
      <c r="BN296">
        <v>0</v>
      </c>
      <c r="BO296">
        <v>0</v>
      </c>
      <c r="BP296">
        <v>0</v>
      </c>
      <c r="BQ296">
        <v>0</v>
      </c>
      <c r="BR296">
        <v>0</v>
      </c>
      <c r="BS296">
        <v>0</v>
      </c>
      <c r="BT296">
        <v>0</v>
      </c>
      <c r="BU296">
        <v>0</v>
      </c>
      <c r="BV296">
        <v>0</v>
      </c>
      <c r="BW296">
        <v>0</v>
      </c>
      <c r="CX296">
        <f>Y296*Source!I275</f>
        <v>0</v>
      </c>
      <c r="CY296">
        <f>AB296</f>
        <v>2020.59</v>
      </c>
      <c r="CZ296">
        <f>AF296</f>
        <v>2020.59</v>
      </c>
      <c r="DA296">
        <f>AJ296</f>
        <v>1</v>
      </c>
      <c r="DB296">
        <f t="shared" si="20"/>
        <v>1636.68</v>
      </c>
      <c r="DC296">
        <f t="shared" si="21"/>
        <v>371.43</v>
      </c>
    </row>
    <row r="297" spans="1:107" x14ac:dyDescent="0.2">
      <c r="A297">
        <f>ROW(Source!A275)</f>
        <v>275</v>
      </c>
      <c r="B297">
        <v>52430918</v>
      </c>
      <c r="C297">
        <v>52432061</v>
      </c>
      <c r="D297">
        <v>51865030</v>
      </c>
      <c r="E297">
        <v>1</v>
      </c>
      <c r="F297">
        <v>1</v>
      </c>
      <c r="G297">
        <v>27</v>
      </c>
      <c r="H297">
        <v>2</v>
      </c>
      <c r="I297" t="s">
        <v>396</v>
      </c>
      <c r="J297" t="s">
        <v>397</v>
      </c>
      <c r="K297" t="s">
        <v>398</v>
      </c>
      <c r="L297">
        <v>1368</v>
      </c>
      <c r="N297">
        <v>1011</v>
      </c>
      <c r="O297" t="s">
        <v>84</v>
      </c>
      <c r="P297" t="s">
        <v>84</v>
      </c>
      <c r="Q297">
        <v>1</v>
      </c>
      <c r="W297">
        <v>0</v>
      </c>
      <c r="X297">
        <v>1116182101</v>
      </c>
      <c r="Y297">
        <v>1.94</v>
      </c>
      <c r="AA297">
        <v>0</v>
      </c>
      <c r="AB297">
        <v>1412.71</v>
      </c>
      <c r="AC297">
        <v>641.32000000000005</v>
      </c>
      <c r="AD297">
        <v>0</v>
      </c>
      <c r="AE297">
        <v>0</v>
      </c>
      <c r="AF297">
        <v>1412.71</v>
      </c>
      <c r="AG297">
        <v>641.32000000000005</v>
      </c>
      <c r="AH297">
        <v>0</v>
      </c>
      <c r="AI297">
        <v>1</v>
      </c>
      <c r="AJ297">
        <v>1</v>
      </c>
      <c r="AK297">
        <v>1</v>
      </c>
      <c r="AL297">
        <v>1</v>
      </c>
      <c r="AN297">
        <v>0</v>
      </c>
      <c r="AO297">
        <v>1</v>
      </c>
      <c r="AP297">
        <v>0</v>
      </c>
      <c r="AQ297">
        <v>0</v>
      </c>
      <c r="AR297">
        <v>0</v>
      </c>
      <c r="AS297" t="s">
        <v>3</v>
      </c>
      <c r="AT297">
        <v>1.94</v>
      </c>
      <c r="AU297" t="s">
        <v>3</v>
      </c>
      <c r="AV297">
        <v>0</v>
      </c>
      <c r="AW297">
        <v>2</v>
      </c>
      <c r="AX297">
        <v>52432074</v>
      </c>
      <c r="AY297">
        <v>1</v>
      </c>
      <c r="AZ297">
        <v>0</v>
      </c>
      <c r="BA297">
        <v>285</v>
      </c>
      <c r="BB297">
        <v>0</v>
      </c>
      <c r="BC297">
        <v>0</v>
      </c>
      <c r="BD297">
        <v>0</v>
      </c>
      <c r="BE297">
        <v>0</v>
      </c>
      <c r="BF297">
        <v>0</v>
      </c>
      <c r="BG297">
        <v>0</v>
      </c>
      <c r="BH297">
        <v>0</v>
      </c>
      <c r="BI297">
        <v>0</v>
      </c>
      <c r="BJ297">
        <v>0</v>
      </c>
      <c r="BK297">
        <v>0</v>
      </c>
      <c r="BL297">
        <v>0</v>
      </c>
      <c r="BM297">
        <v>0</v>
      </c>
      <c r="BN297">
        <v>0</v>
      </c>
      <c r="BO297">
        <v>0</v>
      </c>
      <c r="BP297">
        <v>0</v>
      </c>
      <c r="BQ297">
        <v>0</v>
      </c>
      <c r="BR297">
        <v>0</v>
      </c>
      <c r="BS297">
        <v>0</v>
      </c>
      <c r="BT297">
        <v>0</v>
      </c>
      <c r="BU297">
        <v>0</v>
      </c>
      <c r="BV297">
        <v>0</v>
      </c>
      <c r="BW297">
        <v>0</v>
      </c>
      <c r="CX297">
        <f>Y297*Source!I275</f>
        <v>0</v>
      </c>
      <c r="CY297">
        <f>AB297</f>
        <v>1412.71</v>
      </c>
      <c r="CZ297">
        <f>AF297</f>
        <v>1412.71</v>
      </c>
      <c r="DA297">
        <f>AJ297</f>
        <v>1</v>
      </c>
      <c r="DB297">
        <f t="shared" si="20"/>
        <v>2740.66</v>
      </c>
      <c r="DC297">
        <f t="shared" si="21"/>
        <v>1244.1600000000001</v>
      </c>
    </row>
    <row r="298" spans="1:107" x14ac:dyDescent="0.2">
      <c r="A298">
        <f>ROW(Source!A275)</f>
        <v>275</v>
      </c>
      <c r="B298">
        <v>52430918</v>
      </c>
      <c r="C298">
        <v>52432061</v>
      </c>
      <c r="D298">
        <v>51864996</v>
      </c>
      <c r="E298">
        <v>1</v>
      </c>
      <c r="F298">
        <v>1</v>
      </c>
      <c r="G298">
        <v>27</v>
      </c>
      <c r="H298">
        <v>2</v>
      </c>
      <c r="I298" t="s">
        <v>399</v>
      </c>
      <c r="J298" t="s">
        <v>400</v>
      </c>
      <c r="K298" t="s">
        <v>401</v>
      </c>
      <c r="L298">
        <v>1368</v>
      </c>
      <c r="N298">
        <v>1011</v>
      </c>
      <c r="O298" t="s">
        <v>84</v>
      </c>
      <c r="P298" t="s">
        <v>84</v>
      </c>
      <c r="Q298">
        <v>1</v>
      </c>
      <c r="W298">
        <v>0</v>
      </c>
      <c r="X298">
        <v>2142121434</v>
      </c>
      <c r="Y298">
        <v>0.65</v>
      </c>
      <c r="AA298">
        <v>0</v>
      </c>
      <c r="AB298">
        <v>1213.3399999999999</v>
      </c>
      <c r="AC298">
        <v>461.6</v>
      </c>
      <c r="AD298">
        <v>0</v>
      </c>
      <c r="AE298">
        <v>0</v>
      </c>
      <c r="AF298">
        <v>1213.3399999999999</v>
      </c>
      <c r="AG298">
        <v>461.6</v>
      </c>
      <c r="AH298">
        <v>0</v>
      </c>
      <c r="AI298">
        <v>1</v>
      </c>
      <c r="AJ298">
        <v>1</v>
      </c>
      <c r="AK298">
        <v>1</v>
      </c>
      <c r="AL298">
        <v>1</v>
      </c>
      <c r="AN298">
        <v>0</v>
      </c>
      <c r="AO298">
        <v>1</v>
      </c>
      <c r="AP298">
        <v>0</v>
      </c>
      <c r="AQ298">
        <v>0</v>
      </c>
      <c r="AR298">
        <v>0</v>
      </c>
      <c r="AS298" t="s">
        <v>3</v>
      </c>
      <c r="AT298">
        <v>0.65</v>
      </c>
      <c r="AU298" t="s">
        <v>3</v>
      </c>
      <c r="AV298">
        <v>0</v>
      </c>
      <c r="AW298">
        <v>2</v>
      </c>
      <c r="AX298">
        <v>52432075</v>
      </c>
      <c r="AY298">
        <v>1</v>
      </c>
      <c r="AZ298">
        <v>0</v>
      </c>
      <c r="BA298">
        <v>286</v>
      </c>
      <c r="BB298">
        <v>0</v>
      </c>
      <c r="BC298">
        <v>0</v>
      </c>
      <c r="BD298">
        <v>0</v>
      </c>
      <c r="BE298">
        <v>0</v>
      </c>
      <c r="BF298">
        <v>0</v>
      </c>
      <c r="BG298">
        <v>0</v>
      </c>
      <c r="BH298">
        <v>0</v>
      </c>
      <c r="BI298">
        <v>0</v>
      </c>
      <c r="BJ298">
        <v>0</v>
      </c>
      <c r="BK298">
        <v>0</v>
      </c>
      <c r="BL298">
        <v>0</v>
      </c>
      <c r="BM298">
        <v>0</v>
      </c>
      <c r="BN298">
        <v>0</v>
      </c>
      <c r="BO298">
        <v>0</v>
      </c>
      <c r="BP298">
        <v>0</v>
      </c>
      <c r="BQ298">
        <v>0</v>
      </c>
      <c r="BR298">
        <v>0</v>
      </c>
      <c r="BS298">
        <v>0</v>
      </c>
      <c r="BT298">
        <v>0</v>
      </c>
      <c r="BU298">
        <v>0</v>
      </c>
      <c r="BV298">
        <v>0</v>
      </c>
      <c r="BW298">
        <v>0</v>
      </c>
      <c r="CX298">
        <f>Y298*Source!I275</f>
        <v>0</v>
      </c>
      <c r="CY298">
        <f>AB298</f>
        <v>1213.3399999999999</v>
      </c>
      <c r="CZ298">
        <f>AF298</f>
        <v>1213.3399999999999</v>
      </c>
      <c r="DA298">
        <f>AJ298</f>
        <v>1</v>
      </c>
      <c r="DB298">
        <f t="shared" si="20"/>
        <v>788.67</v>
      </c>
      <c r="DC298">
        <f t="shared" si="21"/>
        <v>300.04000000000002</v>
      </c>
    </row>
    <row r="299" spans="1:107" x14ac:dyDescent="0.2">
      <c r="A299">
        <f>ROW(Source!A275)</f>
        <v>275</v>
      </c>
      <c r="B299">
        <v>52430918</v>
      </c>
      <c r="C299">
        <v>52432061</v>
      </c>
      <c r="D299">
        <v>51866959</v>
      </c>
      <c r="E299">
        <v>1</v>
      </c>
      <c r="F299">
        <v>1</v>
      </c>
      <c r="G299">
        <v>27</v>
      </c>
      <c r="H299">
        <v>3</v>
      </c>
      <c r="I299" t="s">
        <v>402</v>
      </c>
      <c r="J299" t="s">
        <v>403</v>
      </c>
      <c r="K299" t="s">
        <v>404</v>
      </c>
      <c r="L299">
        <v>1339</v>
      </c>
      <c r="N299">
        <v>1007</v>
      </c>
      <c r="O299" t="s">
        <v>28</v>
      </c>
      <c r="P299" t="s">
        <v>28</v>
      </c>
      <c r="Q299">
        <v>1</v>
      </c>
      <c r="W299">
        <v>0</v>
      </c>
      <c r="X299">
        <v>1152750853</v>
      </c>
      <c r="Y299">
        <v>110</v>
      </c>
      <c r="AA299">
        <v>590.78</v>
      </c>
      <c r="AB299">
        <v>0</v>
      </c>
      <c r="AC299">
        <v>0</v>
      </c>
      <c r="AD299">
        <v>0</v>
      </c>
      <c r="AE299">
        <v>590.78</v>
      </c>
      <c r="AF299">
        <v>0</v>
      </c>
      <c r="AG299">
        <v>0</v>
      </c>
      <c r="AH299">
        <v>0</v>
      </c>
      <c r="AI299">
        <v>1</v>
      </c>
      <c r="AJ299">
        <v>1</v>
      </c>
      <c r="AK299">
        <v>1</v>
      </c>
      <c r="AL299">
        <v>1</v>
      </c>
      <c r="AN299">
        <v>0</v>
      </c>
      <c r="AO299">
        <v>1</v>
      </c>
      <c r="AP299">
        <v>0</v>
      </c>
      <c r="AQ299">
        <v>0</v>
      </c>
      <c r="AR299">
        <v>0</v>
      </c>
      <c r="AS299" t="s">
        <v>3</v>
      </c>
      <c r="AT299">
        <v>110</v>
      </c>
      <c r="AU299" t="s">
        <v>3</v>
      </c>
      <c r="AV299">
        <v>0</v>
      </c>
      <c r="AW299">
        <v>2</v>
      </c>
      <c r="AX299">
        <v>52432076</v>
      </c>
      <c r="AY299">
        <v>1</v>
      </c>
      <c r="AZ299">
        <v>0</v>
      </c>
      <c r="BA299">
        <v>287</v>
      </c>
      <c r="BB299">
        <v>0</v>
      </c>
      <c r="BC299">
        <v>0</v>
      </c>
      <c r="BD299">
        <v>0</v>
      </c>
      <c r="BE299">
        <v>0</v>
      </c>
      <c r="BF299">
        <v>0</v>
      </c>
      <c r="BG299">
        <v>0</v>
      </c>
      <c r="BH299">
        <v>0</v>
      </c>
      <c r="BI299">
        <v>0</v>
      </c>
      <c r="BJ299">
        <v>0</v>
      </c>
      <c r="BK299">
        <v>0</v>
      </c>
      <c r="BL299">
        <v>0</v>
      </c>
      <c r="BM299">
        <v>0</v>
      </c>
      <c r="BN299">
        <v>0</v>
      </c>
      <c r="BO299">
        <v>0</v>
      </c>
      <c r="BP299">
        <v>0</v>
      </c>
      <c r="BQ299">
        <v>0</v>
      </c>
      <c r="BR299">
        <v>0</v>
      </c>
      <c r="BS299">
        <v>0</v>
      </c>
      <c r="BT299">
        <v>0</v>
      </c>
      <c r="BU299">
        <v>0</v>
      </c>
      <c r="BV299">
        <v>0</v>
      </c>
      <c r="BW299">
        <v>0</v>
      </c>
      <c r="CX299">
        <f>Y299*Source!I275</f>
        <v>0</v>
      </c>
      <c r="CY299">
        <f>AA299</f>
        <v>590.78</v>
      </c>
      <c r="CZ299">
        <f>AE299</f>
        <v>590.78</v>
      </c>
      <c r="DA299">
        <f>AI299</f>
        <v>1</v>
      </c>
      <c r="DB299">
        <f t="shared" si="20"/>
        <v>64985.8</v>
      </c>
      <c r="DC299">
        <f t="shared" si="21"/>
        <v>0</v>
      </c>
    </row>
    <row r="300" spans="1:107" x14ac:dyDescent="0.2">
      <c r="A300">
        <f>ROW(Source!A275)</f>
        <v>275</v>
      </c>
      <c r="B300">
        <v>52430918</v>
      </c>
      <c r="C300">
        <v>52432061</v>
      </c>
      <c r="D300">
        <v>51867705</v>
      </c>
      <c r="E300">
        <v>1</v>
      </c>
      <c r="F300">
        <v>1</v>
      </c>
      <c r="G300">
        <v>27</v>
      </c>
      <c r="H300">
        <v>3</v>
      </c>
      <c r="I300" t="s">
        <v>405</v>
      </c>
      <c r="J300" t="s">
        <v>406</v>
      </c>
      <c r="K300" t="s">
        <v>407</v>
      </c>
      <c r="L300">
        <v>1339</v>
      </c>
      <c r="N300">
        <v>1007</v>
      </c>
      <c r="O300" t="s">
        <v>28</v>
      </c>
      <c r="P300" t="s">
        <v>28</v>
      </c>
      <c r="Q300">
        <v>1</v>
      </c>
      <c r="W300">
        <v>0</v>
      </c>
      <c r="X300">
        <v>1927597627</v>
      </c>
      <c r="Y300">
        <v>5</v>
      </c>
      <c r="AA300">
        <v>35.25</v>
      </c>
      <c r="AB300">
        <v>0</v>
      </c>
      <c r="AC300">
        <v>0</v>
      </c>
      <c r="AD300">
        <v>0</v>
      </c>
      <c r="AE300">
        <v>35.25</v>
      </c>
      <c r="AF300">
        <v>0</v>
      </c>
      <c r="AG300">
        <v>0</v>
      </c>
      <c r="AH300">
        <v>0</v>
      </c>
      <c r="AI300">
        <v>1</v>
      </c>
      <c r="AJ300">
        <v>1</v>
      </c>
      <c r="AK300">
        <v>1</v>
      </c>
      <c r="AL300">
        <v>1</v>
      </c>
      <c r="AN300">
        <v>0</v>
      </c>
      <c r="AO300">
        <v>1</v>
      </c>
      <c r="AP300">
        <v>0</v>
      </c>
      <c r="AQ300">
        <v>0</v>
      </c>
      <c r="AR300">
        <v>0</v>
      </c>
      <c r="AS300" t="s">
        <v>3</v>
      </c>
      <c r="AT300">
        <v>5</v>
      </c>
      <c r="AU300" t="s">
        <v>3</v>
      </c>
      <c r="AV300">
        <v>0</v>
      </c>
      <c r="AW300">
        <v>2</v>
      </c>
      <c r="AX300">
        <v>52432077</v>
      </c>
      <c r="AY300">
        <v>1</v>
      </c>
      <c r="AZ300">
        <v>0</v>
      </c>
      <c r="BA300">
        <v>288</v>
      </c>
      <c r="BB300">
        <v>0</v>
      </c>
      <c r="BC300">
        <v>0</v>
      </c>
      <c r="BD300">
        <v>0</v>
      </c>
      <c r="BE300">
        <v>0</v>
      </c>
      <c r="BF300">
        <v>0</v>
      </c>
      <c r="BG300">
        <v>0</v>
      </c>
      <c r="BH300">
        <v>0</v>
      </c>
      <c r="BI300">
        <v>0</v>
      </c>
      <c r="BJ300">
        <v>0</v>
      </c>
      <c r="BK300">
        <v>0</v>
      </c>
      <c r="BL300">
        <v>0</v>
      </c>
      <c r="BM300">
        <v>0</v>
      </c>
      <c r="BN300">
        <v>0</v>
      </c>
      <c r="BO300">
        <v>0</v>
      </c>
      <c r="BP300">
        <v>0</v>
      </c>
      <c r="BQ300">
        <v>0</v>
      </c>
      <c r="BR300">
        <v>0</v>
      </c>
      <c r="BS300">
        <v>0</v>
      </c>
      <c r="BT300">
        <v>0</v>
      </c>
      <c r="BU300">
        <v>0</v>
      </c>
      <c r="BV300">
        <v>0</v>
      </c>
      <c r="BW300">
        <v>0</v>
      </c>
      <c r="CX300">
        <f>Y300*Source!I275</f>
        <v>0</v>
      </c>
      <c r="CY300">
        <f>AA300</f>
        <v>35.25</v>
      </c>
      <c r="CZ300">
        <f>AE300</f>
        <v>35.25</v>
      </c>
      <c r="DA300">
        <f>AI300</f>
        <v>1</v>
      </c>
      <c r="DB300">
        <f t="shared" si="20"/>
        <v>176.25</v>
      </c>
      <c r="DC300">
        <f t="shared" si="21"/>
        <v>0</v>
      </c>
    </row>
    <row r="301" spans="1:107" x14ac:dyDescent="0.2">
      <c r="A301">
        <f>ROW(Source!A276)</f>
        <v>276</v>
      </c>
      <c r="B301">
        <v>52430918</v>
      </c>
      <c r="C301">
        <v>52432078</v>
      </c>
      <c r="D301">
        <v>51848379</v>
      </c>
      <c r="E301">
        <v>27</v>
      </c>
      <c r="F301">
        <v>1</v>
      </c>
      <c r="G301">
        <v>27</v>
      </c>
      <c r="H301">
        <v>1</v>
      </c>
      <c r="I301" t="s">
        <v>378</v>
      </c>
      <c r="J301" t="s">
        <v>3</v>
      </c>
      <c r="K301" t="s">
        <v>379</v>
      </c>
      <c r="L301">
        <v>1191</v>
      </c>
      <c r="N301">
        <v>1013</v>
      </c>
      <c r="O301" t="s">
        <v>380</v>
      </c>
      <c r="P301" t="s">
        <v>380</v>
      </c>
      <c r="Q301">
        <v>1</v>
      </c>
      <c r="W301">
        <v>0</v>
      </c>
      <c r="X301">
        <v>476480486</v>
      </c>
      <c r="Y301">
        <v>72.95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1</v>
      </c>
      <c r="AJ301">
        <v>1</v>
      </c>
      <c r="AK301">
        <v>1</v>
      </c>
      <c r="AL301">
        <v>1</v>
      </c>
      <c r="AN301">
        <v>0</v>
      </c>
      <c r="AO301">
        <v>1</v>
      </c>
      <c r="AP301">
        <v>0</v>
      </c>
      <c r="AQ301">
        <v>0</v>
      </c>
      <c r="AR301">
        <v>0</v>
      </c>
      <c r="AS301" t="s">
        <v>3</v>
      </c>
      <c r="AT301">
        <v>72.95</v>
      </c>
      <c r="AU301" t="s">
        <v>3</v>
      </c>
      <c r="AV301">
        <v>1</v>
      </c>
      <c r="AW301">
        <v>2</v>
      </c>
      <c r="AX301">
        <v>52432084</v>
      </c>
      <c r="AY301">
        <v>1</v>
      </c>
      <c r="AZ301">
        <v>0</v>
      </c>
      <c r="BA301">
        <v>289</v>
      </c>
      <c r="BB301">
        <v>0</v>
      </c>
      <c r="BC301">
        <v>0</v>
      </c>
      <c r="BD301">
        <v>0</v>
      </c>
      <c r="BE301">
        <v>0</v>
      </c>
      <c r="BF301">
        <v>0</v>
      </c>
      <c r="BG301">
        <v>0</v>
      </c>
      <c r="BH301">
        <v>0</v>
      </c>
      <c r="BI301">
        <v>0</v>
      </c>
      <c r="BJ301">
        <v>0</v>
      </c>
      <c r="BK301">
        <v>0</v>
      </c>
      <c r="BL301">
        <v>0</v>
      </c>
      <c r="BM301">
        <v>0</v>
      </c>
      <c r="BN301">
        <v>0</v>
      </c>
      <c r="BO301">
        <v>0</v>
      </c>
      <c r="BP301">
        <v>0</v>
      </c>
      <c r="BQ301">
        <v>0</v>
      </c>
      <c r="BR301">
        <v>0</v>
      </c>
      <c r="BS301">
        <v>0</v>
      </c>
      <c r="BT301">
        <v>0</v>
      </c>
      <c r="BU301">
        <v>0</v>
      </c>
      <c r="BV301">
        <v>0</v>
      </c>
      <c r="BW301">
        <v>0</v>
      </c>
      <c r="CX301">
        <f>Y301*Source!I276</f>
        <v>29.471800000000002</v>
      </c>
      <c r="CY301">
        <f>AD301</f>
        <v>0</v>
      </c>
      <c r="CZ301">
        <f>AH301</f>
        <v>0</v>
      </c>
      <c r="DA301">
        <f>AL301</f>
        <v>1</v>
      </c>
      <c r="DB301">
        <f t="shared" si="20"/>
        <v>0</v>
      </c>
      <c r="DC301">
        <f t="shared" si="21"/>
        <v>0</v>
      </c>
    </row>
    <row r="302" spans="1:107" x14ac:dyDescent="0.2">
      <c r="A302">
        <f>ROW(Source!A276)</f>
        <v>276</v>
      </c>
      <c r="B302">
        <v>52430918</v>
      </c>
      <c r="C302">
        <v>52432078</v>
      </c>
      <c r="D302">
        <v>51864920</v>
      </c>
      <c r="E302">
        <v>1</v>
      </c>
      <c r="F302">
        <v>1</v>
      </c>
      <c r="G302">
        <v>27</v>
      </c>
      <c r="H302">
        <v>2</v>
      </c>
      <c r="I302" t="s">
        <v>445</v>
      </c>
      <c r="J302" t="s">
        <v>446</v>
      </c>
      <c r="K302" t="s">
        <v>447</v>
      </c>
      <c r="L302">
        <v>1368</v>
      </c>
      <c r="N302">
        <v>1011</v>
      </c>
      <c r="O302" t="s">
        <v>84</v>
      </c>
      <c r="P302" t="s">
        <v>84</v>
      </c>
      <c r="Q302">
        <v>1</v>
      </c>
      <c r="W302">
        <v>0</v>
      </c>
      <c r="X302">
        <v>-1323805330</v>
      </c>
      <c r="Y302">
        <v>0.26</v>
      </c>
      <c r="AA302">
        <v>0</v>
      </c>
      <c r="AB302">
        <v>683.9</v>
      </c>
      <c r="AC302">
        <v>371.27</v>
      </c>
      <c r="AD302">
        <v>0</v>
      </c>
      <c r="AE302">
        <v>0</v>
      </c>
      <c r="AF302">
        <v>683.9</v>
      </c>
      <c r="AG302">
        <v>371.27</v>
      </c>
      <c r="AH302">
        <v>0</v>
      </c>
      <c r="AI302">
        <v>1</v>
      </c>
      <c r="AJ302">
        <v>1</v>
      </c>
      <c r="AK302">
        <v>1</v>
      </c>
      <c r="AL302">
        <v>1</v>
      </c>
      <c r="AN302">
        <v>0</v>
      </c>
      <c r="AO302">
        <v>1</v>
      </c>
      <c r="AP302">
        <v>0</v>
      </c>
      <c r="AQ302">
        <v>0</v>
      </c>
      <c r="AR302">
        <v>0</v>
      </c>
      <c r="AS302" t="s">
        <v>3</v>
      </c>
      <c r="AT302">
        <v>0.26</v>
      </c>
      <c r="AU302" t="s">
        <v>3</v>
      </c>
      <c r="AV302">
        <v>0</v>
      </c>
      <c r="AW302">
        <v>2</v>
      </c>
      <c r="AX302">
        <v>52432085</v>
      </c>
      <c r="AY302">
        <v>1</v>
      </c>
      <c r="AZ302">
        <v>0</v>
      </c>
      <c r="BA302">
        <v>290</v>
      </c>
      <c r="BB302">
        <v>0</v>
      </c>
      <c r="BC302">
        <v>0</v>
      </c>
      <c r="BD302">
        <v>0</v>
      </c>
      <c r="BE302">
        <v>0</v>
      </c>
      <c r="BF302">
        <v>0</v>
      </c>
      <c r="BG302">
        <v>0</v>
      </c>
      <c r="BH302">
        <v>0</v>
      </c>
      <c r="BI302">
        <v>0</v>
      </c>
      <c r="BJ302">
        <v>0</v>
      </c>
      <c r="BK302">
        <v>0</v>
      </c>
      <c r="BL302">
        <v>0</v>
      </c>
      <c r="BM302">
        <v>0</v>
      </c>
      <c r="BN302">
        <v>0</v>
      </c>
      <c r="BO302">
        <v>0</v>
      </c>
      <c r="BP302">
        <v>0</v>
      </c>
      <c r="BQ302">
        <v>0</v>
      </c>
      <c r="BR302">
        <v>0</v>
      </c>
      <c r="BS302">
        <v>0</v>
      </c>
      <c r="BT302">
        <v>0</v>
      </c>
      <c r="BU302">
        <v>0</v>
      </c>
      <c r="BV302">
        <v>0</v>
      </c>
      <c r="BW302">
        <v>0</v>
      </c>
      <c r="CX302">
        <f>Y302*Source!I276</f>
        <v>0.10504000000000001</v>
      </c>
      <c r="CY302">
        <f>AB302</f>
        <v>683.9</v>
      </c>
      <c r="CZ302">
        <f>AF302</f>
        <v>683.9</v>
      </c>
      <c r="DA302">
        <f>AJ302</f>
        <v>1</v>
      </c>
      <c r="DB302">
        <f t="shared" si="20"/>
        <v>177.81</v>
      </c>
      <c r="DC302">
        <f t="shared" si="21"/>
        <v>96.53</v>
      </c>
    </row>
    <row r="303" spans="1:107" x14ac:dyDescent="0.2">
      <c r="A303">
        <f>ROW(Source!A276)</f>
        <v>276</v>
      </c>
      <c r="B303">
        <v>52430918</v>
      </c>
      <c r="C303">
        <v>52432078</v>
      </c>
      <c r="D303">
        <v>51868676</v>
      </c>
      <c r="E303">
        <v>1</v>
      </c>
      <c r="F303">
        <v>1</v>
      </c>
      <c r="G303">
        <v>27</v>
      </c>
      <c r="H303">
        <v>3</v>
      </c>
      <c r="I303" t="s">
        <v>448</v>
      </c>
      <c r="J303" t="s">
        <v>449</v>
      </c>
      <c r="K303" t="s">
        <v>450</v>
      </c>
      <c r="L303">
        <v>1339</v>
      </c>
      <c r="N303">
        <v>1007</v>
      </c>
      <c r="O303" t="s">
        <v>28</v>
      </c>
      <c r="P303" t="s">
        <v>28</v>
      </c>
      <c r="Q303">
        <v>1</v>
      </c>
      <c r="W303">
        <v>0</v>
      </c>
      <c r="X303">
        <v>426331755</v>
      </c>
      <c r="Y303">
        <v>4.3</v>
      </c>
      <c r="AA303">
        <v>3714.73</v>
      </c>
      <c r="AB303">
        <v>0</v>
      </c>
      <c r="AC303">
        <v>0</v>
      </c>
      <c r="AD303">
        <v>0</v>
      </c>
      <c r="AE303">
        <v>3714.73</v>
      </c>
      <c r="AF303">
        <v>0</v>
      </c>
      <c r="AG303">
        <v>0</v>
      </c>
      <c r="AH303">
        <v>0</v>
      </c>
      <c r="AI303">
        <v>1</v>
      </c>
      <c r="AJ303">
        <v>1</v>
      </c>
      <c r="AK303">
        <v>1</v>
      </c>
      <c r="AL303">
        <v>1</v>
      </c>
      <c r="AN303">
        <v>0</v>
      </c>
      <c r="AO303">
        <v>1</v>
      </c>
      <c r="AP303">
        <v>0</v>
      </c>
      <c r="AQ303">
        <v>0</v>
      </c>
      <c r="AR303">
        <v>0</v>
      </c>
      <c r="AS303" t="s">
        <v>3</v>
      </c>
      <c r="AT303">
        <v>4.3</v>
      </c>
      <c r="AU303" t="s">
        <v>3</v>
      </c>
      <c r="AV303">
        <v>0</v>
      </c>
      <c r="AW303">
        <v>2</v>
      </c>
      <c r="AX303">
        <v>52432086</v>
      </c>
      <c r="AY303">
        <v>1</v>
      </c>
      <c r="AZ303">
        <v>0</v>
      </c>
      <c r="BA303">
        <v>291</v>
      </c>
      <c r="BB303">
        <v>0</v>
      </c>
      <c r="BC303">
        <v>0</v>
      </c>
      <c r="BD303">
        <v>0</v>
      </c>
      <c r="BE303">
        <v>0</v>
      </c>
      <c r="BF303">
        <v>0</v>
      </c>
      <c r="BG303">
        <v>0</v>
      </c>
      <c r="BH303">
        <v>0</v>
      </c>
      <c r="BI303">
        <v>0</v>
      </c>
      <c r="BJ303">
        <v>0</v>
      </c>
      <c r="BK303">
        <v>0</v>
      </c>
      <c r="BL303">
        <v>0</v>
      </c>
      <c r="BM303">
        <v>0</v>
      </c>
      <c r="BN303">
        <v>0</v>
      </c>
      <c r="BO303">
        <v>0</v>
      </c>
      <c r="BP303">
        <v>0</v>
      </c>
      <c r="BQ303">
        <v>0</v>
      </c>
      <c r="BR303">
        <v>0</v>
      </c>
      <c r="BS303">
        <v>0</v>
      </c>
      <c r="BT303">
        <v>0</v>
      </c>
      <c r="BU303">
        <v>0</v>
      </c>
      <c r="BV303">
        <v>0</v>
      </c>
      <c r="BW303">
        <v>0</v>
      </c>
      <c r="CX303">
        <f>Y303*Source!I276</f>
        <v>1.7372000000000001</v>
      </c>
      <c r="CY303">
        <f>AA303</f>
        <v>3714.73</v>
      </c>
      <c r="CZ303">
        <f>AE303</f>
        <v>3714.73</v>
      </c>
      <c r="DA303">
        <f>AI303</f>
        <v>1</v>
      </c>
      <c r="DB303">
        <f t="shared" si="20"/>
        <v>15973.34</v>
      </c>
      <c r="DC303">
        <f t="shared" si="21"/>
        <v>0</v>
      </c>
    </row>
    <row r="304" spans="1:107" x14ac:dyDescent="0.2">
      <c r="A304">
        <f>ROW(Source!A276)</f>
        <v>276</v>
      </c>
      <c r="B304">
        <v>52430918</v>
      </c>
      <c r="C304">
        <v>52432078</v>
      </c>
      <c r="D304">
        <v>51868752</v>
      </c>
      <c r="E304">
        <v>1</v>
      </c>
      <c r="F304">
        <v>1</v>
      </c>
      <c r="G304">
        <v>27</v>
      </c>
      <c r="H304">
        <v>3</v>
      </c>
      <c r="I304" t="s">
        <v>451</v>
      </c>
      <c r="J304" t="s">
        <v>452</v>
      </c>
      <c r="K304" t="s">
        <v>453</v>
      </c>
      <c r="L304">
        <v>1339</v>
      </c>
      <c r="N304">
        <v>1007</v>
      </c>
      <c r="O304" t="s">
        <v>28</v>
      </c>
      <c r="P304" t="s">
        <v>28</v>
      </c>
      <c r="Q304">
        <v>1</v>
      </c>
      <c r="W304">
        <v>0</v>
      </c>
      <c r="X304">
        <v>853860812</v>
      </c>
      <c r="Y304">
        <v>0.02</v>
      </c>
      <c r="AA304">
        <v>3392.59</v>
      </c>
      <c r="AB304">
        <v>0</v>
      </c>
      <c r="AC304">
        <v>0</v>
      </c>
      <c r="AD304">
        <v>0</v>
      </c>
      <c r="AE304">
        <v>3392.59</v>
      </c>
      <c r="AF304">
        <v>0</v>
      </c>
      <c r="AG304">
        <v>0</v>
      </c>
      <c r="AH304">
        <v>0</v>
      </c>
      <c r="AI304">
        <v>1</v>
      </c>
      <c r="AJ304">
        <v>1</v>
      </c>
      <c r="AK304">
        <v>1</v>
      </c>
      <c r="AL304">
        <v>1</v>
      </c>
      <c r="AN304">
        <v>0</v>
      </c>
      <c r="AO304">
        <v>1</v>
      </c>
      <c r="AP304">
        <v>0</v>
      </c>
      <c r="AQ304">
        <v>0</v>
      </c>
      <c r="AR304">
        <v>0</v>
      </c>
      <c r="AS304" t="s">
        <v>3</v>
      </c>
      <c r="AT304">
        <v>0.02</v>
      </c>
      <c r="AU304" t="s">
        <v>3</v>
      </c>
      <c r="AV304">
        <v>0</v>
      </c>
      <c r="AW304">
        <v>2</v>
      </c>
      <c r="AX304">
        <v>52432087</v>
      </c>
      <c r="AY304">
        <v>1</v>
      </c>
      <c r="AZ304">
        <v>0</v>
      </c>
      <c r="BA304">
        <v>292</v>
      </c>
      <c r="BB304">
        <v>0</v>
      </c>
      <c r="BC304">
        <v>0</v>
      </c>
      <c r="BD304">
        <v>0</v>
      </c>
      <c r="BE304">
        <v>0</v>
      </c>
      <c r="BF304">
        <v>0</v>
      </c>
      <c r="BG304">
        <v>0</v>
      </c>
      <c r="BH304">
        <v>0</v>
      </c>
      <c r="BI304">
        <v>0</v>
      </c>
      <c r="BJ304">
        <v>0</v>
      </c>
      <c r="BK304">
        <v>0</v>
      </c>
      <c r="BL304">
        <v>0</v>
      </c>
      <c r="BM304">
        <v>0</v>
      </c>
      <c r="BN304">
        <v>0</v>
      </c>
      <c r="BO304">
        <v>0</v>
      </c>
      <c r="BP304">
        <v>0</v>
      </c>
      <c r="BQ304">
        <v>0</v>
      </c>
      <c r="BR304">
        <v>0</v>
      </c>
      <c r="BS304">
        <v>0</v>
      </c>
      <c r="BT304">
        <v>0</v>
      </c>
      <c r="BU304">
        <v>0</v>
      </c>
      <c r="BV304">
        <v>0</v>
      </c>
      <c r="BW304">
        <v>0</v>
      </c>
      <c r="CX304">
        <f>Y304*Source!I276</f>
        <v>8.0800000000000004E-3</v>
      </c>
      <c r="CY304">
        <f>AA304</f>
        <v>3392.59</v>
      </c>
      <c r="CZ304">
        <f>AE304</f>
        <v>3392.59</v>
      </c>
      <c r="DA304">
        <f>AI304</f>
        <v>1</v>
      </c>
      <c r="DB304">
        <f t="shared" si="20"/>
        <v>67.849999999999994</v>
      </c>
      <c r="DC304">
        <f t="shared" si="21"/>
        <v>0</v>
      </c>
    </row>
    <row r="305" spans="1:107" x14ac:dyDescent="0.2">
      <c r="A305">
        <f>ROW(Source!A276)</f>
        <v>276</v>
      </c>
      <c r="B305">
        <v>52430918</v>
      </c>
      <c r="C305">
        <v>52432078</v>
      </c>
      <c r="D305">
        <v>51869488</v>
      </c>
      <c r="E305">
        <v>1</v>
      </c>
      <c r="F305">
        <v>1</v>
      </c>
      <c r="G305">
        <v>27</v>
      </c>
      <c r="H305">
        <v>3</v>
      </c>
      <c r="I305" t="s">
        <v>454</v>
      </c>
      <c r="J305" t="s">
        <v>455</v>
      </c>
      <c r="K305" t="s">
        <v>456</v>
      </c>
      <c r="L305">
        <v>1339</v>
      </c>
      <c r="N305">
        <v>1007</v>
      </c>
      <c r="O305" t="s">
        <v>28</v>
      </c>
      <c r="P305" t="s">
        <v>28</v>
      </c>
      <c r="Q305">
        <v>1</v>
      </c>
      <c r="W305">
        <v>0</v>
      </c>
      <c r="X305">
        <v>892889602</v>
      </c>
      <c r="Y305">
        <v>1.6</v>
      </c>
      <c r="AA305">
        <v>11566.57</v>
      </c>
      <c r="AB305">
        <v>0</v>
      </c>
      <c r="AC305">
        <v>0</v>
      </c>
      <c r="AD305">
        <v>0</v>
      </c>
      <c r="AE305">
        <v>11566.57</v>
      </c>
      <c r="AF305">
        <v>0</v>
      </c>
      <c r="AG305">
        <v>0</v>
      </c>
      <c r="AH305">
        <v>0</v>
      </c>
      <c r="AI305">
        <v>1</v>
      </c>
      <c r="AJ305">
        <v>1</v>
      </c>
      <c r="AK305">
        <v>1</v>
      </c>
      <c r="AL305">
        <v>1</v>
      </c>
      <c r="AN305">
        <v>0</v>
      </c>
      <c r="AO305">
        <v>1</v>
      </c>
      <c r="AP305">
        <v>0</v>
      </c>
      <c r="AQ305">
        <v>0</v>
      </c>
      <c r="AR305">
        <v>0</v>
      </c>
      <c r="AS305" t="s">
        <v>3</v>
      </c>
      <c r="AT305">
        <v>1.6</v>
      </c>
      <c r="AU305" t="s">
        <v>3</v>
      </c>
      <c r="AV305">
        <v>0</v>
      </c>
      <c r="AW305">
        <v>2</v>
      </c>
      <c r="AX305">
        <v>52432088</v>
      </c>
      <c r="AY305">
        <v>1</v>
      </c>
      <c r="AZ305">
        <v>0</v>
      </c>
      <c r="BA305">
        <v>293</v>
      </c>
      <c r="BB305">
        <v>0</v>
      </c>
      <c r="BC305">
        <v>0</v>
      </c>
      <c r="BD305">
        <v>0</v>
      </c>
      <c r="BE305">
        <v>0</v>
      </c>
      <c r="BF305">
        <v>0</v>
      </c>
      <c r="BG305">
        <v>0</v>
      </c>
      <c r="BH305">
        <v>0</v>
      </c>
      <c r="BI305">
        <v>0</v>
      </c>
      <c r="BJ305">
        <v>0</v>
      </c>
      <c r="BK305">
        <v>0</v>
      </c>
      <c r="BL305">
        <v>0</v>
      </c>
      <c r="BM305">
        <v>0</v>
      </c>
      <c r="BN305">
        <v>0</v>
      </c>
      <c r="BO305">
        <v>0</v>
      </c>
      <c r="BP305">
        <v>0</v>
      </c>
      <c r="BQ305">
        <v>0</v>
      </c>
      <c r="BR305">
        <v>0</v>
      </c>
      <c r="BS305">
        <v>0</v>
      </c>
      <c r="BT305">
        <v>0</v>
      </c>
      <c r="BU305">
        <v>0</v>
      </c>
      <c r="BV305">
        <v>0</v>
      </c>
      <c r="BW305">
        <v>0</v>
      </c>
      <c r="CX305">
        <f>Y305*Source!I276</f>
        <v>0.64640000000000009</v>
      </c>
      <c r="CY305">
        <f>AA305</f>
        <v>11566.57</v>
      </c>
      <c r="CZ305">
        <f>AE305</f>
        <v>11566.57</v>
      </c>
      <c r="DA305">
        <f>AI305</f>
        <v>1</v>
      </c>
      <c r="DB305">
        <f t="shared" si="20"/>
        <v>18506.509999999998</v>
      </c>
      <c r="DC305">
        <f t="shared" si="21"/>
        <v>0</v>
      </c>
    </row>
    <row r="306" spans="1:107" x14ac:dyDescent="0.2">
      <c r="A306">
        <f>ROW(Source!A277)</f>
        <v>277</v>
      </c>
      <c r="B306">
        <v>52430918</v>
      </c>
      <c r="C306">
        <v>52432089</v>
      </c>
      <c r="D306">
        <v>51848379</v>
      </c>
      <c r="E306">
        <v>27</v>
      </c>
      <c r="F306">
        <v>1</v>
      </c>
      <c r="G306">
        <v>27</v>
      </c>
      <c r="H306">
        <v>1</v>
      </c>
      <c r="I306" t="s">
        <v>378</v>
      </c>
      <c r="J306" t="s">
        <v>3</v>
      </c>
      <c r="K306" t="s">
        <v>379</v>
      </c>
      <c r="L306">
        <v>1191</v>
      </c>
      <c r="N306">
        <v>1013</v>
      </c>
      <c r="O306" t="s">
        <v>380</v>
      </c>
      <c r="P306" t="s">
        <v>380</v>
      </c>
      <c r="Q306">
        <v>1</v>
      </c>
      <c r="W306">
        <v>0</v>
      </c>
      <c r="X306">
        <v>476480486</v>
      </c>
      <c r="Y306">
        <v>902.75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1</v>
      </c>
      <c r="AJ306">
        <v>1</v>
      </c>
      <c r="AK306">
        <v>1</v>
      </c>
      <c r="AL306">
        <v>1</v>
      </c>
      <c r="AN306">
        <v>0</v>
      </c>
      <c r="AO306">
        <v>1</v>
      </c>
      <c r="AP306">
        <v>0</v>
      </c>
      <c r="AQ306">
        <v>0</v>
      </c>
      <c r="AR306">
        <v>0</v>
      </c>
      <c r="AS306" t="s">
        <v>3</v>
      </c>
      <c r="AT306">
        <v>902.75</v>
      </c>
      <c r="AU306" t="s">
        <v>3</v>
      </c>
      <c r="AV306">
        <v>1</v>
      </c>
      <c r="AW306">
        <v>2</v>
      </c>
      <c r="AX306">
        <v>52432102</v>
      </c>
      <c r="AY306">
        <v>1</v>
      </c>
      <c r="AZ306">
        <v>0</v>
      </c>
      <c r="BA306">
        <v>294</v>
      </c>
      <c r="BB306">
        <v>0</v>
      </c>
      <c r="BC306">
        <v>0</v>
      </c>
      <c r="BD306">
        <v>0</v>
      </c>
      <c r="BE306">
        <v>0</v>
      </c>
      <c r="BF306">
        <v>0</v>
      </c>
      <c r="BG306">
        <v>0</v>
      </c>
      <c r="BH306">
        <v>0</v>
      </c>
      <c r="BI306">
        <v>0</v>
      </c>
      <c r="BJ306">
        <v>0</v>
      </c>
      <c r="BK306">
        <v>0</v>
      </c>
      <c r="BL306">
        <v>0</v>
      </c>
      <c r="BM306">
        <v>0</v>
      </c>
      <c r="BN306">
        <v>0</v>
      </c>
      <c r="BO306">
        <v>0</v>
      </c>
      <c r="BP306">
        <v>0</v>
      </c>
      <c r="BQ306">
        <v>0</v>
      </c>
      <c r="BR306">
        <v>0</v>
      </c>
      <c r="BS306">
        <v>0</v>
      </c>
      <c r="BT306">
        <v>0</v>
      </c>
      <c r="BU306">
        <v>0</v>
      </c>
      <c r="BV306">
        <v>0</v>
      </c>
      <c r="BW306">
        <v>0</v>
      </c>
      <c r="CX306">
        <f>Y306*Source!I277</f>
        <v>36.11</v>
      </c>
      <c r="CY306">
        <f>AD306</f>
        <v>0</v>
      </c>
      <c r="CZ306">
        <f>AH306</f>
        <v>0</v>
      </c>
      <c r="DA306">
        <f>AL306</f>
        <v>1</v>
      </c>
      <c r="DB306">
        <f t="shared" si="20"/>
        <v>0</v>
      </c>
      <c r="DC306">
        <f t="shared" si="21"/>
        <v>0</v>
      </c>
    </row>
    <row r="307" spans="1:107" x14ac:dyDescent="0.2">
      <c r="A307">
        <f>ROW(Source!A277)</f>
        <v>277</v>
      </c>
      <c r="B307">
        <v>52430918</v>
      </c>
      <c r="C307">
        <v>52432089</v>
      </c>
      <c r="D307">
        <v>51864800</v>
      </c>
      <c r="E307">
        <v>1</v>
      </c>
      <c r="F307">
        <v>1</v>
      </c>
      <c r="G307">
        <v>27</v>
      </c>
      <c r="H307">
        <v>2</v>
      </c>
      <c r="I307" t="s">
        <v>91</v>
      </c>
      <c r="J307" t="s">
        <v>93</v>
      </c>
      <c r="K307" t="s">
        <v>92</v>
      </c>
      <c r="L307">
        <v>1368</v>
      </c>
      <c r="N307">
        <v>1011</v>
      </c>
      <c r="O307" t="s">
        <v>84</v>
      </c>
      <c r="P307" t="s">
        <v>84</v>
      </c>
      <c r="Q307">
        <v>1</v>
      </c>
      <c r="W307">
        <v>1</v>
      </c>
      <c r="X307">
        <v>-1957514721</v>
      </c>
      <c r="Y307">
        <v>-0.09</v>
      </c>
      <c r="AA307">
        <v>0</v>
      </c>
      <c r="AB307">
        <v>1009.65</v>
      </c>
      <c r="AC307">
        <v>554.42999999999995</v>
      </c>
      <c r="AD307">
        <v>0</v>
      </c>
      <c r="AE307">
        <v>0</v>
      </c>
      <c r="AF307">
        <v>1009.65</v>
      </c>
      <c r="AG307">
        <v>554.42999999999995</v>
      </c>
      <c r="AH307">
        <v>0</v>
      </c>
      <c r="AI307">
        <v>1</v>
      </c>
      <c r="AJ307">
        <v>1</v>
      </c>
      <c r="AK307">
        <v>1</v>
      </c>
      <c r="AL307">
        <v>1</v>
      </c>
      <c r="AN307">
        <v>0</v>
      </c>
      <c r="AO307">
        <v>1</v>
      </c>
      <c r="AP307">
        <v>0</v>
      </c>
      <c r="AQ307">
        <v>0</v>
      </c>
      <c r="AR307">
        <v>0</v>
      </c>
      <c r="AS307" t="s">
        <v>3</v>
      </c>
      <c r="AT307">
        <v>-0.09</v>
      </c>
      <c r="AU307" t="s">
        <v>3</v>
      </c>
      <c r="AV307">
        <v>0</v>
      </c>
      <c r="AW307">
        <v>2</v>
      </c>
      <c r="AX307">
        <v>52432103</v>
      </c>
      <c r="AY307">
        <v>1</v>
      </c>
      <c r="AZ307">
        <v>6144</v>
      </c>
      <c r="BA307">
        <v>295</v>
      </c>
      <c r="BB307">
        <v>0</v>
      </c>
      <c r="BC307">
        <v>0</v>
      </c>
      <c r="BD307">
        <v>0</v>
      </c>
      <c r="BE307">
        <v>0</v>
      </c>
      <c r="BF307">
        <v>0</v>
      </c>
      <c r="BG307">
        <v>0</v>
      </c>
      <c r="BH307">
        <v>0</v>
      </c>
      <c r="BI307">
        <v>0</v>
      </c>
      <c r="BJ307">
        <v>0</v>
      </c>
      <c r="BK307">
        <v>0</v>
      </c>
      <c r="BL307">
        <v>0</v>
      </c>
      <c r="BM307">
        <v>0</v>
      </c>
      <c r="BN307">
        <v>0</v>
      </c>
      <c r="BO307">
        <v>0</v>
      </c>
      <c r="BP307">
        <v>0</v>
      </c>
      <c r="BQ307">
        <v>0</v>
      </c>
      <c r="BR307">
        <v>0</v>
      </c>
      <c r="BS307">
        <v>0</v>
      </c>
      <c r="BT307">
        <v>0</v>
      </c>
      <c r="BU307">
        <v>0</v>
      </c>
      <c r="BV307">
        <v>0</v>
      </c>
      <c r="BW307">
        <v>0</v>
      </c>
      <c r="CX307">
        <f>Y307*Source!I277</f>
        <v>-3.5999999999999999E-3</v>
      </c>
      <c r="CY307">
        <f>AB307</f>
        <v>1009.65</v>
      </c>
      <c r="CZ307">
        <f>AF307</f>
        <v>1009.65</v>
      </c>
      <c r="DA307">
        <f>AJ307</f>
        <v>1</v>
      </c>
      <c r="DB307">
        <f t="shared" si="20"/>
        <v>-90.87</v>
      </c>
      <c r="DC307">
        <f t="shared" si="21"/>
        <v>-49.9</v>
      </c>
    </row>
    <row r="308" spans="1:107" x14ac:dyDescent="0.2">
      <c r="A308">
        <f>ROW(Source!A277)</f>
        <v>277</v>
      </c>
      <c r="B308">
        <v>52430918</v>
      </c>
      <c r="C308">
        <v>52432089</v>
      </c>
      <c r="D308">
        <v>51865257</v>
      </c>
      <c r="E308">
        <v>1</v>
      </c>
      <c r="F308">
        <v>1</v>
      </c>
      <c r="G308">
        <v>27</v>
      </c>
      <c r="H308">
        <v>2</v>
      </c>
      <c r="I308" t="s">
        <v>87</v>
      </c>
      <c r="J308" t="s">
        <v>89</v>
      </c>
      <c r="K308" t="s">
        <v>88</v>
      </c>
      <c r="L308">
        <v>1368</v>
      </c>
      <c r="N308">
        <v>1011</v>
      </c>
      <c r="O308" t="s">
        <v>84</v>
      </c>
      <c r="P308" t="s">
        <v>84</v>
      </c>
      <c r="Q308">
        <v>1</v>
      </c>
      <c r="W308">
        <v>1</v>
      </c>
      <c r="X308">
        <v>-1757825014</v>
      </c>
      <c r="Y308">
        <v>-14.5</v>
      </c>
      <c r="AA308">
        <v>0</v>
      </c>
      <c r="AB308">
        <v>27.21</v>
      </c>
      <c r="AC308">
        <v>0.13</v>
      </c>
      <c r="AD308">
        <v>0</v>
      </c>
      <c r="AE308">
        <v>0</v>
      </c>
      <c r="AF308">
        <v>27.21</v>
      </c>
      <c r="AG308">
        <v>0.13</v>
      </c>
      <c r="AH308">
        <v>0</v>
      </c>
      <c r="AI308">
        <v>1</v>
      </c>
      <c r="AJ308">
        <v>1</v>
      </c>
      <c r="AK308">
        <v>1</v>
      </c>
      <c r="AL308">
        <v>1</v>
      </c>
      <c r="AN308">
        <v>0</v>
      </c>
      <c r="AO308">
        <v>1</v>
      </c>
      <c r="AP308">
        <v>0</v>
      </c>
      <c r="AQ308">
        <v>0</v>
      </c>
      <c r="AR308">
        <v>0</v>
      </c>
      <c r="AS308" t="s">
        <v>3</v>
      </c>
      <c r="AT308">
        <v>-14.5</v>
      </c>
      <c r="AU308" t="s">
        <v>3</v>
      </c>
      <c r="AV308">
        <v>0</v>
      </c>
      <c r="AW308">
        <v>2</v>
      </c>
      <c r="AX308">
        <v>52432104</v>
      </c>
      <c r="AY308">
        <v>1</v>
      </c>
      <c r="AZ308">
        <v>6144</v>
      </c>
      <c r="BA308">
        <v>296</v>
      </c>
      <c r="BB308">
        <v>0</v>
      </c>
      <c r="BC308">
        <v>0</v>
      </c>
      <c r="BD308">
        <v>0</v>
      </c>
      <c r="BE308">
        <v>0</v>
      </c>
      <c r="BF308">
        <v>0</v>
      </c>
      <c r="BG308">
        <v>0</v>
      </c>
      <c r="BH308">
        <v>0</v>
      </c>
      <c r="BI308">
        <v>0</v>
      </c>
      <c r="BJ308">
        <v>0</v>
      </c>
      <c r="BK308">
        <v>0</v>
      </c>
      <c r="BL308">
        <v>0</v>
      </c>
      <c r="BM308">
        <v>0</v>
      </c>
      <c r="BN308">
        <v>0</v>
      </c>
      <c r="BO308">
        <v>0</v>
      </c>
      <c r="BP308">
        <v>0</v>
      </c>
      <c r="BQ308">
        <v>0</v>
      </c>
      <c r="BR308">
        <v>0</v>
      </c>
      <c r="BS308">
        <v>0</v>
      </c>
      <c r="BT308">
        <v>0</v>
      </c>
      <c r="BU308">
        <v>0</v>
      </c>
      <c r="BV308">
        <v>0</v>
      </c>
      <c r="BW308">
        <v>0</v>
      </c>
      <c r="CX308">
        <f>Y308*Source!I277</f>
        <v>-0.57999999999999996</v>
      </c>
      <c r="CY308">
        <f>AB308</f>
        <v>27.21</v>
      </c>
      <c r="CZ308">
        <f>AF308</f>
        <v>27.21</v>
      </c>
      <c r="DA308">
        <f>AJ308</f>
        <v>1</v>
      </c>
      <c r="DB308">
        <f t="shared" si="20"/>
        <v>-394.55</v>
      </c>
      <c r="DC308">
        <f t="shared" si="21"/>
        <v>-1.89</v>
      </c>
    </row>
    <row r="309" spans="1:107" x14ac:dyDescent="0.2">
      <c r="A309">
        <f>ROW(Source!A277)</f>
        <v>277</v>
      </c>
      <c r="B309">
        <v>52430918</v>
      </c>
      <c r="C309">
        <v>52432089</v>
      </c>
      <c r="D309">
        <v>51865090</v>
      </c>
      <c r="E309">
        <v>1</v>
      </c>
      <c r="F309">
        <v>1</v>
      </c>
      <c r="G309">
        <v>27</v>
      </c>
      <c r="H309">
        <v>2</v>
      </c>
      <c r="I309" t="s">
        <v>82</v>
      </c>
      <c r="J309" t="s">
        <v>85</v>
      </c>
      <c r="K309" t="s">
        <v>83</v>
      </c>
      <c r="L309">
        <v>1368</v>
      </c>
      <c r="N309">
        <v>1011</v>
      </c>
      <c r="O309" t="s">
        <v>84</v>
      </c>
      <c r="P309" t="s">
        <v>84</v>
      </c>
      <c r="Q309">
        <v>1</v>
      </c>
      <c r="W309">
        <v>1</v>
      </c>
      <c r="X309">
        <v>1349119844</v>
      </c>
      <c r="Y309">
        <v>-5.44</v>
      </c>
      <c r="AA309">
        <v>0</v>
      </c>
      <c r="AB309">
        <v>10.82</v>
      </c>
      <c r="AC309">
        <v>2.97</v>
      </c>
      <c r="AD309">
        <v>0</v>
      </c>
      <c r="AE309">
        <v>0</v>
      </c>
      <c r="AF309">
        <v>10.82</v>
      </c>
      <c r="AG309">
        <v>2.97</v>
      </c>
      <c r="AH309">
        <v>0</v>
      </c>
      <c r="AI309">
        <v>1</v>
      </c>
      <c r="AJ309">
        <v>1</v>
      </c>
      <c r="AK309">
        <v>1</v>
      </c>
      <c r="AL309">
        <v>1</v>
      </c>
      <c r="AN309">
        <v>0</v>
      </c>
      <c r="AO309">
        <v>1</v>
      </c>
      <c r="AP309">
        <v>0</v>
      </c>
      <c r="AQ309">
        <v>0</v>
      </c>
      <c r="AR309">
        <v>0</v>
      </c>
      <c r="AS309" t="s">
        <v>3</v>
      </c>
      <c r="AT309">
        <v>-5.44</v>
      </c>
      <c r="AU309" t="s">
        <v>3</v>
      </c>
      <c r="AV309">
        <v>0</v>
      </c>
      <c r="AW309">
        <v>2</v>
      </c>
      <c r="AX309">
        <v>52432105</v>
      </c>
      <c r="AY309">
        <v>1</v>
      </c>
      <c r="AZ309">
        <v>6144</v>
      </c>
      <c r="BA309">
        <v>297</v>
      </c>
      <c r="BB309">
        <v>0</v>
      </c>
      <c r="BC309">
        <v>0</v>
      </c>
      <c r="BD309">
        <v>0</v>
      </c>
      <c r="BE309">
        <v>0</v>
      </c>
      <c r="BF309">
        <v>0</v>
      </c>
      <c r="BG309">
        <v>0</v>
      </c>
      <c r="BH309">
        <v>0</v>
      </c>
      <c r="BI309">
        <v>0</v>
      </c>
      <c r="BJ309">
        <v>0</v>
      </c>
      <c r="BK309">
        <v>0</v>
      </c>
      <c r="BL309">
        <v>0</v>
      </c>
      <c r="BM309">
        <v>0</v>
      </c>
      <c r="BN309">
        <v>0</v>
      </c>
      <c r="BO309">
        <v>0</v>
      </c>
      <c r="BP309">
        <v>0</v>
      </c>
      <c r="BQ309">
        <v>0</v>
      </c>
      <c r="BR309">
        <v>0</v>
      </c>
      <c r="BS309">
        <v>0</v>
      </c>
      <c r="BT309">
        <v>0</v>
      </c>
      <c r="BU309">
        <v>0</v>
      </c>
      <c r="BV309">
        <v>0</v>
      </c>
      <c r="BW309">
        <v>0</v>
      </c>
      <c r="CX309">
        <f>Y309*Source!I277</f>
        <v>-0.21760000000000002</v>
      </c>
      <c r="CY309">
        <f>AB309</f>
        <v>10.82</v>
      </c>
      <c r="CZ309">
        <f>AF309</f>
        <v>10.82</v>
      </c>
      <c r="DA309">
        <f>AJ309</f>
        <v>1</v>
      </c>
      <c r="DB309">
        <f t="shared" si="20"/>
        <v>-58.86</v>
      </c>
      <c r="DC309">
        <f t="shared" si="21"/>
        <v>-16.16</v>
      </c>
    </row>
    <row r="310" spans="1:107" x14ac:dyDescent="0.2">
      <c r="A310">
        <f>ROW(Source!A277)</f>
        <v>277</v>
      </c>
      <c r="B310">
        <v>52430918</v>
      </c>
      <c r="C310">
        <v>52432089</v>
      </c>
      <c r="D310">
        <v>51867612</v>
      </c>
      <c r="E310">
        <v>1</v>
      </c>
      <c r="F310">
        <v>1</v>
      </c>
      <c r="G310">
        <v>27</v>
      </c>
      <c r="H310">
        <v>3</v>
      </c>
      <c r="I310" t="s">
        <v>99</v>
      </c>
      <c r="J310" t="s">
        <v>102</v>
      </c>
      <c r="K310" t="s">
        <v>100</v>
      </c>
      <c r="L310">
        <v>1348</v>
      </c>
      <c r="N310">
        <v>1009</v>
      </c>
      <c r="O310" t="s">
        <v>101</v>
      </c>
      <c r="P310" t="s">
        <v>101</v>
      </c>
      <c r="Q310">
        <v>1000</v>
      </c>
      <c r="W310">
        <v>1</v>
      </c>
      <c r="X310">
        <v>-672771621</v>
      </c>
      <c r="Y310">
        <v>-0.02</v>
      </c>
      <c r="AA310">
        <v>110781.14</v>
      </c>
      <c r="AB310">
        <v>0</v>
      </c>
      <c r="AC310">
        <v>0</v>
      </c>
      <c r="AD310">
        <v>0</v>
      </c>
      <c r="AE310">
        <v>110781.14</v>
      </c>
      <c r="AF310">
        <v>0</v>
      </c>
      <c r="AG310">
        <v>0</v>
      </c>
      <c r="AH310">
        <v>0</v>
      </c>
      <c r="AI310">
        <v>1</v>
      </c>
      <c r="AJ310">
        <v>1</v>
      </c>
      <c r="AK310">
        <v>1</v>
      </c>
      <c r="AL310">
        <v>1</v>
      </c>
      <c r="AN310">
        <v>0</v>
      </c>
      <c r="AO310">
        <v>1</v>
      </c>
      <c r="AP310">
        <v>0</v>
      </c>
      <c r="AQ310">
        <v>0</v>
      </c>
      <c r="AR310">
        <v>0</v>
      </c>
      <c r="AS310" t="s">
        <v>3</v>
      </c>
      <c r="AT310">
        <v>-0.02</v>
      </c>
      <c r="AU310" t="s">
        <v>3</v>
      </c>
      <c r="AV310">
        <v>0</v>
      </c>
      <c r="AW310">
        <v>2</v>
      </c>
      <c r="AX310">
        <v>52432106</v>
      </c>
      <c r="AY310">
        <v>1</v>
      </c>
      <c r="AZ310">
        <v>6144</v>
      </c>
      <c r="BA310">
        <v>298</v>
      </c>
      <c r="BB310">
        <v>0</v>
      </c>
      <c r="BC310">
        <v>0</v>
      </c>
      <c r="BD310">
        <v>0</v>
      </c>
      <c r="BE310">
        <v>0</v>
      </c>
      <c r="BF310">
        <v>0</v>
      </c>
      <c r="BG310">
        <v>0</v>
      </c>
      <c r="BH310">
        <v>0</v>
      </c>
      <c r="BI310">
        <v>0</v>
      </c>
      <c r="BJ310">
        <v>0</v>
      </c>
      <c r="BK310">
        <v>0</v>
      </c>
      <c r="BL310">
        <v>0</v>
      </c>
      <c r="BM310">
        <v>0</v>
      </c>
      <c r="BN310">
        <v>0</v>
      </c>
      <c r="BO310">
        <v>0</v>
      </c>
      <c r="BP310">
        <v>0</v>
      </c>
      <c r="BQ310">
        <v>0</v>
      </c>
      <c r="BR310">
        <v>0</v>
      </c>
      <c r="BS310">
        <v>0</v>
      </c>
      <c r="BT310">
        <v>0</v>
      </c>
      <c r="BU310">
        <v>0</v>
      </c>
      <c r="BV310">
        <v>0</v>
      </c>
      <c r="BW310">
        <v>0</v>
      </c>
      <c r="CX310">
        <f>Y310*Source!I277</f>
        <v>-8.0000000000000004E-4</v>
      </c>
      <c r="CY310">
        <f t="shared" ref="CY310:CY317" si="22">AA310</f>
        <v>110781.14</v>
      </c>
      <c r="CZ310">
        <f t="shared" ref="CZ310:CZ317" si="23">AE310</f>
        <v>110781.14</v>
      </c>
      <c r="DA310">
        <f t="shared" ref="DA310:DA317" si="24">AI310</f>
        <v>1</v>
      </c>
      <c r="DB310">
        <f t="shared" si="20"/>
        <v>-2215.62</v>
      </c>
      <c r="DC310">
        <f t="shared" si="21"/>
        <v>0</v>
      </c>
    </row>
    <row r="311" spans="1:107" x14ac:dyDescent="0.2">
      <c r="A311">
        <f>ROW(Source!A277)</f>
        <v>277</v>
      </c>
      <c r="B311">
        <v>52430918</v>
      </c>
      <c r="C311">
        <v>52432089</v>
      </c>
      <c r="D311">
        <v>51866048</v>
      </c>
      <c r="E311">
        <v>1</v>
      </c>
      <c r="F311">
        <v>1</v>
      </c>
      <c r="G311">
        <v>27</v>
      </c>
      <c r="H311">
        <v>3</v>
      </c>
      <c r="I311" t="s">
        <v>77</v>
      </c>
      <c r="J311" t="s">
        <v>80</v>
      </c>
      <c r="K311" t="s">
        <v>78</v>
      </c>
      <c r="L311">
        <v>1356</v>
      </c>
      <c r="N311">
        <v>1010</v>
      </c>
      <c r="O311" t="s">
        <v>79</v>
      </c>
      <c r="P311" t="s">
        <v>79</v>
      </c>
      <c r="Q311">
        <v>1000</v>
      </c>
      <c r="W311">
        <v>1</v>
      </c>
      <c r="X311">
        <v>-477329452</v>
      </c>
      <c r="Y311">
        <v>-3.6999999999999998E-2</v>
      </c>
      <c r="AA311">
        <v>10419.43</v>
      </c>
      <c r="AB311">
        <v>0</v>
      </c>
      <c r="AC311">
        <v>0</v>
      </c>
      <c r="AD311">
        <v>0</v>
      </c>
      <c r="AE311">
        <v>10419.43</v>
      </c>
      <c r="AF311">
        <v>0</v>
      </c>
      <c r="AG311">
        <v>0</v>
      </c>
      <c r="AH311">
        <v>0</v>
      </c>
      <c r="AI311">
        <v>1</v>
      </c>
      <c r="AJ311">
        <v>1</v>
      </c>
      <c r="AK311">
        <v>1</v>
      </c>
      <c r="AL311">
        <v>1</v>
      </c>
      <c r="AN311">
        <v>0</v>
      </c>
      <c r="AO311">
        <v>1</v>
      </c>
      <c r="AP311">
        <v>0</v>
      </c>
      <c r="AQ311">
        <v>0</v>
      </c>
      <c r="AR311">
        <v>0</v>
      </c>
      <c r="AS311" t="s">
        <v>3</v>
      </c>
      <c r="AT311">
        <v>-3.6999999999999998E-2</v>
      </c>
      <c r="AU311" t="s">
        <v>3</v>
      </c>
      <c r="AV311">
        <v>0</v>
      </c>
      <c r="AW311">
        <v>2</v>
      </c>
      <c r="AX311">
        <v>52432107</v>
      </c>
      <c r="AY311">
        <v>1</v>
      </c>
      <c r="AZ311">
        <v>6144</v>
      </c>
      <c r="BA311">
        <v>299</v>
      </c>
      <c r="BB311">
        <v>0</v>
      </c>
      <c r="BC311">
        <v>0</v>
      </c>
      <c r="BD311">
        <v>0</v>
      </c>
      <c r="BE311">
        <v>0</v>
      </c>
      <c r="BF311">
        <v>0</v>
      </c>
      <c r="BG311">
        <v>0</v>
      </c>
      <c r="BH311">
        <v>0</v>
      </c>
      <c r="BI311">
        <v>0</v>
      </c>
      <c r="BJ311">
        <v>0</v>
      </c>
      <c r="BK311">
        <v>0</v>
      </c>
      <c r="BL311">
        <v>0</v>
      </c>
      <c r="BM311">
        <v>0</v>
      </c>
      <c r="BN311">
        <v>0</v>
      </c>
      <c r="BO311">
        <v>0</v>
      </c>
      <c r="BP311">
        <v>0</v>
      </c>
      <c r="BQ311">
        <v>0</v>
      </c>
      <c r="BR311">
        <v>0</v>
      </c>
      <c r="BS311">
        <v>0</v>
      </c>
      <c r="BT311">
        <v>0</v>
      </c>
      <c r="BU311">
        <v>0</v>
      </c>
      <c r="BV311">
        <v>0</v>
      </c>
      <c r="BW311">
        <v>0</v>
      </c>
      <c r="CX311">
        <f>Y311*Source!I277</f>
        <v>-1.48E-3</v>
      </c>
      <c r="CY311">
        <f t="shared" si="22"/>
        <v>10419.43</v>
      </c>
      <c r="CZ311">
        <f t="shared" si="23"/>
        <v>10419.43</v>
      </c>
      <c r="DA311">
        <f t="shared" si="24"/>
        <v>1</v>
      </c>
      <c r="DB311">
        <f t="shared" si="20"/>
        <v>-385.52</v>
      </c>
      <c r="DC311">
        <f t="shared" si="21"/>
        <v>0</v>
      </c>
    </row>
    <row r="312" spans="1:107" x14ac:dyDescent="0.2">
      <c r="A312">
        <f>ROW(Source!A277)</f>
        <v>277</v>
      </c>
      <c r="B312">
        <v>52430918</v>
      </c>
      <c r="C312">
        <v>52432089</v>
      </c>
      <c r="D312">
        <v>51868609</v>
      </c>
      <c r="E312">
        <v>1</v>
      </c>
      <c r="F312">
        <v>1</v>
      </c>
      <c r="G312">
        <v>27</v>
      </c>
      <c r="H312">
        <v>3</v>
      </c>
      <c r="I312" t="s">
        <v>95</v>
      </c>
      <c r="J312" t="s">
        <v>97</v>
      </c>
      <c r="K312" t="s">
        <v>96</v>
      </c>
      <c r="L312">
        <v>1339</v>
      </c>
      <c r="N312">
        <v>1007</v>
      </c>
      <c r="O312" t="s">
        <v>28</v>
      </c>
      <c r="P312" t="s">
        <v>28</v>
      </c>
      <c r="Q312">
        <v>1</v>
      </c>
      <c r="W312">
        <v>1</v>
      </c>
      <c r="X312">
        <v>395141172</v>
      </c>
      <c r="Y312">
        <v>-5</v>
      </c>
      <c r="AA312">
        <v>3040.38</v>
      </c>
      <c r="AB312">
        <v>0</v>
      </c>
      <c r="AC312">
        <v>0</v>
      </c>
      <c r="AD312">
        <v>0</v>
      </c>
      <c r="AE312">
        <v>3040.38</v>
      </c>
      <c r="AF312">
        <v>0</v>
      </c>
      <c r="AG312">
        <v>0</v>
      </c>
      <c r="AH312">
        <v>0</v>
      </c>
      <c r="AI312">
        <v>1</v>
      </c>
      <c r="AJ312">
        <v>1</v>
      </c>
      <c r="AK312">
        <v>1</v>
      </c>
      <c r="AL312">
        <v>1</v>
      </c>
      <c r="AN312">
        <v>0</v>
      </c>
      <c r="AO312">
        <v>1</v>
      </c>
      <c r="AP312">
        <v>0</v>
      </c>
      <c r="AQ312">
        <v>0</v>
      </c>
      <c r="AR312">
        <v>0</v>
      </c>
      <c r="AS312" t="s">
        <v>3</v>
      </c>
      <c r="AT312">
        <v>-5</v>
      </c>
      <c r="AU312" t="s">
        <v>3</v>
      </c>
      <c r="AV312">
        <v>0</v>
      </c>
      <c r="AW312">
        <v>2</v>
      </c>
      <c r="AX312">
        <v>52432108</v>
      </c>
      <c r="AY312">
        <v>1</v>
      </c>
      <c r="AZ312">
        <v>6144</v>
      </c>
      <c r="BA312">
        <v>300</v>
      </c>
      <c r="BB312">
        <v>0</v>
      </c>
      <c r="BC312">
        <v>0</v>
      </c>
      <c r="BD312">
        <v>0</v>
      </c>
      <c r="BE312">
        <v>0</v>
      </c>
      <c r="BF312">
        <v>0</v>
      </c>
      <c r="BG312">
        <v>0</v>
      </c>
      <c r="BH312">
        <v>0</v>
      </c>
      <c r="BI312">
        <v>0</v>
      </c>
      <c r="BJ312">
        <v>0</v>
      </c>
      <c r="BK312">
        <v>0</v>
      </c>
      <c r="BL312">
        <v>0</v>
      </c>
      <c r="BM312">
        <v>0</v>
      </c>
      <c r="BN312">
        <v>0</v>
      </c>
      <c r="BO312">
        <v>0</v>
      </c>
      <c r="BP312">
        <v>0</v>
      </c>
      <c r="BQ312">
        <v>0</v>
      </c>
      <c r="BR312">
        <v>0</v>
      </c>
      <c r="BS312">
        <v>0</v>
      </c>
      <c r="BT312">
        <v>0</v>
      </c>
      <c r="BU312">
        <v>0</v>
      </c>
      <c r="BV312">
        <v>0</v>
      </c>
      <c r="BW312">
        <v>0</v>
      </c>
      <c r="CX312">
        <f>Y312*Source!I277</f>
        <v>-0.2</v>
      </c>
      <c r="CY312">
        <f t="shared" si="22"/>
        <v>3040.38</v>
      </c>
      <c r="CZ312">
        <f t="shared" si="23"/>
        <v>3040.38</v>
      </c>
      <c r="DA312">
        <f t="shared" si="24"/>
        <v>1</v>
      </c>
      <c r="DB312">
        <f t="shared" si="20"/>
        <v>-15201.9</v>
      </c>
      <c r="DC312">
        <f t="shared" si="21"/>
        <v>0</v>
      </c>
    </row>
    <row r="313" spans="1:107" x14ac:dyDescent="0.2">
      <c r="A313">
        <f>ROW(Source!A277)</f>
        <v>277</v>
      </c>
      <c r="B313">
        <v>52430918</v>
      </c>
      <c r="C313">
        <v>52432089</v>
      </c>
      <c r="D313">
        <v>51868749</v>
      </c>
      <c r="E313">
        <v>1</v>
      </c>
      <c r="F313">
        <v>1</v>
      </c>
      <c r="G313">
        <v>27</v>
      </c>
      <c r="H313">
        <v>3</v>
      </c>
      <c r="I313" t="s">
        <v>457</v>
      </c>
      <c r="J313" t="s">
        <v>458</v>
      </c>
      <c r="K313" t="s">
        <v>459</v>
      </c>
      <c r="L313">
        <v>1339</v>
      </c>
      <c r="N313">
        <v>1007</v>
      </c>
      <c r="O313" t="s">
        <v>28</v>
      </c>
      <c r="P313" t="s">
        <v>28</v>
      </c>
      <c r="Q313">
        <v>1</v>
      </c>
      <c r="W313">
        <v>0</v>
      </c>
      <c r="X313">
        <v>416525707</v>
      </c>
      <c r="Y313">
        <v>1.4999999999999999E-2</v>
      </c>
      <c r="AA313">
        <v>3323.4</v>
      </c>
      <c r="AB313">
        <v>0</v>
      </c>
      <c r="AC313">
        <v>0</v>
      </c>
      <c r="AD313">
        <v>0</v>
      </c>
      <c r="AE313">
        <v>3323.4</v>
      </c>
      <c r="AF313">
        <v>0</v>
      </c>
      <c r="AG313">
        <v>0</v>
      </c>
      <c r="AH313">
        <v>0</v>
      </c>
      <c r="AI313">
        <v>1</v>
      </c>
      <c r="AJ313">
        <v>1</v>
      </c>
      <c r="AK313">
        <v>1</v>
      </c>
      <c r="AL313">
        <v>1</v>
      </c>
      <c r="AN313">
        <v>0</v>
      </c>
      <c r="AO313">
        <v>1</v>
      </c>
      <c r="AP313">
        <v>0</v>
      </c>
      <c r="AQ313">
        <v>0</v>
      </c>
      <c r="AR313">
        <v>0</v>
      </c>
      <c r="AS313" t="s">
        <v>3</v>
      </c>
      <c r="AT313">
        <v>1.4999999999999999E-2</v>
      </c>
      <c r="AU313" t="s">
        <v>3</v>
      </c>
      <c r="AV313">
        <v>0</v>
      </c>
      <c r="AW313">
        <v>2</v>
      </c>
      <c r="AX313">
        <v>52432109</v>
      </c>
      <c r="AY313">
        <v>1</v>
      </c>
      <c r="AZ313">
        <v>0</v>
      </c>
      <c r="BA313">
        <v>301</v>
      </c>
      <c r="BB313">
        <v>0</v>
      </c>
      <c r="BC313">
        <v>0</v>
      </c>
      <c r="BD313">
        <v>0</v>
      </c>
      <c r="BE313">
        <v>0</v>
      </c>
      <c r="BF313">
        <v>0</v>
      </c>
      <c r="BG313">
        <v>0</v>
      </c>
      <c r="BH313">
        <v>0</v>
      </c>
      <c r="BI313">
        <v>0</v>
      </c>
      <c r="BJ313">
        <v>0</v>
      </c>
      <c r="BK313">
        <v>0</v>
      </c>
      <c r="BL313">
        <v>0</v>
      </c>
      <c r="BM313">
        <v>0</v>
      </c>
      <c r="BN313">
        <v>0</v>
      </c>
      <c r="BO313">
        <v>0</v>
      </c>
      <c r="BP313">
        <v>0</v>
      </c>
      <c r="BQ313">
        <v>0</v>
      </c>
      <c r="BR313">
        <v>0</v>
      </c>
      <c r="BS313">
        <v>0</v>
      </c>
      <c r="BT313">
        <v>0</v>
      </c>
      <c r="BU313">
        <v>0</v>
      </c>
      <c r="BV313">
        <v>0</v>
      </c>
      <c r="BW313">
        <v>0</v>
      </c>
      <c r="CX313">
        <f>Y313*Source!I277</f>
        <v>5.9999999999999995E-4</v>
      </c>
      <c r="CY313">
        <f t="shared" si="22"/>
        <v>3323.4</v>
      </c>
      <c r="CZ313">
        <f t="shared" si="23"/>
        <v>3323.4</v>
      </c>
      <c r="DA313">
        <f t="shared" si="24"/>
        <v>1</v>
      </c>
      <c r="DB313">
        <f t="shared" si="20"/>
        <v>49.85</v>
      </c>
      <c r="DC313">
        <f t="shared" si="21"/>
        <v>0</v>
      </c>
    </row>
    <row r="314" spans="1:107" x14ac:dyDescent="0.2">
      <c r="A314">
        <f>ROW(Source!A277)</f>
        <v>277</v>
      </c>
      <c r="B314">
        <v>52430918</v>
      </c>
      <c r="C314">
        <v>52432089</v>
      </c>
      <c r="D314">
        <v>0</v>
      </c>
      <c r="E314">
        <v>27</v>
      </c>
      <c r="F314">
        <v>1</v>
      </c>
      <c r="G314">
        <v>27</v>
      </c>
      <c r="H314">
        <v>3</v>
      </c>
      <c r="I314" t="s">
        <v>104</v>
      </c>
      <c r="J314" t="s">
        <v>3</v>
      </c>
      <c r="K314" t="s">
        <v>105</v>
      </c>
      <c r="L314">
        <v>1354</v>
      </c>
      <c r="N314">
        <v>1010</v>
      </c>
      <c r="O314" t="s">
        <v>106</v>
      </c>
      <c r="P314" t="s">
        <v>106</v>
      </c>
      <c r="Q314">
        <v>1</v>
      </c>
      <c r="W314">
        <v>0</v>
      </c>
      <c r="X314">
        <v>-292158938</v>
      </c>
      <c r="Y314">
        <v>25</v>
      </c>
      <c r="AA314">
        <v>17250</v>
      </c>
      <c r="AB314">
        <v>0</v>
      </c>
      <c r="AC314">
        <v>0</v>
      </c>
      <c r="AD314">
        <v>0</v>
      </c>
      <c r="AE314">
        <v>17250</v>
      </c>
      <c r="AF314">
        <v>0</v>
      </c>
      <c r="AG314">
        <v>0</v>
      </c>
      <c r="AH314">
        <v>0</v>
      </c>
      <c r="AI314">
        <v>1</v>
      </c>
      <c r="AJ314">
        <v>1</v>
      </c>
      <c r="AK314">
        <v>1</v>
      </c>
      <c r="AL314">
        <v>1</v>
      </c>
      <c r="AN314">
        <v>0</v>
      </c>
      <c r="AO314">
        <v>0</v>
      </c>
      <c r="AP314">
        <v>0</v>
      </c>
      <c r="AQ314">
        <v>0</v>
      </c>
      <c r="AR314">
        <v>0</v>
      </c>
      <c r="AS314" t="s">
        <v>3</v>
      </c>
      <c r="AT314">
        <v>25</v>
      </c>
      <c r="AU314" t="s">
        <v>3</v>
      </c>
      <c r="AV314">
        <v>0</v>
      </c>
      <c r="AW314">
        <v>1</v>
      </c>
      <c r="AX314">
        <v>-1</v>
      </c>
      <c r="AY314">
        <v>0</v>
      </c>
      <c r="AZ314">
        <v>0</v>
      </c>
      <c r="BA314" t="s">
        <v>3</v>
      </c>
      <c r="BB314">
        <v>0</v>
      </c>
      <c r="BC314">
        <v>0</v>
      </c>
      <c r="BD314">
        <v>0</v>
      </c>
      <c r="BE314">
        <v>0</v>
      </c>
      <c r="BF314">
        <v>0</v>
      </c>
      <c r="BG314">
        <v>0</v>
      </c>
      <c r="BH314">
        <v>0</v>
      </c>
      <c r="BI314">
        <v>0</v>
      </c>
      <c r="BJ314">
        <v>0</v>
      </c>
      <c r="BK314">
        <v>0</v>
      </c>
      <c r="BL314">
        <v>0</v>
      </c>
      <c r="BM314">
        <v>0</v>
      </c>
      <c r="BN314">
        <v>0</v>
      </c>
      <c r="BO314">
        <v>0</v>
      </c>
      <c r="BP314">
        <v>0</v>
      </c>
      <c r="BQ314">
        <v>0</v>
      </c>
      <c r="BR314">
        <v>0</v>
      </c>
      <c r="BS314">
        <v>0</v>
      </c>
      <c r="BT314">
        <v>0</v>
      </c>
      <c r="BU314">
        <v>0</v>
      </c>
      <c r="BV314">
        <v>0</v>
      </c>
      <c r="BW314">
        <v>0</v>
      </c>
      <c r="CX314">
        <f>Y314*Source!I277</f>
        <v>1</v>
      </c>
      <c r="CY314">
        <f t="shared" si="22"/>
        <v>17250</v>
      </c>
      <c r="CZ314">
        <f t="shared" si="23"/>
        <v>17250</v>
      </c>
      <c r="DA314">
        <f t="shared" si="24"/>
        <v>1</v>
      </c>
      <c r="DB314">
        <f t="shared" si="20"/>
        <v>431250</v>
      </c>
      <c r="DC314">
        <f t="shared" si="21"/>
        <v>0</v>
      </c>
    </row>
    <row r="315" spans="1:107" x14ac:dyDescent="0.2">
      <c r="A315">
        <f>ROW(Source!A277)</f>
        <v>277</v>
      </c>
      <c r="B315">
        <v>52430918</v>
      </c>
      <c r="C315">
        <v>52432089</v>
      </c>
      <c r="D315">
        <v>0</v>
      </c>
      <c r="E315">
        <v>27</v>
      </c>
      <c r="F315">
        <v>1</v>
      </c>
      <c r="G315">
        <v>27</v>
      </c>
      <c r="H315">
        <v>3</v>
      </c>
      <c r="I315" t="s">
        <v>104</v>
      </c>
      <c r="J315" t="s">
        <v>3</v>
      </c>
      <c r="K315" t="s">
        <v>110</v>
      </c>
      <c r="L315">
        <v>1354</v>
      </c>
      <c r="N315">
        <v>1010</v>
      </c>
      <c r="O315" t="s">
        <v>106</v>
      </c>
      <c r="P315" t="s">
        <v>106</v>
      </c>
      <c r="Q315">
        <v>1</v>
      </c>
      <c r="W315">
        <v>0</v>
      </c>
      <c r="X315">
        <v>774189156</v>
      </c>
      <c r="Y315">
        <v>25</v>
      </c>
      <c r="AA315">
        <v>44166.67</v>
      </c>
      <c r="AB315">
        <v>0</v>
      </c>
      <c r="AC315">
        <v>0</v>
      </c>
      <c r="AD315">
        <v>0</v>
      </c>
      <c r="AE315">
        <v>44166.67</v>
      </c>
      <c r="AF315">
        <v>0</v>
      </c>
      <c r="AG315">
        <v>0</v>
      </c>
      <c r="AH315">
        <v>0</v>
      </c>
      <c r="AI315">
        <v>1</v>
      </c>
      <c r="AJ315">
        <v>1</v>
      </c>
      <c r="AK315">
        <v>1</v>
      </c>
      <c r="AL315">
        <v>1</v>
      </c>
      <c r="AN315">
        <v>0</v>
      </c>
      <c r="AO315">
        <v>0</v>
      </c>
      <c r="AP315">
        <v>0</v>
      </c>
      <c r="AQ315">
        <v>0</v>
      </c>
      <c r="AR315">
        <v>0</v>
      </c>
      <c r="AS315" t="s">
        <v>3</v>
      </c>
      <c r="AT315">
        <v>25</v>
      </c>
      <c r="AU315" t="s">
        <v>3</v>
      </c>
      <c r="AV315">
        <v>0</v>
      </c>
      <c r="AW315">
        <v>1</v>
      </c>
      <c r="AX315">
        <v>-1</v>
      </c>
      <c r="AY315">
        <v>0</v>
      </c>
      <c r="AZ315">
        <v>0</v>
      </c>
      <c r="BA315" t="s">
        <v>3</v>
      </c>
      <c r="BB315">
        <v>0</v>
      </c>
      <c r="BC315">
        <v>0</v>
      </c>
      <c r="BD315">
        <v>0</v>
      </c>
      <c r="BE315">
        <v>0</v>
      </c>
      <c r="BF315">
        <v>0</v>
      </c>
      <c r="BG315">
        <v>0</v>
      </c>
      <c r="BH315">
        <v>0</v>
      </c>
      <c r="BI315">
        <v>0</v>
      </c>
      <c r="BJ315">
        <v>0</v>
      </c>
      <c r="BK315">
        <v>0</v>
      </c>
      <c r="BL315">
        <v>0</v>
      </c>
      <c r="BM315">
        <v>0</v>
      </c>
      <c r="BN315">
        <v>0</v>
      </c>
      <c r="BO315">
        <v>0</v>
      </c>
      <c r="BP315">
        <v>0</v>
      </c>
      <c r="BQ315">
        <v>0</v>
      </c>
      <c r="BR315">
        <v>0</v>
      </c>
      <c r="BS315">
        <v>0</v>
      </c>
      <c r="BT315">
        <v>0</v>
      </c>
      <c r="BU315">
        <v>0</v>
      </c>
      <c r="BV315">
        <v>0</v>
      </c>
      <c r="BW315">
        <v>0</v>
      </c>
      <c r="CX315">
        <f>Y315*Source!I277</f>
        <v>1</v>
      </c>
      <c r="CY315">
        <f t="shared" si="22"/>
        <v>44166.67</v>
      </c>
      <c r="CZ315">
        <f t="shared" si="23"/>
        <v>44166.67</v>
      </c>
      <c r="DA315">
        <f t="shared" si="24"/>
        <v>1</v>
      </c>
      <c r="DB315">
        <f t="shared" si="20"/>
        <v>1104166.75</v>
      </c>
      <c r="DC315">
        <f t="shared" si="21"/>
        <v>0</v>
      </c>
    </row>
    <row r="316" spans="1:107" x14ac:dyDescent="0.2">
      <c r="A316">
        <f>ROW(Source!A277)</f>
        <v>277</v>
      </c>
      <c r="B316">
        <v>52430918</v>
      </c>
      <c r="C316">
        <v>52432089</v>
      </c>
      <c r="D316">
        <v>0</v>
      </c>
      <c r="E316">
        <v>27</v>
      </c>
      <c r="F316">
        <v>1</v>
      </c>
      <c r="G316">
        <v>27</v>
      </c>
      <c r="H316">
        <v>3</v>
      </c>
      <c r="I316" t="s">
        <v>104</v>
      </c>
      <c r="J316" t="s">
        <v>3</v>
      </c>
      <c r="K316" t="s">
        <v>206</v>
      </c>
      <c r="L316">
        <v>1354</v>
      </c>
      <c r="N316">
        <v>1010</v>
      </c>
      <c r="O316" t="s">
        <v>106</v>
      </c>
      <c r="P316" t="s">
        <v>106</v>
      </c>
      <c r="Q316">
        <v>1</v>
      </c>
      <c r="W316">
        <v>0</v>
      </c>
      <c r="X316">
        <v>-696338570</v>
      </c>
      <c r="Y316">
        <v>25</v>
      </c>
      <c r="AA316">
        <v>48916.67</v>
      </c>
      <c r="AB316">
        <v>0</v>
      </c>
      <c r="AC316">
        <v>0</v>
      </c>
      <c r="AD316">
        <v>0</v>
      </c>
      <c r="AE316">
        <v>48916.67</v>
      </c>
      <c r="AF316">
        <v>0</v>
      </c>
      <c r="AG316">
        <v>0</v>
      </c>
      <c r="AH316">
        <v>0</v>
      </c>
      <c r="AI316">
        <v>1</v>
      </c>
      <c r="AJ316">
        <v>1</v>
      </c>
      <c r="AK316">
        <v>1</v>
      </c>
      <c r="AL316">
        <v>1</v>
      </c>
      <c r="AN316">
        <v>0</v>
      </c>
      <c r="AO316">
        <v>0</v>
      </c>
      <c r="AP316">
        <v>0</v>
      </c>
      <c r="AQ316">
        <v>0</v>
      </c>
      <c r="AR316">
        <v>0</v>
      </c>
      <c r="AS316" t="s">
        <v>3</v>
      </c>
      <c r="AT316">
        <v>25</v>
      </c>
      <c r="AU316" t="s">
        <v>3</v>
      </c>
      <c r="AV316">
        <v>0</v>
      </c>
      <c r="AW316">
        <v>1</v>
      </c>
      <c r="AX316">
        <v>-1</v>
      </c>
      <c r="AY316">
        <v>0</v>
      </c>
      <c r="AZ316">
        <v>0</v>
      </c>
      <c r="BA316" t="s">
        <v>3</v>
      </c>
      <c r="BB316">
        <v>0</v>
      </c>
      <c r="BC316">
        <v>0</v>
      </c>
      <c r="BD316">
        <v>0</v>
      </c>
      <c r="BE316">
        <v>0</v>
      </c>
      <c r="BF316">
        <v>0</v>
      </c>
      <c r="BG316">
        <v>0</v>
      </c>
      <c r="BH316">
        <v>0</v>
      </c>
      <c r="BI316">
        <v>0</v>
      </c>
      <c r="BJ316">
        <v>0</v>
      </c>
      <c r="BK316">
        <v>0</v>
      </c>
      <c r="BL316">
        <v>0</v>
      </c>
      <c r="BM316">
        <v>0</v>
      </c>
      <c r="BN316">
        <v>0</v>
      </c>
      <c r="BO316">
        <v>0</v>
      </c>
      <c r="BP316">
        <v>0</v>
      </c>
      <c r="BQ316">
        <v>0</v>
      </c>
      <c r="BR316">
        <v>0</v>
      </c>
      <c r="BS316">
        <v>0</v>
      </c>
      <c r="BT316">
        <v>0</v>
      </c>
      <c r="BU316">
        <v>0</v>
      </c>
      <c r="BV316">
        <v>0</v>
      </c>
      <c r="BW316">
        <v>0</v>
      </c>
      <c r="CX316">
        <f>Y316*Source!I277</f>
        <v>1</v>
      </c>
      <c r="CY316">
        <f t="shared" si="22"/>
        <v>48916.67</v>
      </c>
      <c r="CZ316">
        <f t="shared" si="23"/>
        <v>48916.67</v>
      </c>
      <c r="DA316">
        <f t="shared" si="24"/>
        <v>1</v>
      </c>
      <c r="DB316">
        <f t="shared" si="20"/>
        <v>1222916.75</v>
      </c>
      <c r="DC316">
        <f t="shared" si="21"/>
        <v>0</v>
      </c>
    </row>
    <row r="317" spans="1:107" x14ac:dyDescent="0.2">
      <c r="A317">
        <f>ROW(Source!A277)</f>
        <v>277</v>
      </c>
      <c r="B317">
        <v>52430918</v>
      </c>
      <c r="C317">
        <v>52432089</v>
      </c>
      <c r="D317">
        <v>0</v>
      </c>
      <c r="E317">
        <v>0</v>
      </c>
      <c r="F317">
        <v>1</v>
      </c>
      <c r="G317">
        <v>27</v>
      </c>
      <c r="H317">
        <v>3</v>
      </c>
      <c r="I317" t="s">
        <v>104</v>
      </c>
      <c r="J317" t="s">
        <v>3</v>
      </c>
      <c r="K317" t="s">
        <v>209</v>
      </c>
      <c r="L317">
        <v>1354</v>
      </c>
      <c r="N317">
        <v>1010</v>
      </c>
      <c r="O317" t="s">
        <v>106</v>
      </c>
      <c r="P317" t="s">
        <v>106</v>
      </c>
      <c r="Q317">
        <v>1</v>
      </c>
      <c r="W317">
        <v>0</v>
      </c>
      <c r="X317">
        <v>1617365214</v>
      </c>
      <c r="Y317">
        <v>25</v>
      </c>
      <c r="AA317">
        <v>10833.33</v>
      </c>
      <c r="AB317">
        <v>0</v>
      </c>
      <c r="AC317">
        <v>0</v>
      </c>
      <c r="AD317">
        <v>0</v>
      </c>
      <c r="AE317">
        <v>10833.33</v>
      </c>
      <c r="AF317">
        <v>0</v>
      </c>
      <c r="AG317">
        <v>0</v>
      </c>
      <c r="AH317">
        <v>0</v>
      </c>
      <c r="AI317">
        <v>1</v>
      </c>
      <c r="AJ317">
        <v>1</v>
      </c>
      <c r="AK317">
        <v>1</v>
      </c>
      <c r="AL317">
        <v>1</v>
      </c>
      <c r="AN317">
        <v>0</v>
      </c>
      <c r="AO317">
        <v>0</v>
      </c>
      <c r="AP317">
        <v>0</v>
      </c>
      <c r="AQ317">
        <v>0</v>
      </c>
      <c r="AR317">
        <v>0</v>
      </c>
      <c r="AS317" t="s">
        <v>3</v>
      </c>
      <c r="AT317">
        <v>25</v>
      </c>
      <c r="AU317" t="s">
        <v>3</v>
      </c>
      <c r="AV317">
        <v>0</v>
      </c>
      <c r="AW317">
        <v>1</v>
      </c>
      <c r="AX317">
        <v>-1</v>
      </c>
      <c r="AY317">
        <v>0</v>
      </c>
      <c r="AZ317">
        <v>0</v>
      </c>
      <c r="BA317" t="s">
        <v>3</v>
      </c>
      <c r="BB317">
        <v>0</v>
      </c>
      <c r="BC317">
        <v>0</v>
      </c>
      <c r="BD317">
        <v>0</v>
      </c>
      <c r="BE317">
        <v>0</v>
      </c>
      <c r="BF317">
        <v>0</v>
      </c>
      <c r="BG317">
        <v>0</v>
      </c>
      <c r="BH317">
        <v>0</v>
      </c>
      <c r="BI317">
        <v>0</v>
      </c>
      <c r="BJ317">
        <v>0</v>
      </c>
      <c r="BK317">
        <v>0</v>
      </c>
      <c r="BL317">
        <v>0</v>
      </c>
      <c r="BM317">
        <v>0</v>
      </c>
      <c r="BN317">
        <v>0</v>
      </c>
      <c r="BO317">
        <v>0</v>
      </c>
      <c r="BP317">
        <v>0</v>
      </c>
      <c r="BQ317">
        <v>0</v>
      </c>
      <c r="BR317">
        <v>0</v>
      </c>
      <c r="BS317">
        <v>0</v>
      </c>
      <c r="BT317">
        <v>0</v>
      </c>
      <c r="BU317">
        <v>0</v>
      </c>
      <c r="BV317">
        <v>0</v>
      </c>
      <c r="BW317">
        <v>0</v>
      </c>
      <c r="CX317">
        <f>Y317*Source!I277</f>
        <v>1</v>
      </c>
      <c r="CY317">
        <f t="shared" si="22"/>
        <v>10833.33</v>
      </c>
      <c r="CZ317">
        <f t="shared" si="23"/>
        <v>10833.33</v>
      </c>
      <c r="DA317">
        <f t="shared" si="24"/>
        <v>1</v>
      </c>
      <c r="DB317">
        <f t="shared" si="20"/>
        <v>270833.25</v>
      </c>
      <c r="DC317">
        <f t="shared" si="21"/>
        <v>0</v>
      </c>
    </row>
    <row r="318" spans="1:107" x14ac:dyDescent="0.2">
      <c r="A318">
        <f>ROW(Source!A323)</f>
        <v>323</v>
      </c>
      <c r="B318">
        <v>52430918</v>
      </c>
      <c r="C318">
        <v>52432742</v>
      </c>
      <c r="D318">
        <v>51848379</v>
      </c>
      <c r="E318">
        <v>27</v>
      </c>
      <c r="F318">
        <v>1</v>
      </c>
      <c r="G318">
        <v>27</v>
      </c>
      <c r="H318">
        <v>1</v>
      </c>
      <c r="I318" t="s">
        <v>378</v>
      </c>
      <c r="J318" t="s">
        <v>3</v>
      </c>
      <c r="K318" t="s">
        <v>379</v>
      </c>
      <c r="L318">
        <v>1191</v>
      </c>
      <c r="N318">
        <v>1013</v>
      </c>
      <c r="O318" t="s">
        <v>380</v>
      </c>
      <c r="P318" t="s">
        <v>380</v>
      </c>
      <c r="Q318">
        <v>1</v>
      </c>
      <c r="W318">
        <v>0</v>
      </c>
      <c r="X318">
        <v>476480486</v>
      </c>
      <c r="Y318">
        <v>0.97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1</v>
      </c>
      <c r="AJ318">
        <v>1</v>
      </c>
      <c r="AK318">
        <v>1</v>
      </c>
      <c r="AL318">
        <v>1</v>
      </c>
      <c r="AN318">
        <v>0</v>
      </c>
      <c r="AO318">
        <v>1</v>
      </c>
      <c r="AP318">
        <v>0</v>
      </c>
      <c r="AQ318">
        <v>0</v>
      </c>
      <c r="AR318">
        <v>0</v>
      </c>
      <c r="AS318" t="s">
        <v>3</v>
      </c>
      <c r="AT318">
        <v>0.97</v>
      </c>
      <c r="AU318" t="s">
        <v>3</v>
      </c>
      <c r="AV318">
        <v>1</v>
      </c>
      <c r="AW318">
        <v>2</v>
      </c>
      <c r="AX318">
        <v>52432743</v>
      </c>
      <c r="AY318">
        <v>1</v>
      </c>
      <c r="AZ318">
        <v>0</v>
      </c>
      <c r="BA318">
        <v>304</v>
      </c>
      <c r="BB318">
        <v>0</v>
      </c>
      <c r="BC318">
        <v>0</v>
      </c>
      <c r="BD318">
        <v>0</v>
      </c>
      <c r="BE318">
        <v>0</v>
      </c>
      <c r="BF318">
        <v>0</v>
      </c>
      <c r="BG318">
        <v>0</v>
      </c>
      <c r="BH318">
        <v>0</v>
      </c>
      <c r="BI318">
        <v>0</v>
      </c>
      <c r="BJ318">
        <v>0</v>
      </c>
      <c r="BK318">
        <v>0</v>
      </c>
      <c r="BL318">
        <v>0</v>
      </c>
      <c r="BM318">
        <v>0</v>
      </c>
      <c r="BN318">
        <v>0</v>
      </c>
      <c r="BO318">
        <v>0</v>
      </c>
      <c r="BP318">
        <v>0</v>
      </c>
      <c r="BQ318">
        <v>0</v>
      </c>
      <c r="BR318">
        <v>0</v>
      </c>
      <c r="BS318">
        <v>0</v>
      </c>
      <c r="BT318">
        <v>0</v>
      </c>
      <c r="BU318">
        <v>0</v>
      </c>
      <c r="BV318">
        <v>0</v>
      </c>
      <c r="BW318">
        <v>0</v>
      </c>
      <c r="CX318">
        <f>Y318*Source!I323</f>
        <v>21.650400000000001</v>
      </c>
      <c r="CY318">
        <f>AD318</f>
        <v>0</v>
      </c>
      <c r="CZ318">
        <f>AH318</f>
        <v>0</v>
      </c>
      <c r="DA318">
        <f>AL318</f>
        <v>1</v>
      </c>
      <c r="DB318">
        <f t="shared" si="20"/>
        <v>0</v>
      </c>
      <c r="DC318">
        <f t="shared" si="21"/>
        <v>0</v>
      </c>
    </row>
    <row r="319" spans="1:107" x14ac:dyDescent="0.2">
      <c r="A319">
        <f>ROW(Source!A323)</f>
        <v>323</v>
      </c>
      <c r="B319">
        <v>52430918</v>
      </c>
      <c r="C319">
        <v>52432742</v>
      </c>
      <c r="D319">
        <v>51865161</v>
      </c>
      <c r="E319">
        <v>1</v>
      </c>
      <c r="F319">
        <v>1</v>
      </c>
      <c r="G319">
        <v>27</v>
      </c>
      <c r="H319">
        <v>2</v>
      </c>
      <c r="I319" t="s">
        <v>472</v>
      </c>
      <c r="J319" t="s">
        <v>473</v>
      </c>
      <c r="K319" t="s">
        <v>474</v>
      </c>
      <c r="L319">
        <v>1368</v>
      </c>
      <c r="N319">
        <v>1011</v>
      </c>
      <c r="O319" t="s">
        <v>84</v>
      </c>
      <c r="P319" t="s">
        <v>84</v>
      </c>
      <c r="Q319">
        <v>1</v>
      </c>
      <c r="W319">
        <v>0</v>
      </c>
      <c r="X319">
        <v>1170735026</v>
      </c>
      <c r="Y319">
        <v>0.17</v>
      </c>
      <c r="AA319">
        <v>0</v>
      </c>
      <c r="AB319">
        <v>893.38</v>
      </c>
      <c r="AC319">
        <v>438.65</v>
      </c>
      <c r="AD319">
        <v>0</v>
      </c>
      <c r="AE319">
        <v>0</v>
      </c>
      <c r="AF319">
        <v>893.38</v>
      </c>
      <c r="AG319">
        <v>438.65</v>
      </c>
      <c r="AH319">
        <v>0</v>
      </c>
      <c r="AI319">
        <v>1</v>
      </c>
      <c r="AJ319">
        <v>1</v>
      </c>
      <c r="AK319">
        <v>1</v>
      </c>
      <c r="AL319">
        <v>1</v>
      </c>
      <c r="AN319">
        <v>0</v>
      </c>
      <c r="AO319">
        <v>1</v>
      </c>
      <c r="AP319">
        <v>0</v>
      </c>
      <c r="AQ319">
        <v>0</v>
      </c>
      <c r="AR319">
        <v>0</v>
      </c>
      <c r="AS319" t="s">
        <v>3</v>
      </c>
      <c r="AT319">
        <v>0.17</v>
      </c>
      <c r="AU319" t="s">
        <v>3</v>
      </c>
      <c r="AV319">
        <v>0</v>
      </c>
      <c r="AW319">
        <v>2</v>
      </c>
      <c r="AX319">
        <v>52432744</v>
      </c>
      <c r="AY319">
        <v>1</v>
      </c>
      <c r="AZ319">
        <v>0</v>
      </c>
      <c r="BA319">
        <v>305</v>
      </c>
      <c r="BB319">
        <v>0</v>
      </c>
      <c r="BC319">
        <v>0</v>
      </c>
      <c r="BD319">
        <v>0</v>
      </c>
      <c r="BE319">
        <v>0</v>
      </c>
      <c r="BF319">
        <v>0</v>
      </c>
      <c r="BG319">
        <v>0</v>
      </c>
      <c r="BH319">
        <v>0</v>
      </c>
      <c r="BI319">
        <v>0</v>
      </c>
      <c r="BJ319">
        <v>0</v>
      </c>
      <c r="BK319">
        <v>0</v>
      </c>
      <c r="BL319">
        <v>0</v>
      </c>
      <c r="BM319">
        <v>0</v>
      </c>
      <c r="BN319">
        <v>0</v>
      </c>
      <c r="BO319">
        <v>0</v>
      </c>
      <c r="BP319">
        <v>0</v>
      </c>
      <c r="BQ319">
        <v>0</v>
      </c>
      <c r="BR319">
        <v>0</v>
      </c>
      <c r="BS319">
        <v>0</v>
      </c>
      <c r="BT319">
        <v>0</v>
      </c>
      <c r="BU319">
        <v>0</v>
      </c>
      <c r="BV319">
        <v>0</v>
      </c>
      <c r="BW319">
        <v>0</v>
      </c>
      <c r="CX319">
        <f>Y319*Source!I323</f>
        <v>3.7944000000000004</v>
      </c>
      <c r="CY319">
        <f>AB319</f>
        <v>893.38</v>
      </c>
      <c r="CZ319">
        <f>AF319</f>
        <v>893.38</v>
      </c>
      <c r="DA319">
        <f>AJ319</f>
        <v>1</v>
      </c>
      <c r="DB319">
        <f t="shared" si="20"/>
        <v>151.87</v>
      </c>
      <c r="DC319">
        <f t="shared" si="21"/>
        <v>74.569999999999993</v>
      </c>
    </row>
    <row r="320" spans="1:107" x14ac:dyDescent="0.2">
      <c r="A320">
        <f>ROW(Source!A323)</f>
        <v>323</v>
      </c>
      <c r="B320">
        <v>52430918</v>
      </c>
      <c r="C320">
        <v>52432742</v>
      </c>
      <c r="D320">
        <v>51864915</v>
      </c>
      <c r="E320">
        <v>1</v>
      </c>
      <c r="F320">
        <v>1</v>
      </c>
      <c r="G320">
        <v>27</v>
      </c>
      <c r="H320">
        <v>2</v>
      </c>
      <c r="I320" t="s">
        <v>475</v>
      </c>
      <c r="J320" t="s">
        <v>476</v>
      </c>
      <c r="K320" t="s">
        <v>477</v>
      </c>
      <c r="L320">
        <v>1368</v>
      </c>
      <c r="N320">
        <v>1011</v>
      </c>
      <c r="O320" t="s">
        <v>84</v>
      </c>
      <c r="P320" t="s">
        <v>84</v>
      </c>
      <c r="Q320">
        <v>1</v>
      </c>
      <c r="W320">
        <v>0</v>
      </c>
      <c r="X320">
        <v>751834312</v>
      </c>
      <c r="Y320">
        <v>0.17</v>
      </c>
      <c r="AA320">
        <v>0</v>
      </c>
      <c r="AB320">
        <v>967.89</v>
      </c>
      <c r="AC320">
        <v>572.73</v>
      </c>
      <c r="AD320">
        <v>0</v>
      </c>
      <c r="AE320">
        <v>0</v>
      </c>
      <c r="AF320">
        <v>967.89</v>
      </c>
      <c r="AG320">
        <v>572.73</v>
      </c>
      <c r="AH320">
        <v>0</v>
      </c>
      <c r="AI320">
        <v>1</v>
      </c>
      <c r="AJ320">
        <v>1</v>
      </c>
      <c r="AK320">
        <v>1</v>
      </c>
      <c r="AL320">
        <v>1</v>
      </c>
      <c r="AN320">
        <v>0</v>
      </c>
      <c r="AO320">
        <v>1</v>
      </c>
      <c r="AP320">
        <v>0</v>
      </c>
      <c r="AQ320">
        <v>0</v>
      </c>
      <c r="AR320">
        <v>0</v>
      </c>
      <c r="AS320" t="s">
        <v>3</v>
      </c>
      <c r="AT320">
        <v>0.17</v>
      </c>
      <c r="AU320" t="s">
        <v>3</v>
      </c>
      <c r="AV320">
        <v>0</v>
      </c>
      <c r="AW320">
        <v>2</v>
      </c>
      <c r="AX320">
        <v>52432745</v>
      </c>
      <c r="AY320">
        <v>1</v>
      </c>
      <c r="AZ320">
        <v>0</v>
      </c>
      <c r="BA320">
        <v>306</v>
      </c>
      <c r="BB320">
        <v>0</v>
      </c>
      <c r="BC320">
        <v>0</v>
      </c>
      <c r="BD320">
        <v>0</v>
      </c>
      <c r="BE320">
        <v>0</v>
      </c>
      <c r="BF320">
        <v>0</v>
      </c>
      <c r="BG320">
        <v>0</v>
      </c>
      <c r="BH320">
        <v>0</v>
      </c>
      <c r="BI320">
        <v>0</v>
      </c>
      <c r="BJ320">
        <v>0</v>
      </c>
      <c r="BK320">
        <v>0</v>
      </c>
      <c r="BL320">
        <v>0</v>
      </c>
      <c r="BM320">
        <v>0</v>
      </c>
      <c r="BN320">
        <v>0</v>
      </c>
      <c r="BO320">
        <v>0</v>
      </c>
      <c r="BP320">
        <v>0</v>
      </c>
      <c r="BQ320">
        <v>0</v>
      </c>
      <c r="BR320">
        <v>0</v>
      </c>
      <c r="BS320">
        <v>0</v>
      </c>
      <c r="BT320">
        <v>0</v>
      </c>
      <c r="BU320">
        <v>0</v>
      </c>
      <c r="BV320">
        <v>0</v>
      </c>
      <c r="BW320">
        <v>0</v>
      </c>
      <c r="CX320">
        <f>Y320*Source!I323</f>
        <v>3.7944000000000004</v>
      </c>
      <c r="CY320">
        <f>AB320</f>
        <v>967.89</v>
      </c>
      <c r="CZ320">
        <f>AF320</f>
        <v>967.89</v>
      </c>
      <c r="DA320">
        <f>AJ320</f>
        <v>1</v>
      </c>
      <c r="DB320">
        <f t="shared" si="20"/>
        <v>164.54</v>
      </c>
      <c r="DC320">
        <f t="shared" si="21"/>
        <v>97.36</v>
      </c>
    </row>
    <row r="321" spans="1:107" x14ac:dyDescent="0.2">
      <c r="A321">
        <f>ROW(Source!A323)</f>
        <v>323</v>
      </c>
      <c r="B321">
        <v>52430918</v>
      </c>
      <c r="C321">
        <v>52432742</v>
      </c>
      <c r="D321">
        <v>51865037</v>
      </c>
      <c r="E321">
        <v>1</v>
      </c>
      <c r="F321">
        <v>1</v>
      </c>
      <c r="G321">
        <v>27</v>
      </c>
      <c r="H321">
        <v>2</v>
      </c>
      <c r="I321" t="s">
        <v>478</v>
      </c>
      <c r="J321" t="s">
        <v>479</v>
      </c>
      <c r="K321" t="s">
        <v>480</v>
      </c>
      <c r="L321">
        <v>1368</v>
      </c>
      <c r="N321">
        <v>1011</v>
      </c>
      <c r="O321" t="s">
        <v>84</v>
      </c>
      <c r="P321" t="s">
        <v>84</v>
      </c>
      <c r="Q321">
        <v>1</v>
      </c>
      <c r="W321">
        <v>0</v>
      </c>
      <c r="X321">
        <v>-1029674003</v>
      </c>
      <c r="Y321">
        <v>0.21</v>
      </c>
      <c r="AA321">
        <v>0</v>
      </c>
      <c r="AB321">
        <v>1028.6300000000001</v>
      </c>
      <c r="AC321">
        <v>539.12</v>
      </c>
      <c r="AD321">
        <v>0</v>
      </c>
      <c r="AE321">
        <v>0</v>
      </c>
      <c r="AF321">
        <v>1028.6300000000001</v>
      </c>
      <c r="AG321">
        <v>539.12</v>
      </c>
      <c r="AH321">
        <v>0</v>
      </c>
      <c r="AI321">
        <v>1</v>
      </c>
      <c r="AJ321">
        <v>1</v>
      </c>
      <c r="AK321">
        <v>1</v>
      </c>
      <c r="AL321">
        <v>1</v>
      </c>
      <c r="AN321">
        <v>0</v>
      </c>
      <c r="AO321">
        <v>1</v>
      </c>
      <c r="AP321">
        <v>0</v>
      </c>
      <c r="AQ321">
        <v>0</v>
      </c>
      <c r="AR321">
        <v>0</v>
      </c>
      <c r="AS321" t="s">
        <v>3</v>
      </c>
      <c r="AT321">
        <v>0.21</v>
      </c>
      <c r="AU321" t="s">
        <v>3</v>
      </c>
      <c r="AV321">
        <v>0</v>
      </c>
      <c r="AW321">
        <v>2</v>
      </c>
      <c r="AX321">
        <v>52432746</v>
      </c>
      <c r="AY321">
        <v>1</v>
      </c>
      <c r="AZ321">
        <v>0</v>
      </c>
      <c r="BA321">
        <v>307</v>
      </c>
      <c r="BB321">
        <v>0</v>
      </c>
      <c r="BC321">
        <v>0</v>
      </c>
      <c r="BD321">
        <v>0</v>
      </c>
      <c r="BE321">
        <v>0</v>
      </c>
      <c r="BF321">
        <v>0</v>
      </c>
      <c r="BG321">
        <v>0</v>
      </c>
      <c r="BH321">
        <v>0</v>
      </c>
      <c r="BI321">
        <v>0</v>
      </c>
      <c r="BJ321">
        <v>0</v>
      </c>
      <c r="BK321">
        <v>0</v>
      </c>
      <c r="BL321">
        <v>0</v>
      </c>
      <c r="BM321">
        <v>0</v>
      </c>
      <c r="BN321">
        <v>0</v>
      </c>
      <c r="BO321">
        <v>0</v>
      </c>
      <c r="BP321">
        <v>0</v>
      </c>
      <c r="BQ321">
        <v>0</v>
      </c>
      <c r="BR321">
        <v>0</v>
      </c>
      <c r="BS321">
        <v>0</v>
      </c>
      <c r="BT321">
        <v>0</v>
      </c>
      <c r="BU321">
        <v>0</v>
      </c>
      <c r="BV321">
        <v>0</v>
      </c>
      <c r="BW321">
        <v>0</v>
      </c>
      <c r="CX321">
        <f>Y321*Source!I323</f>
        <v>4.6871999999999998</v>
      </c>
      <c r="CY321">
        <f>AB321</f>
        <v>1028.6300000000001</v>
      </c>
      <c r="CZ321">
        <f>AF321</f>
        <v>1028.6300000000001</v>
      </c>
      <c r="DA321">
        <f>AJ321</f>
        <v>1</v>
      </c>
      <c r="DB321">
        <f t="shared" ref="DB321:DB376" si="25">ROUND(ROUND(AT321*CZ321,2),6)</f>
        <v>216.01</v>
      </c>
      <c r="DC321">
        <f t="shared" ref="DC321:DC376" si="26">ROUND(ROUND(AT321*AG321,2),6)</f>
        <v>113.22</v>
      </c>
    </row>
    <row r="322" spans="1:107" x14ac:dyDescent="0.2">
      <c r="A322">
        <f>ROW(Source!A323)</f>
        <v>323</v>
      </c>
      <c r="B322">
        <v>52430918</v>
      </c>
      <c r="C322">
        <v>52432742</v>
      </c>
      <c r="D322">
        <v>51866988</v>
      </c>
      <c r="E322">
        <v>1</v>
      </c>
      <c r="F322">
        <v>1</v>
      </c>
      <c r="G322">
        <v>27</v>
      </c>
      <c r="H322">
        <v>3</v>
      </c>
      <c r="I322" t="s">
        <v>481</v>
      </c>
      <c r="J322" t="s">
        <v>482</v>
      </c>
      <c r="K322" t="s">
        <v>483</v>
      </c>
      <c r="L322">
        <v>1339</v>
      </c>
      <c r="N322">
        <v>1007</v>
      </c>
      <c r="O322" t="s">
        <v>28</v>
      </c>
      <c r="P322" t="s">
        <v>28</v>
      </c>
      <c r="Q322">
        <v>1</v>
      </c>
      <c r="W322">
        <v>0</v>
      </c>
      <c r="X322">
        <v>998257159</v>
      </c>
      <c r="Y322">
        <v>4.0000000000000001E-3</v>
      </c>
      <c r="AA322">
        <v>2227</v>
      </c>
      <c r="AB322">
        <v>0</v>
      </c>
      <c r="AC322">
        <v>0</v>
      </c>
      <c r="AD322">
        <v>0</v>
      </c>
      <c r="AE322">
        <v>2227</v>
      </c>
      <c r="AF322">
        <v>0</v>
      </c>
      <c r="AG322">
        <v>0</v>
      </c>
      <c r="AH322">
        <v>0</v>
      </c>
      <c r="AI322">
        <v>1</v>
      </c>
      <c r="AJ322">
        <v>1</v>
      </c>
      <c r="AK322">
        <v>1</v>
      </c>
      <c r="AL322">
        <v>1</v>
      </c>
      <c r="AN322">
        <v>0</v>
      </c>
      <c r="AO322">
        <v>1</v>
      </c>
      <c r="AP322">
        <v>0</v>
      </c>
      <c r="AQ322">
        <v>0</v>
      </c>
      <c r="AR322">
        <v>0</v>
      </c>
      <c r="AS322" t="s">
        <v>3</v>
      </c>
      <c r="AT322">
        <v>4.0000000000000001E-3</v>
      </c>
      <c r="AU322" t="s">
        <v>3</v>
      </c>
      <c r="AV322">
        <v>0</v>
      </c>
      <c r="AW322">
        <v>2</v>
      </c>
      <c r="AX322">
        <v>52432747</v>
      </c>
      <c r="AY322">
        <v>1</v>
      </c>
      <c r="AZ322">
        <v>0</v>
      </c>
      <c r="BA322">
        <v>308</v>
      </c>
      <c r="BB322">
        <v>0</v>
      </c>
      <c r="BC322">
        <v>0</v>
      </c>
      <c r="BD322">
        <v>0</v>
      </c>
      <c r="BE322">
        <v>0</v>
      </c>
      <c r="BF322">
        <v>0</v>
      </c>
      <c r="BG322">
        <v>0</v>
      </c>
      <c r="BH322">
        <v>0</v>
      </c>
      <c r="BI322">
        <v>0</v>
      </c>
      <c r="BJ322">
        <v>0</v>
      </c>
      <c r="BK322">
        <v>0</v>
      </c>
      <c r="BL322">
        <v>0</v>
      </c>
      <c r="BM322">
        <v>0</v>
      </c>
      <c r="BN322">
        <v>0</v>
      </c>
      <c r="BO322">
        <v>0</v>
      </c>
      <c r="BP322">
        <v>0</v>
      </c>
      <c r="BQ322">
        <v>0</v>
      </c>
      <c r="BR322">
        <v>0</v>
      </c>
      <c r="BS322">
        <v>0</v>
      </c>
      <c r="BT322">
        <v>0</v>
      </c>
      <c r="BU322">
        <v>0</v>
      </c>
      <c r="BV322">
        <v>0</v>
      </c>
      <c r="BW322">
        <v>0</v>
      </c>
      <c r="CX322">
        <f>Y322*Source!I323</f>
        <v>8.9279999999999998E-2</v>
      </c>
      <c r="CY322">
        <f>AA322</f>
        <v>2227</v>
      </c>
      <c r="CZ322">
        <f>AE322</f>
        <v>2227</v>
      </c>
      <c r="DA322">
        <f>AI322</f>
        <v>1</v>
      </c>
      <c r="DB322">
        <f t="shared" si="25"/>
        <v>8.91</v>
      </c>
      <c r="DC322">
        <f t="shared" si="26"/>
        <v>0</v>
      </c>
    </row>
    <row r="323" spans="1:107" x14ac:dyDescent="0.2">
      <c r="A323">
        <f>ROW(Source!A323)</f>
        <v>323</v>
      </c>
      <c r="B323">
        <v>52430918</v>
      </c>
      <c r="C323">
        <v>52432742</v>
      </c>
      <c r="D323">
        <v>51868874</v>
      </c>
      <c r="E323">
        <v>1</v>
      </c>
      <c r="F323">
        <v>1</v>
      </c>
      <c r="G323">
        <v>27</v>
      </c>
      <c r="H323">
        <v>3</v>
      </c>
      <c r="I323" t="s">
        <v>484</v>
      </c>
      <c r="J323" t="s">
        <v>485</v>
      </c>
      <c r="K323" t="s">
        <v>486</v>
      </c>
      <c r="L323">
        <v>1348</v>
      </c>
      <c r="N323">
        <v>1009</v>
      </c>
      <c r="O323" t="s">
        <v>101</v>
      </c>
      <c r="P323" t="s">
        <v>101</v>
      </c>
      <c r="Q323">
        <v>1000</v>
      </c>
      <c r="W323">
        <v>0</v>
      </c>
      <c r="X323">
        <v>-2114712087</v>
      </c>
      <c r="Y323">
        <v>0.125</v>
      </c>
      <c r="AA323">
        <v>2562.79</v>
      </c>
      <c r="AB323">
        <v>0</v>
      </c>
      <c r="AC323">
        <v>0</v>
      </c>
      <c r="AD323">
        <v>0</v>
      </c>
      <c r="AE323">
        <v>2562.79</v>
      </c>
      <c r="AF323">
        <v>0</v>
      </c>
      <c r="AG323">
        <v>0</v>
      </c>
      <c r="AH323">
        <v>0</v>
      </c>
      <c r="AI323">
        <v>1</v>
      </c>
      <c r="AJ323">
        <v>1</v>
      </c>
      <c r="AK323">
        <v>1</v>
      </c>
      <c r="AL323">
        <v>1</v>
      </c>
      <c r="AN323">
        <v>0</v>
      </c>
      <c r="AO323">
        <v>1</v>
      </c>
      <c r="AP323">
        <v>0</v>
      </c>
      <c r="AQ323">
        <v>0</v>
      </c>
      <c r="AR323">
        <v>0</v>
      </c>
      <c r="AS323" t="s">
        <v>3</v>
      </c>
      <c r="AT323">
        <v>0.125</v>
      </c>
      <c r="AU323" t="s">
        <v>3</v>
      </c>
      <c r="AV323">
        <v>0</v>
      </c>
      <c r="AW323">
        <v>2</v>
      </c>
      <c r="AX323">
        <v>52432748</v>
      </c>
      <c r="AY323">
        <v>1</v>
      </c>
      <c r="AZ323">
        <v>0</v>
      </c>
      <c r="BA323">
        <v>309</v>
      </c>
      <c r="BB323">
        <v>0</v>
      </c>
      <c r="BC323">
        <v>0</v>
      </c>
      <c r="BD323">
        <v>0</v>
      </c>
      <c r="BE323">
        <v>0</v>
      </c>
      <c r="BF323">
        <v>0</v>
      </c>
      <c r="BG323">
        <v>0</v>
      </c>
      <c r="BH323">
        <v>0</v>
      </c>
      <c r="BI323">
        <v>0</v>
      </c>
      <c r="BJ323">
        <v>0</v>
      </c>
      <c r="BK323">
        <v>0</v>
      </c>
      <c r="BL323">
        <v>0</v>
      </c>
      <c r="BM323">
        <v>0</v>
      </c>
      <c r="BN323">
        <v>0</v>
      </c>
      <c r="BO323">
        <v>0</v>
      </c>
      <c r="BP323">
        <v>0</v>
      </c>
      <c r="BQ323">
        <v>0</v>
      </c>
      <c r="BR323">
        <v>0</v>
      </c>
      <c r="BS323">
        <v>0</v>
      </c>
      <c r="BT323">
        <v>0</v>
      </c>
      <c r="BU323">
        <v>0</v>
      </c>
      <c r="BV323">
        <v>0</v>
      </c>
      <c r="BW323">
        <v>0</v>
      </c>
      <c r="CX323">
        <f>Y323*Source!I323</f>
        <v>2.79</v>
      </c>
      <c r="CY323">
        <f>AA323</f>
        <v>2562.79</v>
      </c>
      <c r="CZ323">
        <f>AE323</f>
        <v>2562.79</v>
      </c>
      <c r="DA323">
        <f>AI323</f>
        <v>1</v>
      </c>
      <c r="DB323">
        <f t="shared" si="25"/>
        <v>320.35000000000002</v>
      </c>
      <c r="DC323">
        <f t="shared" si="26"/>
        <v>0</v>
      </c>
    </row>
    <row r="324" spans="1:107" x14ac:dyDescent="0.2">
      <c r="A324">
        <f>ROW(Source!A324)</f>
        <v>324</v>
      </c>
      <c r="B324">
        <v>52430918</v>
      </c>
      <c r="C324">
        <v>52432749</v>
      </c>
      <c r="D324">
        <v>51848379</v>
      </c>
      <c r="E324">
        <v>27</v>
      </c>
      <c r="F324">
        <v>1</v>
      </c>
      <c r="G324">
        <v>27</v>
      </c>
      <c r="H324">
        <v>1</v>
      </c>
      <c r="I324" t="s">
        <v>378</v>
      </c>
      <c r="J324" t="s">
        <v>3</v>
      </c>
      <c r="K324" t="s">
        <v>379</v>
      </c>
      <c r="L324">
        <v>1191</v>
      </c>
      <c r="N324">
        <v>1013</v>
      </c>
      <c r="O324" t="s">
        <v>380</v>
      </c>
      <c r="P324" t="s">
        <v>380</v>
      </c>
      <c r="Q324">
        <v>1</v>
      </c>
      <c r="W324">
        <v>0</v>
      </c>
      <c r="X324">
        <v>476480486</v>
      </c>
      <c r="Y324">
        <v>0.64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1</v>
      </c>
      <c r="AJ324">
        <v>1</v>
      </c>
      <c r="AK324">
        <v>1</v>
      </c>
      <c r="AL324">
        <v>1</v>
      </c>
      <c r="AN324">
        <v>0</v>
      </c>
      <c r="AO324">
        <v>1</v>
      </c>
      <c r="AP324">
        <v>0</v>
      </c>
      <c r="AQ324">
        <v>0</v>
      </c>
      <c r="AR324">
        <v>0</v>
      </c>
      <c r="AS324" t="s">
        <v>3</v>
      </c>
      <c r="AT324">
        <v>0.64</v>
      </c>
      <c r="AU324" t="s">
        <v>3</v>
      </c>
      <c r="AV324">
        <v>1</v>
      </c>
      <c r="AW324">
        <v>2</v>
      </c>
      <c r="AX324">
        <v>52432750</v>
      </c>
      <c r="AY324">
        <v>1</v>
      </c>
      <c r="AZ324">
        <v>0</v>
      </c>
      <c r="BA324">
        <v>310</v>
      </c>
      <c r="BB324">
        <v>0</v>
      </c>
      <c r="BC324">
        <v>0</v>
      </c>
      <c r="BD324">
        <v>0</v>
      </c>
      <c r="BE324">
        <v>0</v>
      </c>
      <c r="BF324">
        <v>0</v>
      </c>
      <c r="BG324">
        <v>0</v>
      </c>
      <c r="BH324">
        <v>0</v>
      </c>
      <c r="BI324">
        <v>0</v>
      </c>
      <c r="BJ324">
        <v>0</v>
      </c>
      <c r="BK324">
        <v>0</v>
      </c>
      <c r="BL324">
        <v>0</v>
      </c>
      <c r="BM324">
        <v>0</v>
      </c>
      <c r="BN324">
        <v>0</v>
      </c>
      <c r="BO324">
        <v>0</v>
      </c>
      <c r="BP324">
        <v>0</v>
      </c>
      <c r="BQ324">
        <v>0</v>
      </c>
      <c r="BR324">
        <v>0</v>
      </c>
      <c r="BS324">
        <v>0</v>
      </c>
      <c r="BT324">
        <v>0</v>
      </c>
      <c r="BU324">
        <v>0</v>
      </c>
      <c r="BV324">
        <v>0</v>
      </c>
      <c r="BW324">
        <v>0</v>
      </c>
      <c r="CX324">
        <f>Y324*Source!I324</f>
        <v>19.2</v>
      </c>
      <c r="CY324">
        <f>AD324</f>
        <v>0</v>
      </c>
      <c r="CZ324">
        <f>AH324</f>
        <v>0</v>
      </c>
      <c r="DA324">
        <f>AL324</f>
        <v>1</v>
      </c>
      <c r="DB324">
        <f t="shared" si="25"/>
        <v>0</v>
      </c>
      <c r="DC324">
        <f t="shared" si="26"/>
        <v>0</v>
      </c>
    </row>
    <row r="325" spans="1:107" x14ac:dyDescent="0.2">
      <c r="A325">
        <f>ROW(Source!A324)</f>
        <v>324</v>
      </c>
      <c r="B325">
        <v>52430918</v>
      </c>
      <c r="C325">
        <v>52432749</v>
      </c>
      <c r="D325">
        <v>51865161</v>
      </c>
      <c r="E325">
        <v>1</v>
      </c>
      <c r="F325">
        <v>1</v>
      </c>
      <c r="G325">
        <v>27</v>
      </c>
      <c r="H325">
        <v>2</v>
      </c>
      <c r="I325" t="s">
        <v>472</v>
      </c>
      <c r="J325" t="s">
        <v>473</v>
      </c>
      <c r="K325" t="s">
        <v>474</v>
      </c>
      <c r="L325">
        <v>1368</v>
      </c>
      <c r="N325">
        <v>1011</v>
      </c>
      <c r="O325" t="s">
        <v>84</v>
      </c>
      <c r="P325" t="s">
        <v>84</v>
      </c>
      <c r="Q325">
        <v>1</v>
      </c>
      <c r="W325">
        <v>0</v>
      </c>
      <c r="X325">
        <v>1170735026</v>
      </c>
      <c r="Y325">
        <v>0.08</v>
      </c>
      <c r="AA325">
        <v>0</v>
      </c>
      <c r="AB325">
        <v>893.38</v>
      </c>
      <c r="AC325">
        <v>438.65</v>
      </c>
      <c r="AD325">
        <v>0</v>
      </c>
      <c r="AE325">
        <v>0</v>
      </c>
      <c r="AF325">
        <v>893.38</v>
      </c>
      <c r="AG325">
        <v>438.65</v>
      </c>
      <c r="AH325">
        <v>0</v>
      </c>
      <c r="AI325">
        <v>1</v>
      </c>
      <c r="AJ325">
        <v>1</v>
      </c>
      <c r="AK325">
        <v>1</v>
      </c>
      <c r="AL325">
        <v>1</v>
      </c>
      <c r="AN325">
        <v>0</v>
      </c>
      <c r="AO325">
        <v>1</v>
      </c>
      <c r="AP325">
        <v>0</v>
      </c>
      <c r="AQ325">
        <v>0</v>
      </c>
      <c r="AR325">
        <v>0</v>
      </c>
      <c r="AS325" t="s">
        <v>3</v>
      </c>
      <c r="AT325">
        <v>0.08</v>
      </c>
      <c r="AU325" t="s">
        <v>3</v>
      </c>
      <c r="AV325">
        <v>0</v>
      </c>
      <c r="AW325">
        <v>2</v>
      </c>
      <c r="AX325">
        <v>52432751</v>
      </c>
      <c r="AY325">
        <v>1</v>
      </c>
      <c r="AZ325">
        <v>0</v>
      </c>
      <c r="BA325">
        <v>311</v>
      </c>
      <c r="BB325">
        <v>0</v>
      </c>
      <c r="BC325">
        <v>0</v>
      </c>
      <c r="BD325">
        <v>0</v>
      </c>
      <c r="BE325">
        <v>0</v>
      </c>
      <c r="BF325">
        <v>0</v>
      </c>
      <c r="BG325">
        <v>0</v>
      </c>
      <c r="BH325">
        <v>0</v>
      </c>
      <c r="BI325">
        <v>0</v>
      </c>
      <c r="BJ325">
        <v>0</v>
      </c>
      <c r="BK325">
        <v>0</v>
      </c>
      <c r="BL325">
        <v>0</v>
      </c>
      <c r="BM325">
        <v>0</v>
      </c>
      <c r="BN325">
        <v>0</v>
      </c>
      <c r="BO325">
        <v>0</v>
      </c>
      <c r="BP325">
        <v>0</v>
      </c>
      <c r="BQ325">
        <v>0</v>
      </c>
      <c r="BR325">
        <v>0</v>
      </c>
      <c r="BS325">
        <v>0</v>
      </c>
      <c r="BT325">
        <v>0</v>
      </c>
      <c r="BU325">
        <v>0</v>
      </c>
      <c r="BV325">
        <v>0</v>
      </c>
      <c r="BW325">
        <v>0</v>
      </c>
      <c r="CX325">
        <f>Y325*Source!I324</f>
        <v>2.4</v>
      </c>
      <c r="CY325">
        <f>AB325</f>
        <v>893.38</v>
      </c>
      <c r="CZ325">
        <f>AF325</f>
        <v>893.38</v>
      </c>
      <c r="DA325">
        <f>AJ325</f>
        <v>1</v>
      </c>
      <c r="DB325">
        <f t="shared" si="25"/>
        <v>71.47</v>
      </c>
      <c r="DC325">
        <f t="shared" si="26"/>
        <v>35.090000000000003</v>
      </c>
    </row>
    <row r="326" spans="1:107" x14ac:dyDescent="0.2">
      <c r="A326">
        <f>ROW(Source!A324)</f>
        <v>324</v>
      </c>
      <c r="B326">
        <v>52430918</v>
      </c>
      <c r="C326">
        <v>52432749</v>
      </c>
      <c r="D326">
        <v>51864915</v>
      </c>
      <c r="E326">
        <v>1</v>
      </c>
      <c r="F326">
        <v>1</v>
      </c>
      <c r="G326">
        <v>27</v>
      </c>
      <c r="H326">
        <v>2</v>
      </c>
      <c r="I326" t="s">
        <v>475</v>
      </c>
      <c r="J326" t="s">
        <v>476</v>
      </c>
      <c r="K326" t="s">
        <v>477</v>
      </c>
      <c r="L326">
        <v>1368</v>
      </c>
      <c r="N326">
        <v>1011</v>
      </c>
      <c r="O326" t="s">
        <v>84</v>
      </c>
      <c r="P326" t="s">
        <v>84</v>
      </c>
      <c r="Q326">
        <v>1</v>
      </c>
      <c r="W326">
        <v>0</v>
      </c>
      <c r="X326">
        <v>751834312</v>
      </c>
      <c r="Y326">
        <v>0.09</v>
      </c>
      <c r="AA326">
        <v>0</v>
      </c>
      <c r="AB326">
        <v>967.89</v>
      </c>
      <c r="AC326">
        <v>572.73</v>
      </c>
      <c r="AD326">
        <v>0</v>
      </c>
      <c r="AE326">
        <v>0</v>
      </c>
      <c r="AF326">
        <v>967.89</v>
      </c>
      <c r="AG326">
        <v>572.73</v>
      </c>
      <c r="AH326">
        <v>0</v>
      </c>
      <c r="AI326">
        <v>1</v>
      </c>
      <c r="AJ326">
        <v>1</v>
      </c>
      <c r="AK326">
        <v>1</v>
      </c>
      <c r="AL326">
        <v>1</v>
      </c>
      <c r="AN326">
        <v>0</v>
      </c>
      <c r="AO326">
        <v>1</v>
      </c>
      <c r="AP326">
        <v>0</v>
      </c>
      <c r="AQ326">
        <v>0</v>
      </c>
      <c r="AR326">
        <v>0</v>
      </c>
      <c r="AS326" t="s">
        <v>3</v>
      </c>
      <c r="AT326">
        <v>0.09</v>
      </c>
      <c r="AU326" t="s">
        <v>3</v>
      </c>
      <c r="AV326">
        <v>0</v>
      </c>
      <c r="AW326">
        <v>2</v>
      </c>
      <c r="AX326">
        <v>52432752</v>
      </c>
      <c r="AY326">
        <v>1</v>
      </c>
      <c r="AZ326">
        <v>0</v>
      </c>
      <c r="BA326">
        <v>312</v>
      </c>
      <c r="BB326">
        <v>0</v>
      </c>
      <c r="BC326">
        <v>0</v>
      </c>
      <c r="BD326">
        <v>0</v>
      </c>
      <c r="BE326">
        <v>0</v>
      </c>
      <c r="BF326">
        <v>0</v>
      </c>
      <c r="BG326">
        <v>0</v>
      </c>
      <c r="BH326">
        <v>0</v>
      </c>
      <c r="BI326">
        <v>0</v>
      </c>
      <c r="BJ326">
        <v>0</v>
      </c>
      <c r="BK326">
        <v>0</v>
      </c>
      <c r="BL326">
        <v>0</v>
      </c>
      <c r="BM326">
        <v>0</v>
      </c>
      <c r="BN326">
        <v>0</v>
      </c>
      <c r="BO326">
        <v>0</v>
      </c>
      <c r="BP326">
        <v>0</v>
      </c>
      <c r="BQ326">
        <v>0</v>
      </c>
      <c r="BR326">
        <v>0</v>
      </c>
      <c r="BS326">
        <v>0</v>
      </c>
      <c r="BT326">
        <v>0</v>
      </c>
      <c r="BU326">
        <v>0</v>
      </c>
      <c r="BV326">
        <v>0</v>
      </c>
      <c r="BW326">
        <v>0</v>
      </c>
      <c r="CX326">
        <f>Y326*Source!I324</f>
        <v>2.6999999999999997</v>
      </c>
      <c r="CY326">
        <f>AB326</f>
        <v>967.89</v>
      </c>
      <c r="CZ326">
        <f>AF326</f>
        <v>967.89</v>
      </c>
      <c r="DA326">
        <f>AJ326</f>
        <v>1</v>
      </c>
      <c r="DB326">
        <f t="shared" si="25"/>
        <v>87.11</v>
      </c>
      <c r="DC326">
        <f t="shared" si="26"/>
        <v>51.55</v>
      </c>
    </row>
    <row r="327" spans="1:107" x14ac:dyDescent="0.2">
      <c r="A327">
        <f>ROW(Source!A324)</f>
        <v>324</v>
      </c>
      <c r="B327">
        <v>52430918</v>
      </c>
      <c r="C327">
        <v>52432749</v>
      </c>
      <c r="D327">
        <v>51865037</v>
      </c>
      <c r="E327">
        <v>1</v>
      </c>
      <c r="F327">
        <v>1</v>
      </c>
      <c r="G327">
        <v>27</v>
      </c>
      <c r="H327">
        <v>2</v>
      </c>
      <c r="I327" t="s">
        <v>478</v>
      </c>
      <c r="J327" t="s">
        <v>479</v>
      </c>
      <c r="K327" t="s">
        <v>480</v>
      </c>
      <c r="L327">
        <v>1368</v>
      </c>
      <c r="N327">
        <v>1011</v>
      </c>
      <c r="O327" t="s">
        <v>84</v>
      </c>
      <c r="P327" t="s">
        <v>84</v>
      </c>
      <c r="Q327">
        <v>1</v>
      </c>
      <c r="W327">
        <v>0</v>
      </c>
      <c r="X327">
        <v>-1029674003</v>
      </c>
      <c r="Y327">
        <v>0.14000000000000001</v>
      </c>
      <c r="AA327">
        <v>0</v>
      </c>
      <c r="AB327">
        <v>1028.6300000000001</v>
      </c>
      <c r="AC327">
        <v>539.12</v>
      </c>
      <c r="AD327">
        <v>0</v>
      </c>
      <c r="AE327">
        <v>0</v>
      </c>
      <c r="AF327">
        <v>1028.6300000000001</v>
      </c>
      <c r="AG327">
        <v>539.12</v>
      </c>
      <c r="AH327">
        <v>0</v>
      </c>
      <c r="AI327">
        <v>1</v>
      </c>
      <c r="AJ327">
        <v>1</v>
      </c>
      <c r="AK327">
        <v>1</v>
      </c>
      <c r="AL327">
        <v>1</v>
      </c>
      <c r="AN327">
        <v>0</v>
      </c>
      <c r="AO327">
        <v>1</v>
      </c>
      <c r="AP327">
        <v>0</v>
      </c>
      <c r="AQ327">
        <v>0</v>
      </c>
      <c r="AR327">
        <v>0</v>
      </c>
      <c r="AS327" t="s">
        <v>3</v>
      </c>
      <c r="AT327">
        <v>0.14000000000000001</v>
      </c>
      <c r="AU327" t="s">
        <v>3</v>
      </c>
      <c r="AV327">
        <v>0</v>
      </c>
      <c r="AW327">
        <v>2</v>
      </c>
      <c r="AX327">
        <v>52432753</v>
      </c>
      <c r="AY327">
        <v>1</v>
      </c>
      <c r="AZ327">
        <v>0</v>
      </c>
      <c r="BA327">
        <v>313</v>
      </c>
      <c r="BB327">
        <v>0</v>
      </c>
      <c r="BC327">
        <v>0</v>
      </c>
      <c r="BD327">
        <v>0</v>
      </c>
      <c r="BE327">
        <v>0</v>
      </c>
      <c r="BF327">
        <v>0</v>
      </c>
      <c r="BG327">
        <v>0</v>
      </c>
      <c r="BH327">
        <v>0</v>
      </c>
      <c r="BI327">
        <v>0</v>
      </c>
      <c r="BJ327">
        <v>0</v>
      </c>
      <c r="BK327">
        <v>0</v>
      </c>
      <c r="BL327">
        <v>0</v>
      </c>
      <c r="BM327">
        <v>0</v>
      </c>
      <c r="BN327">
        <v>0</v>
      </c>
      <c r="BO327">
        <v>0</v>
      </c>
      <c r="BP327">
        <v>0</v>
      </c>
      <c r="BQ327">
        <v>0</v>
      </c>
      <c r="BR327">
        <v>0</v>
      </c>
      <c r="BS327">
        <v>0</v>
      </c>
      <c r="BT327">
        <v>0</v>
      </c>
      <c r="BU327">
        <v>0</v>
      </c>
      <c r="BV327">
        <v>0</v>
      </c>
      <c r="BW327">
        <v>0</v>
      </c>
      <c r="CX327">
        <f>Y327*Source!I324</f>
        <v>4.2</v>
      </c>
      <c r="CY327">
        <f>AB327</f>
        <v>1028.6300000000001</v>
      </c>
      <c r="CZ327">
        <f>AF327</f>
        <v>1028.6300000000001</v>
      </c>
      <c r="DA327">
        <f>AJ327</f>
        <v>1</v>
      </c>
      <c r="DB327">
        <f t="shared" si="25"/>
        <v>144.01</v>
      </c>
      <c r="DC327">
        <f t="shared" si="26"/>
        <v>75.48</v>
      </c>
    </row>
    <row r="328" spans="1:107" x14ac:dyDescent="0.2">
      <c r="A328">
        <f>ROW(Source!A324)</f>
        <v>324</v>
      </c>
      <c r="B328">
        <v>52430918</v>
      </c>
      <c r="C328">
        <v>52432749</v>
      </c>
      <c r="D328">
        <v>51866988</v>
      </c>
      <c r="E328">
        <v>1</v>
      </c>
      <c r="F328">
        <v>1</v>
      </c>
      <c r="G328">
        <v>27</v>
      </c>
      <c r="H328">
        <v>3</v>
      </c>
      <c r="I328" t="s">
        <v>481</v>
      </c>
      <c r="J328" t="s">
        <v>482</v>
      </c>
      <c r="K328" t="s">
        <v>483</v>
      </c>
      <c r="L328">
        <v>1339</v>
      </c>
      <c r="N328">
        <v>1007</v>
      </c>
      <c r="O328" t="s">
        <v>28</v>
      </c>
      <c r="P328" t="s">
        <v>28</v>
      </c>
      <c r="Q328">
        <v>1</v>
      </c>
      <c r="W328">
        <v>0</v>
      </c>
      <c r="X328">
        <v>998257159</v>
      </c>
      <c r="Y328">
        <v>4.0000000000000001E-3</v>
      </c>
      <c r="AA328">
        <v>2227</v>
      </c>
      <c r="AB328">
        <v>0</v>
      </c>
      <c r="AC328">
        <v>0</v>
      </c>
      <c r="AD328">
        <v>0</v>
      </c>
      <c r="AE328">
        <v>2227</v>
      </c>
      <c r="AF328">
        <v>0</v>
      </c>
      <c r="AG328">
        <v>0</v>
      </c>
      <c r="AH328">
        <v>0</v>
      </c>
      <c r="AI328">
        <v>1</v>
      </c>
      <c r="AJ328">
        <v>1</v>
      </c>
      <c r="AK328">
        <v>1</v>
      </c>
      <c r="AL328">
        <v>1</v>
      </c>
      <c r="AN328">
        <v>0</v>
      </c>
      <c r="AO328">
        <v>1</v>
      </c>
      <c r="AP328">
        <v>0</v>
      </c>
      <c r="AQ328">
        <v>0</v>
      </c>
      <c r="AR328">
        <v>0</v>
      </c>
      <c r="AS328" t="s">
        <v>3</v>
      </c>
      <c r="AT328">
        <v>4.0000000000000001E-3</v>
      </c>
      <c r="AU328" t="s">
        <v>3</v>
      </c>
      <c r="AV328">
        <v>0</v>
      </c>
      <c r="AW328">
        <v>2</v>
      </c>
      <c r="AX328">
        <v>52432754</v>
      </c>
      <c r="AY328">
        <v>1</v>
      </c>
      <c r="AZ328">
        <v>0</v>
      </c>
      <c r="BA328">
        <v>314</v>
      </c>
      <c r="BB328">
        <v>0</v>
      </c>
      <c r="BC328">
        <v>0</v>
      </c>
      <c r="BD328">
        <v>0</v>
      </c>
      <c r="BE328">
        <v>0</v>
      </c>
      <c r="BF328">
        <v>0</v>
      </c>
      <c r="BG328">
        <v>0</v>
      </c>
      <c r="BH328">
        <v>0</v>
      </c>
      <c r="BI328">
        <v>0</v>
      </c>
      <c r="BJ328">
        <v>0</v>
      </c>
      <c r="BK328">
        <v>0</v>
      </c>
      <c r="BL328">
        <v>0</v>
      </c>
      <c r="BM328">
        <v>0</v>
      </c>
      <c r="BN328">
        <v>0</v>
      </c>
      <c r="BO328">
        <v>0</v>
      </c>
      <c r="BP328">
        <v>0</v>
      </c>
      <c r="BQ328">
        <v>0</v>
      </c>
      <c r="BR328">
        <v>0</v>
      </c>
      <c r="BS328">
        <v>0</v>
      </c>
      <c r="BT328">
        <v>0</v>
      </c>
      <c r="BU328">
        <v>0</v>
      </c>
      <c r="BV328">
        <v>0</v>
      </c>
      <c r="BW328">
        <v>0</v>
      </c>
      <c r="CX328">
        <f>Y328*Source!I324</f>
        <v>0.12</v>
      </c>
      <c r="CY328">
        <f>AA328</f>
        <v>2227</v>
      </c>
      <c r="CZ328">
        <f>AE328</f>
        <v>2227</v>
      </c>
      <c r="DA328">
        <f>AI328</f>
        <v>1</v>
      </c>
      <c r="DB328">
        <f t="shared" si="25"/>
        <v>8.91</v>
      </c>
      <c r="DC328">
        <f t="shared" si="26"/>
        <v>0</v>
      </c>
    </row>
    <row r="329" spans="1:107" x14ac:dyDescent="0.2">
      <c r="A329">
        <f>ROW(Source!A324)</f>
        <v>324</v>
      </c>
      <c r="B329">
        <v>52430918</v>
      </c>
      <c r="C329">
        <v>52432749</v>
      </c>
      <c r="D329">
        <v>51868874</v>
      </c>
      <c r="E329">
        <v>1</v>
      </c>
      <c r="F329">
        <v>1</v>
      </c>
      <c r="G329">
        <v>27</v>
      </c>
      <c r="H329">
        <v>3</v>
      </c>
      <c r="I329" t="s">
        <v>484</v>
      </c>
      <c r="J329" t="s">
        <v>485</v>
      </c>
      <c r="K329" t="s">
        <v>486</v>
      </c>
      <c r="L329">
        <v>1348</v>
      </c>
      <c r="N329">
        <v>1009</v>
      </c>
      <c r="O329" t="s">
        <v>101</v>
      </c>
      <c r="P329" t="s">
        <v>101</v>
      </c>
      <c r="Q329">
        <v>1000</v>
      </c>
      <c r="W329">
        <v>0</v>
      </c>
      <c r="X329">
        <v>-2114712087</v>
      </c>
      <c r="Y329">
        <v>0.125</v>
      </c>
      <c r="AA329">
        <v>2562.79</v>
      </c>
      <c r="AB329">
        <v>0</v>
      </c>
      <c r="AC329">
        <v>0</v>
      </c>
      <c r="AD329">
        <v>0</v>
      </c>
      <c r="AE329">
        <v>2562.79</v>
      </c>
      <c r="AF329">
        <v>0</v>
      </c>
      <c r="AG329">
        <v>0</v>
      </c>
      <c r="AH329">
        <v>0</v>
      </c>
      <c r="AI329">
        <v>1</v>
      </c>
      <c r="AJ329">
        <v>1</v>
      </c>
      <c r="AK329">
        <v>1</v>
      </c>
      <c r="AL329">
        <v>1</v>
      </c>
      <c r="AN329">
        <v>0</v>
      </c>
      <c r="AO329">
        <v>1</v>
      </c>
      <c r="AP329">
        <v>0</v>
      </c>
      <c r="AQ329">
        <v>0</v>
      </c>
      <c r="AR329">
        <v>0</v>
      </c>
      <c r="AS329" t="s">
        <v>3</v>
      </c>
      <c r="AT329">
        <v>0.125</v>
      </c>
      <c r="AU329" t="s">
        <v>3</v>
      </c>
      <c r="AV329">
        <v>0</v>
      </c>
      <c r="AW329">
        <v>2</v>
      </c>
      <c r="AX329">
        <v>52432755</v>
      </c>
      <c r="AY329">
        <v>1</v>
      </c>
      <c r="AZ329">
        <v>0</v>
      </c>
      <c r="BA329">
        <v>315</v>
      </c>
      <c r="BB329">
        <v>0</v>
      </c>
      <c r="BC329">
        <v>0</v>
      </c>
      <c r="BD329">
        <v>0</v>
      </c>
      <c r="BE329">
        <v>0</v>
      </c>
      <c r="BF329">
        <v>0</v>
      </c>
      <c r="BG329">
        <v>0</v>
      </c>
      <c r="BH329">
        <v>0</v>
      </c>
      <c r="BI329">
        <v>0</v>
      </c>
      <c r="BJ329">
        <v>0</v>
      </c>
      <c r="BK329">
        <v>0</v>
      </c>
      <c r="BL329">
        <v>0</v>
      </c>
      <c r="BM329">
        <v>0</v>
      </c>
      <c r="BN329">
        <v>0</v>
      </c>
      <c r="BO329">
        <v>0</v>
      </c>
      <c r="BP329">
        <v>0</v>
      </c>
      <c r="BQ329">
        <v>0</v>
      </c>
      <c r="BR329">
        <v>0</v>
      </c>
      <c r="BS329">
        <v>0</v>
      </c>
      <c r="BT329">
        <v>0</v>
      </c>
      <c r="BU329">
        <v>0</v>
      </c>
      <c r="BV329">
        <v>0</v>
      </c>
      <c r="BW329">
        <v>0</v>
      </c>
      <c r="CX329">
        <f>Y329*Source!I324</f>
        <v>3.75</v>
      </c>
      <c r="CY329">
        <f>AA329</f>
        <v>2562.79</v>
      </c>
      <c r="CZ329">
        <f>AE329</f>
        <v>2562.79</v>
      </c>
      <c r="DA329">
        <f>AI329</f>
        <v>1</v>
      </c>
      <c r="DB329">
        <f t="shared" si="25"/>
        <v>320.35000000000002</v>
      </c>
      <c r="DC329">
        <f t="shared" si="26"/>
        <v>0</v>
      </c>
    </row>
    <row r="330" spans="1:107" x14ac:dyDescent="0.2">
      <c r="A330">
        <f>ROW(Source!A325)</f>
        <v>325</v>
      </c>
      <c r="B330">
        <v>52430918</v>
      </c>
      <c r="C330">
        <v>52432756</v>
      </c>
      <c r="D330">
        <v>51848379</v>
      </c>
      <c r="E330">
        <v>27</v>
      </c>
      <c r="F330">
        <v>1</v>
      </c>
      <c r="G330">
        <v>27</v>
      </c>
      <c r="H330">
        <v>1</v>
      </c>
      <c r="I330" t="s">
        <v>378</v>
      </c>
      <c r="J330" t="s">
        <v>3</v>
      </c>
      <c r="K330" t="s">
        <v>379</v>
      </c>
      <c r="L330">
        <v>1191</v>
      </c>
      <c r="N330">
        <v>1013</v>
      </c>
      <c r="O330" t="s">
        <v>380</v>
      </c>
      <c r="P330" t="s">
        <v>380</v>
      </c>
      <c r="Q330">
        <v>1</v>
      </c>
      <c r="W330">
        <v>0</v>
      </c>
      <c r="X330">
        <v>476480486</v>
      </c>
      <c r="Y330">
        <v>0.66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1</v>
      </c>
      <c r="AJ330">
        <v>1</v>
      </c>
      <c r="AK330">
        <v>1</v>
      </c>
      <c r="AL330">
        <v>1</v>
      </c>
      <c r="AN330">
        <v>0</v>
      </c>
      <c r="AO330">
        <v>1</v>
      </c>
      <c r="AP330">
        <v>0</v>
      </c>
      <c r="AQ330">
        <v>0</v>
      </c>
      <c r="AR330">
        <v>0</v>
      </c>
      <c r="AS330" t="s">
        <v>3</v>
      </c>
      <c r="AT330">
        <v>0.66</v>
      </c>
      <c r="AU330" t="s">
        <v>3</v>
      </c>
      <c r="AV330">
        <v>1</v>
      </c>
      <c r="AW330">
        <v>2</v>
      </c>
      <c r="AX330">
        <v>52432757</v>
      </c>
      <c r="AY330">
        <v>1</v>
      </c>
      <c r="AZ330">
        <v>0</v>
      </c>
      <c r="BA330">
        <v>316</v>
      </c>
      <c r="BB330">
        <v>0</v>
      </c>
      <c r="BC330">
        <v>0</v>
      </c>
      <c r="BD330">
        <v>0</v>
      </c>
      <c r="BE330">
        <v>0</v>
      </c>
      <c r="BF330">
        <v>0</v>
      </c>
      <c r="BG330">
        <v>0</v>
      </c>
      <c r="BH330">
        <v>0</v>
      </c>
      <c r="BI330">
        <v>0</v>
      </c>
      <c r="BJ330">
        <v>0</v>
      </c>
      <c r="BK330">
        <v>0</v>
      </c>
      <c r="BL330">
        <v>0</v>
      </c>
      <c r="BM330">
        <v>0</v>
      </c>
      <c r="BN330">
        <v>0</v>
      </c>
      <c r="BO330">
        <v>0</v>
      </c>
      <c r="BP330">
        <v>0</v>
      </c>
      <c r="BQ330">
        <v>0</v>
      </c>
      <c r="BR330">
        <v>0</v>
      </c>
      <c r="BS330">
        <v>0</v>
      </c>
      <c r="BT330">
        <v>0</v>
      </c>
      <c r="BU330">
        <v>0</v>
      </c>
      <c r="BV330">
        <v>0</v>
      </c>
      <c r="BW330">
        <v>0</v>
      </c>
      <c r="CX330">
        <f>Y330*Source!I325</f>
        <v>4.7520000000000007</v>
      </c>
      <c r="CY330">
        <f>AD330</f>
        <v>0</v>
      </c>
      <c r="CZ330">
        <f>AH330</f>
        <v>0</v>
      </c>
      <c r="DA330">
        <f>AL330</f>
        <v>1</v>
      </c>
      <c r="DB330">
        <f t="shared" si="25"/>
        <v>0</v>
      </c>
      <c r="DC330">
        <f t="shared" si="26"/>
        <v>0</v>
      </c>
    </row>
    <row r="331" spans="1:107" x14ac:dyDescent="0.2">
      <c r="A331">
        <f>ROW(Source!A325)</f>
        <v>325</v>
      </c>
      <c r="B331">
        <v>52430918</v>
      </c>
      <c r="C331">
        <v>52432756</v>
      </c>
      <c r="D331">
        <v>51865159</v>
      </c>
      <c r="E331">
        <v>1</v>
      </c>
      <c r="F331">
        <v>1</v>
      </c>
      <c r="G331">
        <v>27</v>
      </c>
      <c r="H331">
        <v>2</v>
      </c>
      <c r="I331" t="s">
        <v>487</v>
      </c>
      <c r="J331" t="s">
        <v>488</v>
      </c>
      <c r="K331" t="s">
        <v>489</v>
      </c>
      <c r="L331">
        <v>1368</v>
      </c>
      <c r="N331">
        <v>1011</v>
      </c>
      <c r="O331" t="s">
        <v>84</v>
      </c>
      <c r="P331" t="s">
        <v>84</v>
      </c>
      <c r="Q331">
        <v>1</v>
      </c>
      <c r="W331">
        <v>0</v>
      </c>
      <c r="X331">
        <v>830483721</v>
      </c>
      <c r="Y331">
        <v>0.13200000000000001</v>
      </c>
      <c r="AA331">
        <v>0</v>
      </c>
      <c r="AB331">
        <v>470.71</v>
      </c>
      <c r="AC331">
        <v>359.8</v>
      </c>
      <c r="AD331">
        <v>0</v>
      </c>
      <c r="AE331">
        <v>0</v>
      </c>
      <c r="AF331">
        <v>470.71</v>
      </c>
      <c r="AG331">
        <v>359.8</v>
      </c>
      <c r="AH331">
        <v>0</v>
      </c>
      <c r="AI331">
        <v>1</v>
      </c>
      <c r="AJ331">
        <v>1</v>
      </c>
      <c r="AK331">
        <v>1</v>
      </c>
      <c r="AL331">
        <v>1</v>
      </c>
      <c r="AN331">
        <v>0</v>
      </c>
      <c r="AO331">
        <v>1</v>
      </c>
      <c r="AP331">
        <v>0</v>
      </c>
      <c r="AQ331">
        <v>0</v>
      </c>
      <c r="AR331">
        <v>0</v>
      </c>
      <c r="AS331" t="s">
        <v>3</v>
      </c>
      <c r="AT331">
        <v>0.13200000000000001</v>
      </c>
      <c r="AU331" t="s">
        <v>3</v>
      </c>
      <c r="AV331">
        <v>0</v>
      </c>
      <c r="AW331">
        <v>2</v>
      </c>
      <c r="AX331">
        <v>52432758</v>
      </c>
      <c r="AY331">
        <v>1</v>
      </c>
      <c r="AZ331">
        <v>0</v>
      </c>
      <c r="BA331">
        <v>317</v>
      </c>
      <c r="BB331">
        <v>0</v>
      </c>
      <c r="BC331">
        <v>0</v>
      </c>
      <c r="BD331">
        <v>0</v>
      </c>
      <c r="BE331">
        <v>0</v>
      </c>
      <c r="BF331">
        <v>0</v>
      </c>
      <c r="BG331">
        <v>0</v>
      </c>
      <c r="BH331">
        <v>0</v>
      </c>
      <c r="BI331">
        <v>0</v>
      </c>
      <c r="BJ331">
        <v>0</v>
      </c>
      <c r="BK331">
        <v>0</v>
      </c>
      <c r="BL331">
        <v>0</v>
      </c>
      <c r="BM331">
        <v>0</v>
      </c>
      <c r="BN331">
        <v>0</v>
      </c>
      <c r="BO331">
        <v>0</v>
      </c>
      <c r="BP331">
        <v>0</v>
      </c>
      <c r="BQ331">
        <v>0</v>
      </c>
      <c r="BR331">
        <v>0</v>
      </c>
      <c r="BS331">
        <v>0</v>
      </c>
      <c r="BT331">
        <v>0</v>
      </c>
      <c r="BU331">
        <v>0</v>
      </c>
      <c r="BV331">
        <v>0</v>
      </c>
      <c r="BW331">
        <v>0</v>
      </c>
      <c r="CX331">
        <f>Y331*Source!I325</f>
        <v>0.95040000000000002</v>
      </c>
      <c r="CY331">
        <f>AB331</f>
        <v>470.71</v>
      </c>
      <c r="CZ331">
        <f>AF331</f>
        <v>470.71</v>
      </c>
      <c r="DA331">
        <f>AJ331</f>
        <v>1</v>
      </c>
      <c r="DB331">
        <f t="shared" si="25"/>
        <v>62.13</v>
      </c>
      <c r="DC331">
        <f t="shared" si="26"/>
        <v>47.49</v>
      </c>
    </row>
    <row r="332" spans="1:107" x14ac:dyDescent="0.2">
      <c r="A332">
        <f>ROW(Source!A325)</f>
        <v>325</v>
      </c>
      <c r="B332">
        <v>52430918</v>
      </c>
      <c r="C332">
        <v>52432756</v>
      </c>
      <c r="D332">
        <v>51865613</v>
      </c>
      <c r="E332">
        <v>1</v>
      </c>
      <c r="F332">
        <v>1</v>
      </c>
      <c r="G332">
        <v>27</v>
      </c>
      <c r="H332">
        <v>2</v>
      </c>
      <c r="I332" t="s">
        <v>490</v>
      </c>
      <c r="J332" t="s">
        <v>491</v>
      </c>
      <c r="K332" t="s">
        <v>492</v>
      </c>
      <c r="L332">
        <v>1368</v>
      </c>
      <c r="N332">
        <v>1011</v>
      </c>
      <c r="O332" t="s">
        <v>84</v>
      </c>
      <c r="P332" t="s">
        <v>84</v>
      </c>
      <c r="Q332">
        <v>1</v>
      </c>
      <c r="W332">
        <v>0</v>
      </c>
      <c r="X332">
        <v>-1508142339</v>
      </c>
      <c r="Y332">
        <v>0.05</v>
      </c>
      <c r="AA332">
        <v>0</v>
      </c>
      <c r="AB332">
        <v>1090.94</v>
      </c>
      <c r="AC332">
        <v>389.28</v>
      </c>
      <c r="AD332">
        <v>0</v>
      </c>
      <c r="AE332">
        <v>0</v>
      </c>
      <c r="AF332">
        <v>1090.94</v>
      </c>
      <c r="AG332">
        <v>389.28</v>
      </c>
      <c r="AH332">
        <v>0</v>
      </c>
      <c r="AI332">
        <v>1</v>
      </c>
      <c r="AJ332">
        <v>1</v>
      </c>
      <c r="AK332">
        <v>1</v>
      </c>
      <c r="AL332">
        <v>1</v>
      </c>
      <c r="AN332">
        <v>0</v>
      </c>
      <c r="AO332">
        <v>1</v>
      </c>
      <c r="AP332">
        <v>0</v>
      </c>
      <c r="AQ332">
        <v>0</v>
      </c>
      <c r="AR332">
        <v>0</v>
      </c>
      <c r="AS332" t="s">
        <v>3</v>
      </c>
      <c r="AT332">
        <v>0.05</v>
      </c>
      <c r="AU332" t="s">
        <v>3</v>
      </c>
      <c r="AV332">
        <v>0</v>
      </c>
      <c r="AW332">
        <v>2</v>
      </c>
      <c r="AX332">
        <v>52432759</v>
      </c>
      <c r="AY332">
        <v>1</v>
      </c>
      <c r="AZ332">
        <v>0</v>
      </c>
      <c r="BA332">
        <v>318</v>
      </c>
      <c r="BB332">
        <v>0</v>
      </c>
      <c r="BC332">
        <v>0</v>
      </c>
      <c r="BD332">
        <v>0</v>
      </c>
      <c r="BE332">
        <v>0</v>
      </c>
      <c r="BF332">
        <v>0</v>
      </c>
      <c r="BG332">
        <v>0</v>
      </c>
      <c r="BH332">
        <v>0</v>
      </c>
      <c r="BI332">
        <v>0</v>
      </c>
      <c r="BJ332">
        <v>0</v>
      </c>
      <c r="BK332">
        <v>0</v>
      </c>
      <c r="BL332">
        <v>0</v>
      </c>
      <c r="BM332">
        <v>0</v>
      </c>
      <c r="BN332">
        <v>0</v>
      </c>
      <c r="BO332">
        <v>0</v>
      </c>
      <c r="BP332">
        <v>0</v>
      </c>
      <c r="BQ332">
        <v>0</v>
      </c>
      <c r="BR332">
        <v>0</v>
      </c>
      <c r="BS332">
        <v>0</v>
      </c>
      <c r="BT332">
        <v>0</v>
      </c>
      <c r="BU332">
        <v>0</v>
      </c>
      <c r="BV332">
        <v>0</v>
      </c>
      <c r="BW332">
        <v>0</v>
      </c>
      <c r="CX332">
        <f>Y332*Source!I325</f>
        <v>0.36000000000000004</v>
      </c>
      <c r="CY332">
        <f>AB332</f>
        <v>1090.94</v>
      </c>
      <c r="CZ332">
        <f>AF332</f>
        <v>1090.94</v>
      </c>
      <c r="DA332">
        <f>AJ332</f>
        <v>1</v>
      </c>
      <c r="DB332">
        <f t="shared" si="25"/>
        <v>54.55</v>
      </c>
      <c r="DC332">
        <f t="shared" si="26"/>
        <v>19.46</v>
      </c>
    </row>
    <row r="333" spans="1:107" x14ac:dyDescent="0.2">
      <c r="A333">
        <f>ROW(Source!A325)</f>
        <v>325</v>
      </c>
      <c r="B333">
        <v>52430918</v>
      </c>
      <c r="C333">
        <v>52432756</v>
      </c>
      <c r="D333">
        <v>51865675</v>
      </c>
      <c r="E333">
        <v>1</v>
      </c>
      <c r="F333">
        <v>1</v>
      </c>
      <c r="G333">
        <v>27</v>
      </c>
      <c r="H333">
        <v>2</v>
      </c>
      <c r="I333" t="s">
        <v>463</v>
      </c>
      <c r="J333" t="s">
        <v>464</v>
      </c>
      <c r="K333" t="s">
        <v>465</v>
      </c>
      <c r="L333">
        <v>1368</v>
      </c>
      <c r="N333">
        <v>1011</v>
      </c>
      <c r="O333" t="s">
        <v>84</v>
      </c>
      <c r="P333" t="s">
        <v>84</v>
      </c>
      <c r="Q333">
        <v>1</v>
      </c>
      <c r="W333">
        <v>0</v>
      </c>
      <c r="X333">
        <v>-352447613</v>
      </c>
      <c r="Y333">
        <v>0.13200000000000001</v>
      </c>
      <c r="AA333">
        <v>0</v>
      </c>
      <c r="AB333">
        <v>6.02</v>
      </c>
      <c r="AC333">
        <v>0.02</v>
      </c>
      <c r="AD333">
        <v>0</v>
      </c>
      <c r="AE333">
        <v>0</v>
      </c>
      <c r="AF333">
        <v>6.02</v>
      </c>
      <c r="AG333">
        <v>0.02</v>
      </c>
      <c r="AH333">
        <v>0</v>
      </c>
      <c r="AI333">
        <v>1</v>
      </c>
      <c r="AJ333">
        <v>1</v>
      </c>
      <c r="AK333">
        <v>1</v>
      </c>
      <c r="AL333">
        <v>1</v>
      </c>
      <c r="AN333">
        <v>0</v>
      </c>
      <c r="AO333">
        <v>1</v>
      </c>
      <c r="AP333">
        <v>0</v>
      </c>
      <c r="AQ333">
        <v>0</v>
      </c>
      <c r="AR333">
        <v>0</v>
      </c>
      <c r="AS333" t="s">
        <v>3</v>
      </c>
      <c r="AT333">
        <v>0.13200000000000001</v>
      </c>
      <c r="AU333" t="s">
        <v>3</v>
      </c>
      <c r="AV333">
        <v>0</v>
      </c>
      <c r="AW333">
        <v>2</v>
      </c>
      <c r="AX333">
        <v>52432760</v>
      </c>
      <c r="AY333">
        <v>1</v>
      </c>
      <c r="AZ333">
        <v>0</v>
      </c>
      <c r="BA333">
        <v>319</v>
      </c>
      <c r="BB333">
        <v>0</v>
      </c>
      <c r="BC333">
        <v>0</v>
      </c>
      <c r="BD333">
        <v>0</v>
      </c>
      <c r="BE333">
        <v>0</v>
      </c>
      <c r="BF333">
        <v>0</v>
      </c>
      <c r="BG333">
        <v>0</v>
      </c>
      <c r="BH333">
        <v>0</v>
      </c>
      <c r="BI333">
        <v>0</v>
      </c>
      <c r="BJ333">
        <v>0</v>
      </c>
      <c r="BK333">
        <v>0</v>
      </c>
      <c r="BL333">
        <v>0</v>
      </c>
      <c r="BM333">
        <v>0</v>
      </c>
      <c r="BN333">
        <v>0</v>
      </c>
      <c r="BO333">
        <v>0</v>
      </c>
      <c r="BP333">
        <v>0</v>
      </c>
      <c r="BQ333">
        <v>0</v>
      </c>
      <c r="BR333">
        <v>0</v>
      </c>
      <c r="BS333">
        <v>0</v>
      </c>
      <c r="BT333">
        <v>0</v>
      </c>
      <c r="BU333">
        <v>0</v>
      </c>
      <c r="BV333">
        <v>0</v>
      </c>
      <c r="BW333">
        <v>0</v>
      </c>
      <c r="CX333">
        <f>Y333*Source!I325</f>
        <v>0.95040000000000002</v>
      </c>
      <c r="CY333">
        <f>AB333</f>
        <v>6.02</v>
      </c>
      <c r="CZ333">
        <f>AF333</f>
        <v>6.02</v>
      </c>
      <c r="DA333">
        <f>AJ333</f>
        <v>1</v>
      </c>
      <c r="DB333">
        <f t="shared" si="25"/>
        <v>0.79</v>
      </c>
      <c r="DC333">
        <f t="shared" si="26"/>
        <v>0</v>
      </c>
    </row>
    <row r="334" spans="1:107" x14ac:dyDescent="0.2">
      <c r="A334">
        <f>ROW(Source!A325)</f>
        <v>325</v>
      </c>
      <c r="B334">
        <v>52430918</v>
      </c>
      <c r="C334">
        <v>52432756</v>
      </c>
      <c r="D334">
        <v>51864914</v>
      </c>
      <c r="E334">
        <v>1</v>
      </c>
      <c r="F334">
        <v>1</v>
      </c>
      <c r="G334">
        <v>27</v>
      </c>
      <c r="H334">
        <v>2</v>
      </c>
      <c r="I334" t="s">
        <v>493</v>
      </c>
      <c r="J334" t="s">
        <v>494</v>
      </c>
      <c r="K334" t="s">
        <v>495</v>
      </c>
      <c r="L334">
        <v>1368</v>
      </c>
      <c r="N334">
        <v>1011</v>
      </c>
      <c r="O334" t="s">
        <v>84</v>
      </c>
      <c r="P334" t="s">
        <v>84</v>
      </c>
      <c r="Q334">
        <v>1</v>
      </c>
      <c r="W334">
        <v>0</v>
      </c>
      <c r="X334">
        <v>-1535937734</v>
      </c>
      <c r="Y334">
        <v>8.8999999999999996E-2</v>
      </c>
      <c r="AA334">
        <v>0</v>
      </c>
      <c r="AB334">
        <v>829.85</v>
      </c>
      <c r="AC334">
        <v>457.02</v>
      </c>
      <c r="AD334">
        <v>0</v>
      </c>
      <c r="AE334">
        <v>0</v>
      </c>
      <c r="AF334">
        <v>829.85</v>
      </c>
      <c r="AG334">
        <v>457.02</v>
      </c>
      <c r="AH334">
        <v>0</v>
      </c>
      <c r="AI334">
        <v>1</v>
      </c>
      <c r="AJ334">
        <v>1</v>
      </c>
      <c r="AK334">
        <v>1</v>
      </c>
      <c r="AL334">
        <v>1</v>
      </c>
      <c r="AN334">
        <v>0</v>
      </c>
      <c r="AO334">
        <v>1</v>
      </c>
      <c r="AP334">
        <v>0</v>
      </c>
      <c r="AQ334">
        <v>0</v>
      </c>
      <c r="AR334">
        <v>0</v>
      </c>
      <c r="AS334" t="s">
        <v>3</v>
      </c>
      <c r="AT334">
        <v>8.8999999999999996E-2</v>
      </c>
      <c r="AU334" t="s">
        <v>3</v>
      </c>
      <c r="AV334">
        <v>0</v>
      </c>
      <c r="AW334">
        <v>2</v>
      </c>
      <c r="AX334">
        <v>52432761</v>
      </c>
      <c r="AY334">
        <v>1</v>
      </c>
      <c r="AZ334">
        <v>0</v>
      </c>
      <c r="BA334">
        <v>320</v>
      </c>
      <c r="BB334">
        <v>0</v>
      </c>
      <c r="BC334">
        <v>0</v>
      </c>
      <c r="BD334">
        <v>0</v>
      </c>
      <c r="BE334">
        <v>0</v>
      </c>
      <c r="BF334">
        <v>0</v>
      </c>
      <c r="BG334">
        <v>0</v>
      </c>
      <c r="BH334">
        <v>0</v>
      </c>
      <c r="BI334">
        <v>0</v>
      </c>
      <c r="BJ334">
        <v>0</v>
      </c>
      <c r="BK334">
        <v>0</v>
      </c>
      <c r="BL334">
        <v>0</v>
      </c>
      <c r="BM334">
        <v>0</v>
      </c>
      <c r="BN334">
        <v>0</v>
      </c>
      <c r="BO334">
        <v>0</v>
      </c>
      <c r="BP334">
        <v>0</v>
      </c>
      <c r="BQ334">
        <v>0</v>
      </c>
      <c r="BR334">
        <v>0</v>
      </c>
      <c r="BS334">
        <v>0</v>
      </c>
      <c r="BT334">
        <v>0</v>
      </c>
      <c r="BU334">
        <v>0</v>
      </c>
      <c r="BV334">
        <v>0</v>
      </c>
      <c r="BW334">
        <v>0</v>
      </c>
      <c r="CX334">
        <f>Y334*Source!I325</f>
        <v>0.64080000000000004</v>
      </c>
      <c r="CY334">
        <f>AB334</f>
        <v>829.85</v>
      </c>
      <c r="CZ334">
        <f>AF334</f>
        <v>829.85</v>
      </c>
      <c r="DA334">
        <f>AJ334</f>
        <v>1</v>
      </c>
      <c r="DB334">
        <f t="shared" si="25"/>
        <v>73.86</v>
      </c>
      <c r="DC334">
        <f t="shared" si="26"/>
        <v>40.67</v>
      </c>
    </row>
    <row r="335" spans="1:107" x14ac:dyDescent="0.2">
      <c r="A335">
        <f>ROW(Source!A325)</f>
        <v>325</v>
      </c>
      <c r="B335">
        <v>52430918</v>
      </c>
      <c r="C335">
        <v>52432756</v>
      </c>
      <c r="D335">
        <v>51868643</v>
      </c>
      <c r="E335">
        <v>1</v>
      </c>
      <c r="F335">
        <v>1</v>
      </c>
      <c r="G335">
        <v>27</v>
      </c>
      <c r="H335">
        <v>3</v>
      </c>
      <c r="I335" t="s">
        <v>496</v>
      </c>
      <c r="J335" t="s">
        <v>497</v>
      </c>
      <c r="K335" t="s">
        <v>498</v>
      </c>
      <c r="L335">
        <v>1339</v>
      </c>
      <c r="N335">
        <v>1007</v>
      </c>
      <c r="O335" t="s">
        <v>28</v>
      </c>
      <c r="P335" t="s">
        <v>28</v>
      </c>
      <c r="Q335">
        <v>1</v>
      </c>
      <c r="W335">
        <v>0</v>
      </c>
      <c r="X335">
        <v>-699673946</v>
      </c>
      <c r="Y335">
        <v>5.8999999999999997E-2</v>
      </c>
      <c r="AA335">
        <v>3694.66</v>
      </c>
      <c r="AB335">
        <v>0</v>
      </c>
      <c r="AC335">
        <v>0</v>
      </c>
      <c r="AD335">
        <v>0</v>
      </c>
      <c r="AE335">
        <v>3694.66</v>
      </c>
      <c r="AF335">
        <v>0</v>
      </c>
      <c r="AG335">
        <v>0</v>
      </c>
      <c r="AH335">
        <v>0</v>
      </c>
      <c r="AI335">
        <v>1</v>
      </c>
      <c r="AJ335">
        <v>1</v>
      </c>
      <c r="AK335">
        <v>1</v>
      </c>
      <c r="AL335">
        <v>1</v>
      </c>
      <c r="AN335">
        <v>0</v>
      </c>
      <c r="AO335">
        <v>1</v>
      </c>
      <c r="AP335">
        <v>0</v>
      </c>
      <c r="AQ335">
        <v>0</v>
      </c>
      <c r="AR335">
        <v>0</v>
      </c>
      <c r="AS335" t="s">
        <v>3</v>
      </c>
      <c r="AT335">
        <v>5.8999999999999997E-2</v>
      </c>
      <c r="AU335" t="s">
        <v>3</v>
      </c>
      <c r="AV335">
        <v>0</v>
      </c>
      <c r="AW335">
        <v>2</v>
      </c>
      <c r="AX335">
        <v>52432762</v>
      </c>
      <c r="AY335">
        <v>1</v>
      </c>
      <c r="AZ335">
        <v>0</v>
      </c>
      <c r="BA335">
        <v>321</v>
      </c>
      <c r="BB335">
        <v>0</v>
      </c>
      <c r="BC335">
        <v>0</v>
      </c>
      <c r="BD335">
        <v>0</v>
      </c>
      <c r="BE335">
        <v>0</v>
      </c>
      <c r="BF335">
        <v>0</v>
      </c>
      <c r="BG335">
        <v>0</v>
      </c>
      <c r="BH335">
        <v>0</v>
      </c>
      <c r="BI335">
        <v>0</v>
      </c>
      <c r="BJ335">
        <v>0</v>
      </c>
      <c r="BK335">
        <v>0</v>
      </c>
      <c r="BL335">
        <v>0</v>
      </c>
      <c r="BM335">
        <v>0</v>
      </c>
      <c r="BN335">
        <v>0</v>
      </c>
      <c r="BO335">
        <v>0</v>
      </c>
      <c r="BP335">
        <v>0</v>
      </c>
      <c r="BQ335">
        <v>0</v>
      </c>
      <c r="BR335">
        <v>0</v>
      </c>
      <c r="BS335">
        <v>0</v>
      </c>
      <c r="BT335">
        <v>0</v>
      </c>
      <c r="BU335">
        <v>0</v>
      </c>
      <c r="BV335">
        <v>0</v>
      </c>
      <c r="BW335">
        <v>0</v>
      </c>
      <c r="CX335">
        <f>Y335*Source!I325</f>
        <v>0.42480000000000001</v>
      </c>
      <c r="CY335">
        <f>AA335</f>
        <v>3694.66</v>
      </c>
      <c r="CZ335">
        <f>AE335</f>
        <v>3694.66</v>
      </c>
      <c r="DA335">
        <f>AI335</f>
        <v>1</v>
      </c>
      <c r="DB335">
        <f t="shared" si="25"/>
        <v>217.98</v>
      </c>
      <c r="DC335">
        <f t="shared" si="26"/>
        <v>0</v>
      </c>
    </row>
    <row r="336" spans="1:107" x14ac:dyDescent="0.2">
      <c r="A336">
        <f>ROW(Source!A325)</f>
        <v>325</v>
      </c>
      <c r="B336">
        <v>52430918</v>
      </c>
      <c r="C336">
        <v>52432756</v>
      </c>
      <c r="D336">
        <v>51868752</v>
      </c>
      <c r="E336">
        <v>1</v>
      </c>
      <c r="F336">
        <v>1</v>
      </c>
      <c r="G336">
        <v>27</v>
      </c>
      <c r="H336">
        <v>3</v>
      </c>
      <c r="I336" t="s">
        <v>451</v>
      </c>
      <c r="J336" t="s">
        <v>452</v>
      </c>
      <c r="K336" t="s">
        <v>453</v>
      </c>
      <c r="L336">
        <v>1339</v>
      </c>
      <c r="N336">
        <v>1007</v>
      </c>
      <c r="O336" t="s">
        <v>28</v>
      </c>
      <c r="P336" t="s">
        <v>28</v>
      </c>
      <c r="Q336">
        <v>1</v>
      </c>
      <c r="W336">
        <v>0</v>
      </c>
      <c r="X336">
        <v>853860812</v>
      </c>
      <c r="Y336">
        <v>5.9999999999999995E-4</v>
      </c>
      <c r="AA336">
        <v>3392.59</v>
      </c>
      <c r="AB336">
        <v>0</v>
      </c>
      <c r="AC336">
        <v>0</v>
      </c>
      <c r="AD336">
        <v>0</v>
      </c>
      <c r="AE336">
        <v>3392.59</v>
      </c>
      <c r="AF336">
        <v>0</v>
      </c>
      <c r="AG336">
        <v>0</v>
      </c>
      <c r="AH336">
        <v>0</v>
      </c>
      <c r="AI336">
        <v>1</v>
      </c>
      <c r="AJ336">
        <v>1</v>
      </c>
      <c r="AK336">
        <v>1</v>
      </c>
      <c r="AL336">
        <v>1</v>
      </c>
      <c r="AN336">
        <v>0</v>
      </c>
      <c r="AO336">
        <v>1</v>
      </c>
      <c r="AP336">
        <v>0</v>
      </c>
      <c r="AQ336">
        <v>0</v>
      </c>
      <c r="AR336">
        <v>0</v>
      </c>
      <c r="AS336" t="s">
        <v>3</v>
      </c>
      <c r="AT336">
        <v>5.9999999999999995E-4</v>
      </c>
      <c r="AU336" t="s">
        <v>3</v>
      </c>
      <c r="AV336">
        <v>0</v>
      </c>
      <c r="AW336">
        <v>2</v>
      </c>
      <c r="AX336">
        <v>52432763</v>
      </c>
      <c r="AY336">
        <v>1</v>
      </c>
      <c r="AZ336">
        <v>0</v>
      </c>
      <c r="BA336">
        <v>322</v>
      </c>
      <c r="BB336">
        <v>0</v>
      </c>
      <c r="BC336">
        <v>0</v>
      </c>
      <c r="BD336">
        <v>0</v>
      </c>
      <c r="BE336">
        <v>0</v>
      </c>
      <c r="BF336">
        <v>0</v>
      </c>
      <c r="BG336">
        <v>0</v>
      </c>
      <c r="BH336">
        <v>0</v>
      </c>
      <c r="BI336">
        <v>0</v>
      </c>
      <c r="BJ336">
        <v>0</v>
      </c>
      <c r="BK336">
        <v>0</v>
      </c>
      <c r="BL336">
        <v>0</v>
      </c>
      <c r="BM336">
        <v>0</v>
      </c>
      <c r="BN336">
        <v>0</v>
      </c>
      <c r="BO336">
        <v>0</v>
      </c>
      <c r="BP336">
        <v>0</v>
      </c>
      <c r="BQ336">
        <v>0</v>
      </c>
      <c r="BR336">
        <v>0</v>
      </c>
      <c r="BS336">
        <v>0</v>
      </c>
      <c r="BT336">
        <v>0</v>
      </c>
      <c r="BU336">
        <v>0</v>
      </c>
      <c r="BV336">
        <v>0</v>
      </c>
      <c r="BW336">
        <v>0</v>
      </c>
      <c r="CX336">
        <f>Y336*Source!I325</f>
        <v>4.3200000000000001E-3</v>
      </c>
      <c r="CY336">
        <f>AA336</f>
        <v>3392.59</v>
      </c>
      <c r="CZ336">
        <f>AE336</f>
        <v>3392.59</v>
      </c>
      <c r="DA336">
        <f>AI336</f>
        <v>1</v>
      </c>
      <c r="DB336">
        <f t="shared" si="25"/>
        <v>2.04</v>
      </c>
      <c r="DC336">
        <f t="shared" si="26"/>
        <v>0</v>
      </c>
    </row>
    <row r="337" spans="1:107" x14ac:dyDescent="0.2">
      <c r="A337">
        <f>ROW(Source!A325)</f>
        <v>325</v>
      </c>
      <c r="B337">
        <v>52430918</v>
      </c>
      <c r="C337">
        <v>52432756</v>
      </c>
      <c r="D337">
        <v>51869492</v>
      </c>
      <c r="E337">
        <v>1</v>
      </c>
      <c r="F337">
        <v>1</v>
      </c>
      <c r="G337">
        <v>27</v>
      </c>
      <c r="H337">
        <v>3</v>
      </c>
      <c r="I337" t="s">
        <v>499</v>
      </c>
      <c r="J337" t="s">
        <v>500</v>
      </c>
      <c r="K337" t="s">
        <v>501</v>
      </c>
      <c r="L337">
        <v>1339</v>
      </c>
      <c r="N337">
        <v>1007</v>
      </c>
      <c r="O337" t="s">
        <v>28</v>
      </c>
      <c r="P337" t="s">
        <v>28</v>
      </c>
      <c r="Q337">
        <v>1</v>
      </c>
      <c r="W337">
        <v>0</v>
      </c>
      <c r="X337">
        <v>-1147387114</v>
      </c>
      <c r="Y337">
        <v>4.36E-2</v>
      </c>
      <c r="AA337">
        <v>7833.01</v>
      </c>
      <c r="AB337">
        <v>0</v>
      </c>
      <c r="AC337">
        <v>0</v>
      </c>
      <c r="AD337">
        <v>0</v>
      </c>
      <c r="AE337">
        <v>7833.01</v>
      </c>
      <c r="AF337">
        <v>0</v>
      </c>
      <c r="AG337">
        <v>0</v>
      </c>
      <c r="AH337">
        <v>0</v>
      </c>
      <c r="AI337">
        <v>1</v>
      </c>
      <c r="AJ337">
        <v>1</v>
      </c>
      <c r="AK337">
        <v>1</v>
      </c>
      <c r="AL337">
        <v>1</v>
      </c>
      <c r="AN337">
        <v>0</v>
      </c>
      <c r="AO337">
        <v>1</v>
      </c>
      <c r="AP337">
        <v>0</v>
      </c>
      <c r="AQ337">
        <v>0</v>
      </c>
      <c r="AR337">
        <v>0</v>
      </c>
      <c r="AS337" t="s">
        <v>3</v>
      </c>
      <c r="AT337">
        <v>4.36E-2</v>
      </c>
      <c r="AU337" t="s">
        <v>3</v>
      </c>
      <c r="AV337">
        <v>0</v>
      </c>
      <c r="AW337">
        <v>2</v>
      </c>
      <c r="AX337">
        <v>52432764</v>
      </c>
      <c r="AY337">
        <v>1</v>
      </c>
      <c r="AZ337">
        <v>0</v>
      </c>
      <c r="BA337">
        <v>323</v>
      </c>
      <c r="BB337">
        <v>0</v>
      </c>
      <c r="BC337">
        <v>0</v>
      </c>
      <c r="BD337">
        <v>0</v>
      </c>
      <c r="BE337">
        <v>0</v>
      </c>
      <c r="BF337">
        <v>0</v>
      </c>
      <c r="BG337">
        <v>0</v>
      </c>
      <c r="BH337">
        <v>0</v>
      </c>
      <c r="BI337">
        <v>0</v>
      </c>
      <c r="BJ337">
        <v>0</v>
      </c>
      <c r="BK337">
        <v>0</v>
      </c>
      <c r="BL337">
        <v>0</v>
      </c>
      <c r="BM337">
        <v>0</v>
      </c>
      <c r="BN337">
        <v>0</v>
      </c>
      <c r="BO337">
        <v>0</v>
      </c>
      <c r="BP337">
        <v>0</v>
      </c>
      <c r="BQ337">
        <v>0</v>
      </c>
      <c r="BR337">
        <v>0</v>
      </c>
      <c r="BS337">
        <v>0</v>
      </c>
      <c r="BT337">
        <v>0</v>
      </c>
      <c r="BU337">
        <v>0</v>
      </c>
      <c r="BV337">
        <v>0</v>
      </c>
      <c r="BW337">
        <v>0</v>
      </c>
      <c r="CX337">
        <f>Y337*Source!I325</f>
        <v>0.31392000000000003</v>
      </c>
      <c r="CY337">
        <f>AA337</f>
        <v>7833.01</v>
      </c>
      <c r="CZ337">
        <f>AE337</f>
        <v>7833.01</v>
      </c>
      <c r="DA337">
        <f>AI337</f>
        <v>1</v>
      </c>
      <c r="DB337">
        <f t="shared" si="25"/>
        <v>341.52</v>
      </c>
      <c r="DC337">
        <f t="shared" si="26"/>
        <v>0</v>
      </c>
    </row>
    <row r="338" spans="1:107" x14ac:dyDescent="0.2">
      <c r="A338">
        <f>ROW(Source!A325)</f>
        <v>325</v>
      </c>
      <c r="B338">
        <v>52430918</v>
      </c>
      <c r="C338">
        <v>52432756</v>
      </c>
      <c r="D338">
        <v>51850459</v>
      </c>
      <c r="E338">
        <v>27</v>
      </c>
      <c r="F338">
        <v>1</v>
      </c>
      <c r="G338">
        <v>27</v>
      </c>
      <c r="H338">
        <v>3</v>
      </c>
      <c r="I338" t="s">
        <v>502</v>
      </c>
      <c r="J338" t="s">
        <v>3</v>
      </c>
      <c r="K338" t="s">
        <v>503</v>
      </c>
      <c r="L338">
        <v>1348</v>
      </c>
      <c r="N338">
        <v>1009</v>
      </c>
      <c r="O338" t="s">
        <v>101</v>
      </c>
      <c r="P338" t="s">
        <v>101</v>
      </c>
      <c r="Q338">
        <v>1000</v>
      </c>
      <c r="W338">
        <v>0</v>
      </c>
      <c r="X338">
        <v>1489638031</v>
      </c>
      <c r="Y338">
        <v>0.246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1</v>
      </c>
      <c r="AJ338">
        <v>1</v>
      </c>
      <c r="AK338">
        <v>1</v>
      </c>
      <c r="AL338">
        <v>1</v>
      </c>
      <c r="AN338">
        <v>0</v>
      </c>
      <c r="AO338">
        <v>1</v>
      </c>
      <c r="AP338">
        <v>0</v>
      </c>
      <c r="AQ338">
        <v>0</v>
      </c>
      <c r="AR338">
        <v>0</v>
      </c>
      <c r="AS338" t="s">
        <v>3</v>
      </c>
      <c r="AT338">
        <v>0.246</v>
      </c>
      <c r="AU338" t="s">
        <v>3</v>
      </c>
      <c r="AV338">
        <v>0</v>
      </c>
      <c r="AW338">
        <v>2</v>
      </c>
      <c r="AX338">
        <v>52432765</v>
      </c>
      <c r="AY338">
        <v>1</v>
      </c>
      <c r="AZ338">
        <v>0</v>
      </c>
      <c r="BA338">
        <v>324</v>
      </c>
      <c r="BB338">
        <v>0</v>
      </c>
      <c r="BC338">
        <v>0</v>
      </c>
      <c r="BD338">
        <v>0</v>
      </c>
      <c r="BE338">
        <v>0</v>
      </c>
      <c r="BF338">
        <v>0</v>
      </c>
      <c r="BG338">
        <v>0</v>
      </c>
      <c r="BH338">
        <v>0</v>
      </c>
      <c r="BI338">
        <v>0</v>
      </c>
      <c r="BJ338">
        <v>0</v>
      </c>
      <c r="BK338">
        <v>0</v>
      </c>
      <c r="BL338">
        <v>0</v>
      </c>
      <c r="BM338">
        <v>0</v>
      </c>
      <c r="BN338">
        <v>0</v>
      </c>
      <c r="BO338">
        <v>0</v>
      </c>
      <c r="BP338">
        <v>0</v>
      </c>
      <c r="BQ338">
        <v>0</v>
      </c>
      <c r="BR338">
        <v>0</v>
      </c>
      <c r="BS338">
        <v>0</v>
      </c>
      <c r="BT338">
        <v>0</v>
      </c>
      <c r="BU338">
        <v>0</v>
      </c>
      <c r="BV338">
        <v>0</v>
      </c>
      <c r="BW338">
        <v>0</v>
      </c>
      <c r="CX338">
        <f>Y338*Source!I325</f>
        <v>1.7712000000000001</v>
      </c>
      <c r="CY338">
        <f>AA338</f>
        <v>0</v>
      </c>
      <c r="CZ338">
        <f>AE338</f>
        <v>0</v>
      </c>
      <c r="DA338">
        <f>AI338</f>
        <v>1</v>
      </c>
      <c r="DB338">
        <f t="shared" si="25"/>
        <v>0</v>
      </c>
      <c r="DC338">
        <f t="shared" si="26"/>
        <v>0</v>
      </c>
    </row>
    <row r="339" spans="1:107" x14ac:dyDescent="0.2">
      <c r="A339">
        <f>ROW(Source!A361)</f>
        <v>361</v>
      </c>
      <c r="B339">
        <v>52430918</v>
      </c>
      <c r="C339">
        <v>52433366</v>
      </c>
      <c r="D339">
        <v>51848379</v>
      </c>
      <c r="E339">
        <v>27</v>
      </c>
      <c r="F339">
        <v>1</v>
      </c>
      <c r="G339">
        <v>27</v>
      </c>
      <c r="H339">
        <v>1</v>
      </c>
      <c r="I339" t="s">
        <v>378</v>
      </c>
      <c r="J339" t="s">
        <v>3</v>
      </c>
      <c r="K339" t="s">
        <v>379</v>
      </c>
      <c r="L339">
        <v>1191</v>
      </c>
      <c r="N339">
        <v>1013</v>
      </c>
      <c r="O339" t="s">
        <v>380</v>
      </c>
      <c r="P339" t="s">
        <v>380</v>
      </c>
      <c r="Q339">
        <v>1</v>
      </c>
      <c r="W339">
        <v>0</v>
      </c>
      <c r="X339">
        <v>476480486</v>
      </c>
      <c r="Y339">
        <v>902.75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1</v>
      </c>
      <c r="AJ339">
        <v>1</v>
      </c>
      <c r="AK339">
        <v>1</v>
      </c>
      <c r="AL339">
        <v>1</v>
      </c>
      <c r="AN339">
        <v>0</v>
      </c>
      <c r="AO339">
        <v>1</v>
      </c>
      <c r="AP339">
        <v>0</v>
      </c>
      <c r="AQ339">
        <v>0</v>
      </c>
      <c r="AR339">
        <v>0</v>
      </c>
      <c r="AS339" t="s">
        <v>3</v>
      </c>
      <c r="AT339">
        <v>902.75</v>
      </c>
      <c r="AU339" t="s">
        <v>3</v>
      </c>
      <c r="AV339">
        <v>1</v>
      </c>
      <c r="AW339">
        <v>2</v>
      </c>
      <c r="AX339">
        <v>52433379</v>
      </c>
      <c r="AY339">
        <v>1</v>
      </c>
      <c r="AZ339">
        <v>0</v>
      </c>
      <c r="BA339">
        <v>325</v>
      </c>
      <c r="BB339">
        <v>0</v>
      </c>
      <c r="BC339">
        <v>0</v>
      </c>
      <c r="BD339">
        <v>0</v>
      </c>
      <c r="BE339">
        <v>0</v>
      </c>
      <c r="BF339">
        <v>0</v>
      </c>
      <c r="BG339">
        <v>0</v>
      </c>
      <c r="BH339">
        <v>0</v>
      </c>
      <c r="BI339">
        <v>0</v>
      </c>
      <c r="BJ339">
        <v>0</v>
      </c>
      <c r="BK339">
        <v>0</v>
      </c>
      <c r="BL339">
        <v>0</v>
      </c>
      <c r="BM339">
        <v>0</v>
      </c>
      <c r="BN339">
        <v>0</v>
      </c>
      <c r="BO339">
        <v>0</v>
      </c>
      <c r="BP339">
        <v>0</v>
      </c>
      <c r="BQ339">
        <v>0</v>
      </c>
      <c r="BR339">
        <v>0</v>
      </c>
      <c r="BS339">
        <v>0</v>
      </c>
      <c r="BT339">
        <v>0</v>
      </c>
      <c r="BU339">
        <v>0</v>
      </c>
      <c r="BV339">
        <v>0</v>
      </c>
      <c r="BW339">
        <v>0</v>
      </c>
      <c r="CX339">
        <f>Y339*Source!I361</f>
        <v>36.11</v>
      </c>
      <c r="CY339">
        <f>AD339</f>
        <v>0</v>
      </c>
      <c r="CZ339">
        <f>AH339</f>
        <v>0</v>
      </c>
      <c r="DA339">
        <f>AL339</f>
        <v>1</v>
      </c>
      <c r="DB339">
        <f t="shared" si="25"/>
        <v>0</v>
      </c>
      <c r="DC339">
        <f t="shared" si="26"/>
        <v>0</v>
      </c>
    </row>
    <row r="340" spans="1:107" x14ac:dyDescent="0.2">
      <c r="A340">
        <f>ROW(Source!A361)</f>
        <v>361</v>
      </c>
      <c r="B340">
        <v>52430918</v>
      </c>
      <c r="C340">
        <v>52433366</v>
      </c>
      <c r="D340">
        <v>51864800</v>
      </c>
      <c r="E340">
        <v>1</v>
      </c>
      <c r="F340">
        <v>1</v>
      </c>
      <c r="G340">
        <v>27</v>
      </c>
      <c r="H340">
        <v>2</v>
      </c>
      <c r="I340" t="s">
        <v>91</v>
      </c>
      <c r="J340" t="s">
        <v>93</v>
      </c>
      <c r="K340" t="s">
        <v>92</v>
      </c>
      <c r="L340">
        <v>1368</v>
      </c>
      <c r="N340">
        <v>1011</v>
      </c>
      <c r="O340" t="s">
        <v>84</v>
      </c>
      <c r="P340" t="s">
        <v>84</v>
      </c>
      <c r="Q340">
        <v>1</v>
      </c>
      <c r="W340">
        <v>1</v>
      </c>
      <c r="X340">
        <v>-1957514721</v>
      </c>
      <c r="Y340">
        <v>-0.09</v>
      </c>
      <c r="AA340">
        <v>0</v>
      </c>
      <c r="AB340">
        <v>1009.65</v>
      </c>
      <c r="AC340">
        <v>554.42999999999995</v>
      </c>
      <c r="AD340">
        <v>0</v>
      </c>
      <c r="AE340">
        <v>0</v>
      </c>
      <c r="AF340">
        <v>1009.65</v>
      </c>
      <c r="AG340">
        <v>554.42999999999995</v>
      </c>
      <c r="AH340">
        <v>0</v>
      </c>
      <c r="AI340">
        <v>1</v>
      </c>
      <c r="AJ340">
        <v>1</v>
      </c>
      <c r="AK340">
        <v>1</v>
      </c>
      <c r="AL340">
        <v>1</v>
      </c>
      <c r="AN340">
        <v>0</v>
      </c>
      <c r="AO340">
        <v>1</v>
      </c>
      <c r="AP340">
        <v>0</v>
      </c>
      <c r="AQ340">
        <v>0</v>
      </c>
      <c r="AR340">
        <v>0</v>
      </c>
      <c r="AS340" t="s">
        <v>3</v>
      </c>
      <c r="AT340">
        <v>-0.09</v>
      </c>
      <c r="AU340" t="s">
        <v>3</v>
      </c>
      <c r="AV340">
        <v>0</v>
      </c>
      <c r="AW340">
        <v>2</v>
      </c>
      <c r="AX340">
        <v>52433380</v>
      </c>
      <c r="AY340">
        <v>1</v>
      </c>
      <c r="AZ340">
        <v>6144</v>
      </c>
      <c r="BA340">
        <v>326</v>
      </c>
      <c r="BB340">
        <v>0</v>
      </c>
      <c r="BC340">
        <v>0</v>
      </c>
      <c r="BD340">
        <v>0</v>
      </c>
      <c r="BE340">
        <v>0</v>
      </c>
      <c r="BF340">
        <v>0</v>
      </c>
      <c r="BG340">
        <v>0</v>
      </c>
      <c r="BH340">
        <v>0</v>
      </c>
      <c r="BI340">
        <v>0</v>
      </c>
      <c r="BJ340">
        <v>0</v>
      </c>
      <c r="BK340">
        <v>0</v>
      </c>
      <c r="BL340">
        <v>0</v>
      </c>
      <c r="BM340">
        <v>0</v>
      </c>
      <c r="BN340">
        <v>0</v>
      </c>
      <c r="BO340">
        <v>0</v>
      </c>
      <c r="BP340">
        <v>0</v>
      </c>
      <c r="BQ340">
        <v>0</v>
      </c>
      <c r="BR340">
        <v>0</v>
      </c>
      <c r="BS340">
        <v>0</v>
      </c>
      <c r="BT340">
        <v>0</v>
      </c>
      <c r="BU340">
        <v>0</v>
      </c>
      <c r="BV340">
        <v>0</v>
      </c>
      <c r="BW340">
        <v>0</v>
      </c>
      <c r="CX340">
        <f>Y340*Source!I361</f>
        <v>-3.5999999999999999E-3</v>
      </c>
      <c r="CY340">
        <f>AB340</f>
        <v>1009.65</v>
      </c>
      <c r="CZ340">
        <f>AF340</f>
        <v>1009.65</v>
      </c>
      <c r="DA340">
        <f>AJ340</f>
        <v>1</v>
      </c>
      <c r="DB340">
        <f t="shared" si="25"/>
        <v>-90.87</v>
      </c>
      <c r="DC340">
        <f t="shared" si="26"/>
        <v>-49.9</v>
      </c>
    </row>
    <row r="341" spans="1:107" x14ac:dyDescent="0.2">
      <c r="A341">
        <f>ROW(Source!A361)</f>
        <v>361</v>
      </c>
      <c r="B341">
        <v>52430918</v>
      </c>
      <c r="C341">
        <v>52433366</v>
      </c>
      <c r="D341">
        <v>51865257</v>
      </c>
      <c r="E341">
        <v>1</v>
      </c>
      <c r="F341">
        <v>1</v>
      </c>
      <c r="G341">
        <v>27</v>
      </c>
      <c r="H341">
        <v>2</v>
      </c>
      <c r="I341" t="s">
        <v>87</v>
      </c>
      <c r="J341" t="s">
        <v>89</v>
      </c>
      <c r="K341" t="s">
        <v>88</v>
      </c>
      <c r="L341">
        <v>1368</v>
      </c>
      <c r="N341">
        <v>1011</v>
      </c>
      <c r="O341" t="s">
        <v>84</v>
      </c>
      <c r="P341" t="s">
        <v>84</v>
      </c>
      <c r="Q341">
        <v>1</v>
      </c>
      <c r="W341">
        <v>1</v>
      </c>
      <c r="X341">
        <v>-1757825014</v>
      </c>
      <c r="Y341">
        <v>-14.5</v>
      </c>
      <c r="AA341">
        <v>0</v>
      </c>
      <c r="AB341">
        <v>27.21</v>
      </c>
      <c r="AC341">
        <v>0.13</v>
      </c>
      <c r="AD341">
        <v>0</v>
      </c>
      <c r="AE341">
        <v>0</v>
      </c>
      <c r="AF341">
        <v>27.21</v>
      </c>
      <c r="AG341">
        <v>0.13</v>
      </c>
      <c r="AH341">
        <v>0</v>
      </c>
      <c r="AI341">
        <v>1</v>
      </c>
      <c r="AJ341">
        <v>1</v>
      </c>
      <c r="AK341">
        <v>1</v>
      </c>
      <c r="AL341">
        <v>1</v>
      </c>
      <c r="AN341">
        <v>0</v>
      </c>
      <c r="AO341">
        <v>1</v>
      </c>
      <c r="AP341">
        <v>0</v>
      </c>
      <c r="AQ341">
        <v>0</v>
      </c>
      <c r="AR341">
        <v>0</v>
      </c>
      <c r="AS341" t="s">
        <v>3</v>
      </c>
      <c r="AT341">
        <v>-14.5</v>
      </c>
      <c r="AU341" t="s">
        <v>3</v>
      </c>
      <c r="AV341">
        <v>0</v>
      </c>
      <c r="AW341">
        <v>2</v>
      </c>
      <c r="AX341">
        <v>52433381</v>
      </c>
      <c r="AY341">
        <v>1</v>
      </c>
      <c r="AZ341">
        <v>6144</v>
      </c>
      <c r="BA341">
        <v>327</v>
      </c>
      <c r="BB341">
        <v>0</v>
      </c>
      <c r="BC341">
        <v>0</v>
      </c>
      <c r="BD341">
        <v>0</v>
      </c>
      <c r="BE341">
        <v>0</v>
      </c>
      <c r="BF341">
        <v>0</v>
      </c>
      <c r="BG341">
        <v>0</v>
      </c>
      <c r="BH341">
        <v>0</v>
      </c>
      <c r="BI341">
        <v>0</v>
      </c>
      <c r="BJ341">
        <v>0</v>
      </c>
      <c r="BK341">
        <v>0</v>
      </c>
      <c r="BL341">
        <v>0</v>
      </c>
      <c r="BM341">
        <v>0</v>
      </c>
      <c r="BN341">
        <v>0</v>
      </c>
      <c r="BO341">
        <v>0</v>
      </c>
      <c r="BP341">
        <v>0</v>
      </c>
      <c r="BQ341">
        <v>0</v>
      </c>
      <c r="BR341">
        <v>0</v>
      </c>
      <c r="BS341">
        <v>0</v>
      </c>
      <c r="BT341">
        <v>0</v>
      </c>
      <c r="BU341">
        <v>0</v>
      </c>
      <c r="BV341">
        <v>0</v>
      </c>
      <c r="BW341">
        <v>0</v>
      </c>
      <c r="CX341">
        <f>Y341*Source!I361</f>
        <v>-0.57999999999999996</v>
      </c>
      <c r="CY341">
        <f>AB341</f>
        <v>27.21</v>
      </c>
      <c r="CZ341">
        <f>AF341</f>
        <v>27.21</v>
      </c>
      <c r="DA341">
        <f>AJ341</f>
        <v>1</v>
      </c>
      <c r="DB341">
        <f t="shared" si="25"/>
        <v>-394.55</v>
      </c>
      <c r="DC341">
        <f t="shared" si="26"/>
        <v>-1.89</v>
      </c>
    </row>
    <row r="342" spans="1:107" x14ac:dyDescent="0.2">
      <c r="A342">
        <f>ROW(Source!A361)</f>
        <v>361</v>
      </c>
      <c r="B342">
        <v>52430918</v>
      </c>
      <c r="C342">
        <v>52433366</v>
      </c>
      <c r="D342">
        <v>51865090</v>
      </c>
      <c r="E342">
        <v>1</v>
      </c>
      <c r="F342">
        <v>1</v>
      </c>
      <c r="G342">
        <v>27</v>
      </c>
      <c r="H342">
        <v>2</v>
      </c>
      <c r="I342" t="s">
        <v>82</v>
      </c>
      <c r="J342" t="s">
        <v>85</v>
      </c>
      <c r="K342" t="s">
        <v>83</v>
      </c>
      <c r="L342">
        <v>1368</v>
      </c>
      <c r="N342">
        <v>1011</v>
      </c>
      <c r="O342" t="s">
        <v>84</v>
      </c>
      <c r="P342" t="s">
        <v>84</v>
      </c>
      <c r="Q342">
        <v>1</v>
      </c>
      <c r="W342">
        <v>1</v>
      </c>
      <c r="X342">
        <v>1349119844</v>
      </c>
      <c r="Y342">
        <v>-5.44</v>
      </c>
      <c r="AA342">
        <v>0</v>
      </c>
      <c r="AB342">
        <v>10.82</v>
      </c>
      <c r="AC342">
        <v>2.97</v>
      </c>
      <c r="AD342">
        <v>0</v>
      </c>
      <c r="AE342">
        <v>0</v>
      </c>
      <c r="AF342">
        <v>10.82</v>
      </c>
      <c r="AG342">
        <v>2.97</v>
      </c>
      <c r="AH342">
        <v>0</v>
      </c>
      <c r="AI342">
        <v>1</v>
      </c>
      <c r="AJ342">
        <v>1</v>
      </c>
      <c r="AK342">
        <v>1</v>
      </c>
      <c r="AL342">
        <v>1</v>
      </c>
      <c r="AN342">
        <v>0</v>
      </c>
      <c r="AO342">
        <v>1</v>
      </c>
      <c r="AP342">
        <v>0</v>
      </c>
      <c r="AQ342">
        <v>0</v>
      </c>
      <c r="AR342">
        <v>0</v>
      </c>
      <c r="AS342" t="s">
        <v>3</v>
      </c>
      <c r="AT342">
        <v>-5.44</v>
      </c>
      <c r="AU342" t="s">
        <v>3</v>
      </c>
      <c r="AV342">
        <v>0</v>
      </c>
      <c r="AW342">
        <v>2</v>
      </c>
      <c r="AX342">
        <v>52433382</v>
      </c>
      <c r="AY342">
        <v>1</v>
      </c>
      <c r="AZ342">
        <v>6144</v>
      </c>
      <c r="BA342">
        <v>328</v>
      </c>
      <c r="BB342">
        <v>0</v>
      </c>
      <c r="BC342">
        <v>0</v>
      </c>
      <c r="BD342">
        <v>0</v>
      </c>
      <c r="BE342">
        <v>0</v>
      </c>
      <c r="BF342">
        <v>0</v>
      </c>
      <c r="BG342">
        <v>0</v>
      </c>
      <c r="BH342">
        <v>0</v>
      </c>
      <c r="BI342">
        <v>0</v>
      </c>
      <c r="BJ342">
        <v>0</v>
      </c>
      <c r="BK342">
        <v>0</v>
      </c>
      <c r="BL342">
        <v>0</v>
      </c>
      <c r="BM342">
        <v>0</v>
      </c>
      <c r="BN342">
        <v>0</v>
      </c>
      <c r="BO342">
        <v>0</v>
      </c>
      <c r="BP342">
        <v>0</v>
      </c>
      <c r="BQ342">
        <v>0</v>
      </c>
      <c r="BR342">
        <v>0</v>
      </c>
      <c r="BS342">
        <v>0</v>
      </c>
      <c r="BT342">
        <v>0</v>
      </c>
      <c r="BU342">
        <v>0</v>
      </c>
      <c r="BV342">
        <v>0</v>
      </c>
      <c r="BW342">
        <v>0</v>
      </c>
      <c r="CX342">
        <f>Y342*Source!I361</f>
        <v>-0.21760000000000002</v>
      </c>
      <c r="CY342">
        <f>AB342</f>
        <v>10.82</v>
      </c>
      <c r="CZ342">
        <f>AF342</f>
        <v>10.82</v>
      </c>
      <c r="DA342">
        <f>AJ342</f>
        <v>1</v>
      </c>
      <c r="DB342">
        <f t="shared" si="25"/>
        <v>-58.86</v>
      </c>
      <c r="DC342">
        <f t="shared" si="26"/>
        <v>-16.16</v>
      </c>
    </row>
    <row r="343" spans="1:107" x14ac:dyDescent="0.2">
      <c r="A343">
        <f>ROW(Source!A361)</f>
        <v>361</v>
      </c>
      <c r="B343">
        <v>52430918</v>
      </c>
      <c r="C343">
        <v>52433366</v>
      </c>
      <c r="D343">
        <v>51867612</v>
      </c>
      <c r="E343">
        <v>1</v>
      </c>
      <c r="F343">
        <v>1</v>
      </c>
      <c r="G343">
        <v>27</v>
      </c>
      <c r="H343">
        <v>3</v>
      </c>
      <c r="I343" t="s">
        <v>99</v>
      </c>
      <c r="J343" t="s">
        <v>102</v>
      </c>
      <c r="K343" t="s">
        <v>100</v>
      </c>
      <c r="L343">
        <v>1348</v>
      </c>
      <c r="N343">
        <v>1009</v>
      </c>
      <c r="O343" t="s">
        <v>101</v>
      </c>
      <c r="P343" t="s">
        <v>101</v>
      </c>
      <c r="Q343">
        <v>1000</v>
      </c>
      <c r="W343">
        <v>1</v>
      </c>
      <c r="X343">
        <v>-672771621</v>
      </c>
      <c r="Y343">
        <v>-0.02</v>
      </c>
      <c r="AA343">
        <v>110781.14</v>
      </c>
      <c r="AB343">
        <v>0</v>
      </c>
      <c r="AC343">
        <v>0</v>
      </c>
      <c r="AD343">
        <v>0</v>
      </c>
      <c r="AE343">
        <v>110781.14</v>
      </c>
      <c r="AF343">
        <v>0</v>
      </c>
      <c r="AG343">
        <v>0</v>
      </c>
      <c r="AH343">
        <v>0</v>
      </c>
      <c r="AI343">
        <v>1</v>
      </c>
      <c r="AJ343">
        <v>1</v>
      </c>
      <c r="AK343">
        <v>1</v>
      </c>
      <c r="AL343">
        <v>1</v>
      </c>
      <c r="AN343">
        <v>0</v>
      </c>
      <c r="AO343">
        <v>1</v>
      </c>
      <c r="AP343">
        <v>0</v>
      </c>
      <c r="AQ343">
        <v>0</v>
      </c>
      <c r="AR343">
        <v>0</v>
      </c>
      <c r="AS343" t="s">
        <v>3</v>
      </c>
      <c r="AT343">
        <v>-0.02</v>
      </c>
      <c r="AU343" t="s">
        <v>3</v>
      </c>
      <c r="AV343">
        <v>0</v>
      </c>
      <c r="AW343">
        <v>2</v>
      </c>
      <c r="AX343">
        <v>52433383</v>
      </c>
      <c r="AY343">
        <v>1</v>
      </c>
      <c r="AZ343">
        <v>6144</v>
      </c>
      <c r="BA343">
        <v>329</v>
      </c>
      <c r="BB343">
        <v>0</v>
      </c>
      <c r="BC343">
        <v>0</v>
      </c>
      <c r="BD343">
        <v>0</v>
      </c>
      <c r="BE343">
        <v>0</v>
      </c>
      <c r="BF343">
        <v>0</v>
      </c>
      <c r="BG343">
        <v>0</v>
      </c>
      <c r="BH343">
        <v>0</v>
      </c>
      <c r="BI343">
        <v>0</v>
      </c>
      <c r="BJ343">
        <v>0</v>
      </c>
      <c r="BK343">
        <v>0</v>
      </c>
      <c r="BL343">
        <v>0</v>
      </c>
      <c r="BM343">
        <v>0</v>
      </c>
      <c r="BN343">
        <v>0</v>
      </c>
      <c r="BO343">
        <v>0</v>
      </c>
      <c r="BP343">
        <v>0</v>
      </c>
      <c r="BQ343">
        <v>0</v>
      </c>
      <c r="BR343">
        <v>0</v>
      </c>
      <c r="BS343">
        <v>0</v>
      </c>
      <c r="BT343">
        <v>0</v>
      </c>
      <c r="BU343">
        <v>0</v>
      </c>
      <c r="BV343">
        <v>0</v>
      </c>
      <c r="BW343">
        <v>0</v>
      </c>
      <c r="CX343">
        <f>Y343*Source!I361</f>
        <v>-8.0000000000000004E-4</v>
      </c>
      <c r="CY343">
        <f t="shared" ref="CY343:CY350" si="27">AA343</f>
        <v>110781.14</v>
      </c>
      <c r="CZ343">
        <f t="shared" ref="CZ343:CZ350" si="28">AE343</f>
        <v>110781.14</v>
      </c>
      <c r="DA343">
        <f t="shared" ref="DA343:DA350" si="29">AI343</f>
        <v>1</v>
      </c>
      <c r="DB343">
        <f t="shared" si="25"/>
        <v>-2215.62</v>
      </c>
      <c r="DC343">
        <f t="shared" si="26"/>
        <v>0</v>
      </c>
    </row>
    <row r="344" spans="1:107" x14ac:dyDescent="0.2">
      <c r="A344">
        <f>ROW(Source!A361)</f>
        <v>361</v>
      </c>
      <c r="B344">
        <v>52430918</v>
      </c>
      <c r="C344">
        <v>52433366</v>
      </c>
      <c r="D344">
        <v>51866048</v>
      </c>
      <c r="E344">
        <v>1</v>
      </c>
      <c r="F344">
        <v>1</v>
      </c>
      <c r="G344">
        <v>27</v>
      </c>
      <c r="H344">
        <v>3</v>
      </c>
      <c r="I344" t="s">
        <v>77</v>
      </c>
      <c r="J344" t="s">
        <v>80</v>
      </c>
      <c r="K344" t="s">
        <v>78</v>
      </c>
      <c r="L344">
        <v>1356</v>
      </c>
      <c r="N344">
        <v>1010</v>
      </c>
      <c r="O344" t="s">
        <v>79</v>
      </c>
      <c r="P344" t="s">
        <v>79</v>
      </c>
      <c r="Q344">
        <v>1000</v>
      </c>
      <c r="W344">
        <v>1</v>
      </c>
      <c r="X344">
        <v>-477329452</v>
      </c>
      <c r="Y344">
        <v>-3.6999999999999998E-2</v>
      </c>
      <c r="AA344">
        <v>10419.43</v>
      </c>
      <c r="AB344">
        <v>0</v>
      </c>
      <c r="AC344">
        <v>0</v>
      </c>
      <c r="AD344">
        <v>0</v>
      </c>
      <c r="AE344">
        <v>10419.43</v>
      </c>
      <c r="AF344">
        <v>0</v>
      </c>
      <c r="AG344">
        <v>0</v>
      </c>
      <c r="AH344">
        <v>0</v>
      </c>
      <c r="AI344">
        <v>1</v>
      </c>
      <c r="AJ344">
        <v>1</v>
      </c>
      <c r="AK344">
        <v>1</v>
      </c>
      <c r="AL344">
        <v>1</v>
      </c>
      <c r="AN344">
        <v>0</v>
      </c>
      <c r="AO344">
        <v>1</v>
      </c>
      <c r="AP344">
        <v>0</v>
      </c>
      <c r="AQ344">
        <v>0</v>
      </c>
      <c r="AR344">
        <v>0</v>
      </c>
      <c r="AS344" t="s">
        <v>3</v>
      </c>
      <c r="AT344">
        <v>-3.6999999999999998E-2</v>
      </c>
      <c r="AU344" t="s">
        <v>3</v>
      </c>
      <c r="AV344">
        <v>0</v>
      </c>
      <c r="AW344">
        <v>2</v>
      </c>
      <c r="AX344">
        <v>52433384</v>
      </c>
      <c r="AY344">
        <v>1</v>
      </c>
      <c r="AZ344">
        <v>6144</v>
      </c>
      <c r="BA344">
        <v>330</v>
      </c>
      <c r="BB344">
        <v>0</v>
      </c>
      <c r="BC344">
        <v>0</v>
      </c>
      <c r="BD344">
        <v>0</v>
      </c>
      <c r="BE344">
        <v>0</v>
      </c>
      <c r="BF344">
        <v>0</v>
      </c>
      <c r="BG344">
        <v>0</v>
      </c>
      <c r="BH344">
        <v>0</v>
      </c>
      <c r="BI344">
        <v>0</v>
      </c>
      <c r="BJ344">
        <v>0</v>
      </c>
      <c r="BK344">
        <v>0</v>
      </c>
      <c r="BL344">
        <v>0</v>
      </c>
      <c r="BM344">
        <v>0</v>
      </c>
      <c r="BN344">
        <v>0</v>
      </c>
      <c r="BO344">
        <v>0</v>
      </c>
      <c r="BP344">
        <v>0</v>
      </c>
      <c r="BQ344">
        <v>0</v>
      </c>
      <c r="BR344">
        <v>0</v>
      </c>
      <c r="BS344">
        <v>0</v>
      </c>
      <c r="BT344">
        <v>0</v>
      </c>
      <c r="BU344">
        <v>0</v>
      </c>
      <c r="BV344">
        <v>0</v>
      </c>
      <c r="BW344">
        <v>0</v>
      </c>
      <c r="CX344">
        <f>Y344*Source!I361</f>
        <v>-1.48E-3</v>
      </c>
      <c r="CY344">
        <f t="shared" si="27"/>
        <v>10419.43</v>
      </c>
      <c r="CZ344">
        <f t="shared" si="28"/>
        <v>10419.43</v>
      </c>
      <c r="DA344">
        <f t="shared" si="29"/>
        <v>1</v>
      </c>
      <c r="DB344">
        <f t="shared" si="25"/>
        <v>-385.52</v>
      </c>
      <c r="DC344">
        <f t="shared" si="26"/>
        <v>0</v>
      </c>
    </row>
    <row r="345" spans="1:107" x14ac:dyDescent="0.2">
      <c r="A345">
        <f>ROW(Source!A361)</f>
        <v>361</v>
      </c>
      <c r="B345">
        <v>52430918</v>
      </c>
      <c r="C345">
        <v>52433366</v>
      </c>
      <c r="D345">
        <v>51868609</v>
      </c>
      <c r="E345">
        <v>1</v>
      </c>
      <c r="F345">
        <v>1</v>
      </c>
      <c r="G345">
        <v>27</v>
      </c>
      <c r="H345">
        <v>3</v>
      </c>
      <c r="I345" t="s">
        <v>95</v>
      </c>
      <c r="J345" t="s">
        <v>97</v>
      </c>
      <c r="K345" t="s">
        <v>96</v>
      </c>
      <c r="L345">
        <v>1339</v>
      </c>
      <c r="N345">
        <v>1007</v>
      </c>
      <c r="O345" t="s">
        <v>28</v>
      </c>
      <c r="P345" t="s">
        <v>28</v>
      </c>
      <c r="Q345">
        <v>1</v>
      </c>
      <c r="W345">
        <v>1</v>
      </c>
      <c r="X345">
        <v>395141172</v>
      </c>
      <c r="Y345">
        <v>-5</v>
      </c>
      <c r="AA345">
        <v>3040.38</v>
      </c>
      <c r="AB345">
        <v>0</v>
      </c>
      <c r="AC345">
        <v>0</v>
      </c>
      <c r="AD345">
        <v>0</v>
      </c>
      <c r="AE345">
        <v>3040.38</v>
      </c>
      <c r="AF345">
        <v>0</v>
      </c>
      <c r="AG345">
        <v>0</v>
      </c>
      <c r="AH345">
        <v>0</v>
      </c>
      <c r="AI345">
        <v>1</v>
      </c>
      <c r="AJ345">
        <v>1</v>
      </c>
      <c r="AK345">
        <v>1</v>
      </c>
      <c r="AL345">
        <v>1</v>
      </c>
      <c r="AN345">
        <v>0</v>
      </c>
      <c r="AO345">
        <v>1</v>
      </c>
      <c r="AP345">
        <v>0</v>
      </c>
      <c r="AQ345">
        <v>0</v>
      </c>
      <c r="AR345">
        <v>0</v>
      </c>
      <c r="AS345" t="s">
        <v>3</v>
      </c>
      <c r="AT345">
        <v>-5</v>
      </c>
      <c r="AU345" t="s">
        <v>3</v>
      </c>
      <c r="AV345">
        <v>0</v>
      </c>
      <c r="AW345">
        <v>2</v>
      </c>
      <c r="AX345">
        <v>52433385</v>
      </c>
      <c r="AY345">
        <v>1</v>
      </c>
      <c r="AZ345">
        <v>6144</v>
      </c>
      <c r="BA345">
        <v>331</v>
      </c>
      <c r="BB345">
        <v>0</v>
      </c>
      <c r="BC345">
        <v>0</v>
      </c>
      <c r="BD345">
        <v>0</v>
      </c>
      <c r="BE345">
        <v>0</v>
      </c>
      <c r="BF345">
        <v>0</v>
      </c>
      <c r="BG345">
        <v>0</v>
      </c>
      <c r="BH345">
        <v>0</v>
      </c>
      <c r="BI345">
        <v>0</v>
      </c>
      <c r="BJ345">
        <v>0</v>
      </c>
      <c r="BK345">
        <v>0</v>
      </c>
      <c r="BL345">
        <v>0</v>
      </c>
      <c r="BM345">
        <v>0</v>
      </c>
      <c r="BN345">
        <v>0</v>
      </c>
      <c r="BO345">
        <v>0</v>
      </c>
      <c r="BP345">
        <v>0</v>
      </c>
      <c r="BQ345">
        <v>0</v>
      </c>
      <c r="BR345">
        <v>0</v>
      </c>
      <c r="BS345">
        <v>0</v>
      </c>
      <c r="BT345">
        <v>0</v>
      </c>
      <c r="BU345">
        <v>0</v>
      </c>
      <c r="BV345">
        <v>0</v>
      </c>
      <c r="BW345">
        <v>0</v>
      </c>
      <c r="CX345">
        <f>Y345*Source!I361</f>
        <v>-0.2</v>
      </c>
      <c r="CY345">
        <f t="shared" si="27"/>
        <v>3040.38</v>
      </c>
      <c r="CZ345">
        <f t="shared" si="28"/>
        <v>3040.38</v>
      </c>
      <c r="DA345">
        <f t="shared" si="29"/>
        <v>1</v>
      </c>
      <c r="DB345">
        <f t="shared" si="25"/>
        <v>-15201.9</v>
      </c>
      <c r="DC345">
        <f t="shared" si="26"/>
        <v>0</v>
      </c>
    </row>
    <row r="346" spans="1:107" x14ac:dyDescent="0.2">
      <c r="A346">
        <f>ROW(Source!A361)</f>
        <v>361</v>
      </c>
      <c r="B346">
        <v>52430918</v>
      </c>
      <c r="C346">
        <v>52433366</v>
      </c>
      <c r="D346">
        <v>51868749</v>
      </c>
      <c r="E346">
        <v>1</v>
      </c>
      <c r="F346">
        <v>1</v>
      </c>
      <c r="G346">
        <v>27</v>
      </c>
      <c r="H346">
        <v>3</v>
      </c>
      <c r="I346" t="s">
        <v>457</v>
      </c>
      <c r="J346" t="s">
        <v>458</v>
      </c>
      <c r="K346" t="s">
        <v>459</v>
      </c>
      <c r="L346">
        <v>1339</v>
      </c>
      <c r="N346">
        <v>1007</v>
      </c>
      <c r="O346" t="s">
        <v>28</v>
      </c>
      <c r="P346" t="s">
        <v>28</v>
      </c>
      <c r="Q346">
        <v>1</v>
      </c>
      <c r="W346">
        <v>0</v>
      </c>
      <c r="X346">
        <v>416525707</v>
      </c>
      <c r="Y346">
        <v>1.4999999999999999E-2</v>
      </c>
      <c r="AA346">
        <v>3323.4</v>
      </c>
      <c r="AB346">
        <v>0</v>
      </c>
      <c r="AC346">
        <v>0</v>
      </c>
      <c r="AD346">
        <v>0</v>
      </c>
      <c r="AE346">
        <v>3323.4</v>
      </c>
      <c r="AF346">
        <v>0</v>
      </c>
      <c r="AG346">
        <v>0</v>
      </c>
      <c r="AH346">
        <v>0</v>
      </c>
      <c r="AI346">
        <v>1</v>
      </c>
      <c r="AJ346">
        <v>1</v>
      </c>
      <c r="AK346">
        <v>1</v>
      </c>
      <c r="AL346">
        <v>1</v>
      </c>
      <c r="AN346">
        <v>0</v>
      </c>
      <c r="AO346">
        <v>1</v>
      </c>
      <c r="AP346">
        <v>0</v>
      </c>
      <c r="AQ346">
        <v>0</v>
      </c>
      <c r="AR346">
        <v>0</v>
      </c>
      <c r="AS346" t="s">
        <v>3</v>
      </c>
      <c r="AT346">
        <v>1.4999999999999999E-2</v>
      </c>
      <c r="AU346" t="s">
        <v>3</v>
      </c>
      <c r="AV346">
        <v>0</v>
      </c>
      <c r="AW346">
        <v>2</v>
      </c>
      <c r="AX346">
        <v>52433386</v>
      </c>
      <c r="AY346">
        <v>1</v>
      </c>
      <c r="AZ346">
        <v>0</v>
      </c>
      <c r="BA346">
        <v>332</v>
      </c>
      <c r="BB346">
        <v>0</v>
      </c>
      <c r="BC346">
        <v>0</v>
      </c>
      <c r="BD346">
        <v>0</v>
      </c>
      <c r="BE346">
        <v>0</v>
      </c>
      <c r="BF346">
        <v>0</v>
      </c>
      <c r="BG346">
        <v>0</v>
      </c>
      <c r="BH346">
        <v>0</v>
      </c>
      <c r="BI346">
        <v>0</v>
      </c>
      <c r="BJ346">
        <v>0</v>
      </c>
      <c r="BK346">
        <v>0</v>
      </c>
      <c r="BL346">
        <v>0</v>
      </c>
      <c r="BM346">
        <v>0</v>
      </c>
      <c r="BN346">
        <v>0</v>
      </c>
      <c r="BO346">
        <v>0</v>
      </c>
      <c r="BP346">
        <v>0</v>
      </c>
      <c r="BQ346">
        <v>0</v>
      </c>
      <c r="BR346">
        <v>0</v>
      </c>
      <c r="BS346">
        <v>0</v>
      </c>
      <c r="BT346">
        <v>0</v>
      </c>
      <c r="BU346">
        <v>0</v>
      </c>
      <c r="BV346">
        <v>0</v>
      </c>
      <c r="BW346">
        <v>0</v>
      </c>
      <c r="CX346">
        <f>Y346*Source!I361</f>
        <v>5.9999999999999995E-4</v>
      </c>
      <c r="CY346">
        <f t="shared" si="27"/>
        <v>3323.4</v>
      </c>
      <c r="CZ346">
        <f t="shared" si="28"/>
        <v>3323.4</v>
      </c>
      <c r="DA346">
        <f t="shared" si="29"/>
        <v>1</v>
      </c>
      <c r="DB346">
        <f t="shared" si="25"/>
        <v>49.85</v>
      </c>
      <c r="DC346">
        <f t="shared" si="26"/>
        <v>0</v>
      </c>
    </row>
    <row r="347" spans="1:107" x14ac:dyDescent="0.2">
      <c r="A347">
        <f>ROW(Source!A361)</f>
        <v>361</v>
      </c>
      <c r="B347">
        <v>52430918</v>
      </c>
      <c r="C347">
        <v>52433366</v>
      </c>
      <c r="D347">
        <v>0</v>
      </c>
      <c r="E347">
        <v>27</v>
      </c>
      <c r="F347">
        <v>1</v>
      </c>
      <c r="G347">
        <v>27</v>
      </c>
      <c r="H347">
        <v>3</v>
      </c>
      <c r="I347" t="s">
        <v>104</v>
      </c>
      <c r="J347" t="s">
        <v>3</v>
      </c>
      <c r="K347" t="s">
        <v>318</v>
      </c>
      <c r="L347">
        <v>1354</v>
      </c>
      <c r="N347">
        <v>1010</v>
      </c>
      <c r="O347" t="s">
        <v>106</v>
      </c>
      <c r="P347" t="s">
        <v>106</v>
      </c>
      <c r="Q347">
        <v>1</v>
      </c>
      <c r="W347">
        <v>0</v>
      </c>
      <c r="X347">
        <v>728424109</v>
      </c>
      <c r="Y347">
        <v>25</v>
      </c>
      <c r="AA347">
        <v>56666.67</v>
      </c>
      <c r="AB347">
        <v>0</v>
      </c>
      <c r="AC347">
        <v>0</v>
      </c>
      <c r="AD347">
        <v>0</v>
      </c>
      <c r="AE347">
        <v>56666.67</v>
      </c>
      <c r="AF347">
        <v>0</v>
      </c>
      <c r="AG347">
        <v>0</v>
      </c>
      <c r="AH347">
        <v>0</v>
      </c>
      <c r="AI347">
        <v>1</v>
      </c>
      <c r="AJ347">
        <v>1</v>
      </c>
      <c r="AK347">
        <v>1</v>
      </c>
      <c r="AL347">
        <v>1</v>
      </c>
      <c r="AN347">
        <v>0</v>
      </c>
      <c r="AO347">
        <v>0</v>
      </c>
      <c r="AP347">
        <v>0</v>
      </c>
      <c r="AQ347">
        <v>0</v>
      </c>
      <c r="AR347">
        <v>0</v>
      </c>
      <c r="AS347" t="s">
        <v>3</v>
      </c>
      <c r="AT347">
        <v>25</v>
      </c>
      <c r="AU347" t="s">
        <v>3</v>
      </c>
      <c r="AV347">
        <v>0</v>
      </c>
      <c r="AW347">
        <v>1</v>
      </c>
      <c r="AX347">
        <v>-1</v>
      </c>
      <c r="AY347">
        <v>0</v>
      </c>
      <c r="AZ347">
        <v>0</v>
      </c>
      <c r="BA347" t="s">
        <v>3</v>
      </c>
      <c r="BB347">
        <v>0</v>
      </c>
      <c r="BC347">
        <v>0</v>
      </c>
      <c r="BD347">
        <v>0</v>
      </c>
      <c r="BE347">
        <v>0</v>
      </c>
      <c r="BF347">
        <v>0</v>
      </c>
      <c r="BG347">
        <v>0</v>
      </c>
      <c r="BH347">
        <v>0</v>
      </c>
      <c r="BI347">
        <v>0</v>
      </c>
      <c r="BJ347">
        <v>0</v>
      </c>
      <c r="BK347">
        <v>0</v>
      </c>
      <c r="BL347">
        <v>0</v>
      </c>
      <c r="BM347">
        <v>0</v>
      </c>
      <c r="BN347">
        <v>0</v>
      </c>
      <c r="BO347">
        <v>0</v>
      </c>
      <c r="BP347">
        <v>0</v>
      </c>
      <c r="BQ347">
        <v>0</v>
      </c>
      <c r="BR347">
        <v>0</v>
      </c>
      <c r="BS347">
        <v>0</v>
      </c>
      <c r="BT347">
        <v>0</v>
      </c>
      <c r="BU347">
        <v>0</v>
      </c>
      <c r="BV347">
        <v>0</v>
      </c>
      <c r="BW347">
        <v>0</v>
      </c>
      <c r="CX347">
        <f>Y347*Source!I361</f>
        <v>1</v>
      </c>
      <c r="CY347">
        <f t="shared" si="27"/>
        <v>56666.67</v>
      </c>
      <c r="CZ347">
        <f t="shared" si="28"/>
        <v>56666.67</v>
      </c>
      <c r="DA347">
        <f t="shared" si="29"/>
        <v>1</v>
      </c>
      <c r="DB347">
        <f t="shared" si="25"/>
        <v>1416666.75</v>
      </c>
      <c r="DC347">
        <f t="shared" si="26"/>
        <v>0</v>
      </c>
    </row>
    <row r="348" spans="1:107" x14ac:dyDescent="0.2">
      <c r="A348">
        <f>ROW(Source!A361)</f>
        <v>361</v>
      </c>
      <c r="B348">
        <v>52430918</v>
      </c>
      <c r="C348">
        <v>52433366</v>
      </c>
      <c r="D348">
        <v>0</v>
      </c>
      <c r="E348">
        <v>27</v>
      </c>
      <c r="F348">
        <v>1</v>
      </c>
      <c r="G348">
        <v>27</v>
      </c>
      <c r="H348">
        <v>3</v>
      </c>
      <c r="I348" t="s">
        <v>104</v>
      </c>
      <c r="J348" t="s">
        <v>3</v>
      </c>
      <c r="K348" t="s">
        <v>203</v>
      </c>
      <c r="L348">
        <v>1354</v>
      </c>
      <c r="N348">
        <v>1010</v>
      </c>
      <c r="O348" t="s">
        <v>106</v>
      </c>
      <c r="P348" t="s">
        <v>106</v>
      </c>
      <c r="Q348">
        <v>1</v>
      </c>
      <c r="W348">
        <v>0</v>
      </c>
      <c r="X348">
        <v>954585822</v>
      </c>
      <c r="Y348">
        <v>25</v>
      </c>
      <c r="AA348">
        <v>40166.67</v>
      </c>
      <c r="AB348">
        <v>0</v>
      </c>
      <c r="AC348">
        <v>0</v>
      </c>
      <c r="AD348">
        <v>0</v>
      </c>
      <c r="AE348">
        <v>40166.67</v>
      </c>
      <c r="AF348">
        <v>0</v>
      </c>
      <c r="AG348">
        <v>0</v>
      </c>
      <c r="AH348">
        <v>0</v>
      </c>
      <c r="AI348">
        <v>1</v>
      </c>
      <c r="AJ348">
        <v>1</v>
      </c>
      <c r="AK348">
        <v>1</v>
      </c>
      <c r="AL348">
        <v>1</v>
      </c>
      <c r="AN348">
        <v>0</v>
      </c>
      <c r="AO348">
        <v>0</v>
      </c>
      <c r="AP348">
        <v>0</v>
      </c>
      <c r="AQ348">
        <v>0</v>
      </c>
      <c r="AR348">
        <v>0</v>
      </c>
      <c r="AS348" t="s">
        <v>3</v>
      </c>
      <c r="AT348">
        <v>25</v>
      </c>
      <c r="AU348" t="s">
        <v>3</v>
      </c>
      <c r="AV348">
        <v>0</v>
      </c>
      <c r="AW348">
        <v>1</v>
      </c>
      <c r="AX348">
        <v>-1</v>
      </c>
      <c r="AY348">
        <v>0</v>
      </c>
      <c r="AZ348">
        <v>0</v>
      </c>
      <c r="BA348" t="s">
        <v>3</v>
      </c>
      <c r="BB348">
        <v>0</v>
      </c>
      <c r="BC348">
        <v>0</v>
      </c>
      <c r="BD348">
        <v>0</v>
      </c>
      <c r="BE348">
        <v>0</v>
      </c>
      <c r="BF348">
        <v>0</v>
      </c>
      <c r="BG348">
        <v>0</v>
      </c>
      <c r="BH348">
        <v>0</v>
      </c>
      <c r="BI348">
        <v>0</v>
      </c>
      <c r="BJ348">
        <v>0</v>
      </c>
      <c r="BK348">
        <v>0</v>
      </c>
      <c r="BL348">
        <v>0</v>
      </c>
      <c r="BM348">
        <v>0</v>
      </c>
      <c r="BN348">
        <v>0</v>
      </c>
      <c r="BO348">
        <v>0</v>
      </c>
      <c r="BP348">
        <v>0</v>
      </c>
      <c r="BQ348">
        <v>0</v>
      </c>
      <c r="BR348">
        <v>0</v>
      </c>
      <c r="BS348">
        <v>0</v>
      </c>
      <c r="BT348">
        <v>0</v>
      </c>
      <c r="BU348">
        <v>0</v>
      </c>
      <c r="BV348">
        <v>0</v>
      </c>
      <c r="BW348">
        <v>0</v>
      </c>
      <c r="CX348">
        <f>Y348*Source!I361</f>
        <v>1</v>
      </c>
      <c r="CY348">
        <f t="shared" si="27"/>
        <v>40166.67</v>
      </c>
      <c r="CZ348">
        <f t="shared" si="28"/>
        <v>40166.67</v>
      </c>
      <c r="DA348">
        <f t="shared" si="29"/>
        <v>1</v>
      </c>
      <c r="DB348">
        <f t="shared" si="25"/>
        <v>1004166.75</v>
      </c>
      <c r="DC348">
        <f t="shared" si="26"/>
        <v>0</v>
      </c>
    </row>
    <row r="349" spans="1:107" x14ac:dyDescent="0.2">
      <c r="A349">
        <f>ROW(Source!A361)</f>
        <v>361</v>
      </c>
      <c r="B349">
        <v>52430918</v>
      </c>
      <c r="C349">
        <v>52433366</v>
      </c>
      <c r="D349">
        <v>0</v>
      </c>
      <c r="E349">
        <v>27</v>
      </c>
      <c r="F349">
        <v>1</v>
      </c>
      <c r="G349">
        <v>27</v>
      </c>
      <c r="H349">
        <v>3</v>
      </c>
      <c r="I349" t="s">
        <v>104</v>
      </c>
      <c r="J349" t="s">
        <v>3</v>
      </c>
      <c r="K349" t="s">
        <v>113</v>
      </c>
      <c r="L349">
        <v>1354</v>
      </c>
      <c r="N349">
        <v>1010</v>
      </c>
      <c r="O349" t="s">
        <v>106</v>
      </c>
      <c r="P349" t="s">
        <v>106</v>
      </c>
      <c r="Q349">
        <v>1</v>
      </c>
      <c r="W349">
        <v>0</v>
      </c>
      <c r="X349">
        <v>1794000053</v>
      </c>
      <c r="Y349">
        <v>25</v>
      </c>
      <c r="AA349">
        <v>62333.33</v>
      </c>
      <c r="AB349">
        <v>0</v>
      </c>
      <c r="AC349">
        <v>0</v>
      </c>
      <c r="AD349">
        <v>0</v>
      </c>
      <c r="AE349">
        <v>62333.33</v>
      </c>
      <c r="AF349">
        <v>0</v>
      </c>
      <c r="AG349">
        <v>0</v>
      </c>
      <c r="AH349">
        <v>0</v>
      </c>
      <c r="AI349">
        <v>1</v>
      </c>
      <c r="AJ349">
        <v>1</v>
      </c>
      <c r="AK349">
        <v>1</v>
      </c>
      <c r="AL349">
        <v>1</v>
      </c>
      <c r="AN349">
        <v>0</v>
      </c>
      <c r="AO349">
        <v>0</v>
      </c>
      <c r="AP349">
        <v>0</v>
      </c>
      <c r="AQ349">
        <v>0</v>
      </c>
      <c r="AR349">
        <v>0</v>
      </c>
      <c r="AS349" t="s">
        <v>3</v>
      </c>
      <c r="AT349">
        <v>25</v>
      </c>
      <c r="AU349" t="s">
        <v>3</v>
      </c>
      <c r="AV349">
        <v>0</v>
      </c>
      <c r="AW349">
        <v>1</v>
      </c>
      <c r="AX349">
        <v>-1</v>
      </c>
      <c r="AY349">
        <v>0</v>
      </c>
      <c r="AZ349">
        <v>0</v>
      </c>
      <c r="BA349" t="s">
        <v>3</v>
      </c>
      <c r="BB349">
        <v>0</v>
      </c>
      <c r="BC349">
        <v>0</v>
      </c>
      <c r="BD349">
        <v>0</v>
      </c>
      <c r="BE349">
        <v>0</v>
      </c>
      <c r="BF349">
        <v>0</v>
      </c>
      <c r="BG349">
        <v>0</v>
      </c>
      <c r="BH349">
        <v>0</v>
      </c>
      <c r="BI349">
        <v>0</v>
      </c>
      <c r="BJ349">
        <v>0</v>
      </c>
      <c r="BK349">
        <v>0</v>
      </c>
      <c r="BL349">
        <v>0</v>
      </c>
      <c r="BM349">
        <v>0</v>
      </c>
      <c r="BN349">
        <v>0</v>
      </c>
      <c r="BO349">
        <v>0</v>
      </c>
      <c r="BP349">
        <v>0</v>
      </c>
      <c r="BQ349">
        <v>0</v>
      </c>
      <c r="BR349">
        <v>0</v>
      </c>
      <c r="BS349">
        <v>0</v>
      </c>
      <c r="BT349">
        <v>0</v>
      </c>
      <c r="BU349">
        <v>0</v>
      </c>
      <c r="BV349">
        <v>0</v>
      </c>
      <c r="BW349">
        <v>0</v>
      </c>
      <c r="CX349">
        <f>Y349*Source!I361</f>
        <v>1</v>
      </c>
      <c r="CY349">
        <f t="shared" si="27"/>
        <v>62333.33</v>
      </c>
      <c r="CZ349">
        <f t="shared" si="28"/>
        <v>62333.33</v>
      </c>
      <c r="DA349">
        <f t="shared" si="29"/>
        <v>1</v>
      </c>
      <c r="DB349">
        <f t="shared" si="25"/>
        <v>1558333.25</v>
      </c>
      <c r="DC349">
        <f t="shared" si="26"/>
        <v>0</v>
      </c>
    </row>
    <row r="350" spans="1:107" x14ac:dyDescent="0.2">
      <c r="A350">
        <f>ROW(Source!A361)</f>
        <v>361</v>
      </c>
      <c r="B350">
        <v>52430918</v>
      </c>
      <c r="C350">
        <v>52433366</v>
      </c>
      <c r="D350">
        <v>0</v>
      </c>
      <c r="E350">
        <v>27</v>
      </c>
      <c r="F350">
        <v>1</v>
      </c>
      <c r="G350">
        <v>27</v>
      </c>
      <c r="H350">
        <v>3</v>
      </c>
      <c r="I350" t="s">
        <v>104</v>
      </c>
      <c r="J350" t="s">
        <v>3</v>
      </c>
      <c r="K350" t="s">
        <v>209</v>
      </c>
      <c r="L350">
        <v>1354</v>
      </c>
      <c r="N350">
        <v>1010</v>
      </c>
      <c r="O350" t="s">
        <v>106</v>
      </c>
      <c r="P350" t="s">
        <v>106</v>
      </c>
      <c r="Q350">
        <v>1</v>
      </c>
      <c r="W350">
        <v>0</v>
      </c>
      <c r="X350">
        <v>1617365214</v>
      </c>
      <c r="Y350">
        <v>25</v>
      </c>
      <c r="AA350">
        <v>10833.33</v>
      </c>
      <c r="AB350">
        <v>0</v>
      </c>
      <c r="AC350">
        <v>0</v>
      </c>
      <c r="AD350">
        <v>0</v>
      </c>
      <c r="AE350">
        <v>10833.33</v>
      </c>
      <c r="AF350">
        <v>0</v>
      </c>
      <c r="AG350">
        <v>0</v>
      </c>
      <c r="AH350">
        <v>0</v>
      </c>
      <c r="AI350">
        <v>1</v>
      </c>
      <c r="AJ350">
        <v>1</v>
      </c>
      <c r="AK350">
        <v>1</v>
      </c>
      <c r="AL350">
        <v>1</v>
      </c>
      <c r="AN350">
        <v>0</v>
      </c>
      <c r="AO350">
        <v>0</v>
      </c>
      <c r="AP350">
        <v>0</v>
      </c>
      <c r="AQ350">
        <v>0</v>
      </c>
      <c r="AR350">
        <v>0</v>
      </c>
      <c r="AS350" t="s">
        <v>3</v>
      </c>
      <c r="AT350">
        <v>25</v>
      </c>
      <c r="AU350" t="s">
        <v>3</v>
      </c>
      <c r="AV350">
        <v>0</v>
      </c>
      <c r="AW350">
        <v>1</v>
      </c>
      <c r="AX350">
        <v>-1</v>
      </c>
      <c r="AY350">
        <v>0</v>
      </c>
      <c r="AZ350">
        <v>0</v>
      </c>
      <c r="BA350" t="s">
        <v>3</v>
      </c>
      <c r="BB350">
        <v>0</v>
      </c>
      <c r="BC350">
        <v>0</v>
      </c>
      <c r="BD350">
        <v>0</v>
      </c>
      <c r="BE350">
        <v>0</v>
      </c>
      <c r="BF350">
        <v>0</v>
      </c>
      <c r="BG350">
        <v>0</v>
      </c>
      <c r="BH350">
        <v>0</v>
      </c>
      <c r="BI350">
        <v>0</v>
      </c>
      <c r="BJ350">
        <v>0</v>
      </c>
      <c r="BK350">
        <v>0</v>
      </c>
      <c r="BL350">
        <v>0</v>
      </c>
      <c r="BM350">
        <v>0</v>
      </c>
      <c r="BN350">
        <v>0</v>
      </c>
      <c r="BO350">
        <v>0</v>
      </c>
      <c r="BP350">
        <v>0</v>
      </c>
      <c r="BQ350">
        <v>0</v>
      </c>
      <c r="BR350">
        <v>0</v>
      </c>
      <c r="BS350">
        <v>0</v>
      </c>
      <c r="BT350">
        <v>0</v>
      </c>
      <c r="BU350">
        <v>0</v>
      </c>
      <c r="BV350">
        <v>0</v>
      </c>
      <c r="BW350">
        <v>0</v>
      </c>
      <c r="CX350">
        <f>Y350*Source!I361</f>
        <v>1</v>
      </c>
      <c r="CY350">
        <f t="shared" si="27"/>
        <v>10833.33</v>
      </c>
      <c r="CZ350">
        <f t="shared" si="28"/>
        <v>10833.33</v>
      </c>
      <c r="DA350">
        <f t="shared" si="29"/>
        <v>1</v>
      </c>
      <c r="DB350">
        <f t="shared" si="25"/>
        <v>270833.25</v>
      </c>
      <c r="DC350">
        <f t="shared" si="26"/>
        <v>0</v>
      </c>
    </row>
    <row r="351" spans="1:107" x14ac:dyDescent="0.2">
      <c r="A351">
        <f>ROW(Source!A407)</f>
        <v>407</v>
      </c>
      <c r="B351">
        <v>52430918</v>
      </c>
      <c r="C351">
        <v>52433458</v>
      </c>
      <c r="D351">
        <v>51848379</v>
      </c>
      <c r="E351">
        <v>27</v>
      </c>
      <c r="F351">
        <v>1</v>
      </c>
      <c r="G351">
        <v>27</v>
      </c>
      <c r="H351">
        <v>1</v>
      </c>
      <c r="I351" t="s">
        <v>378</v>
      </c>
      <c r="J351" t="s">
        <v>3</v>
      </c>
      <c r="K351" t="s">
        <v>379</v>
      </c>
      <c r="L351">
        <v>1191</v>
      </c>
      <c r="N351">
        <v>1013</v>
      </c>
      <c r="O351" t="s">
        <v>380</v>
      </c>
      <c r="P351" t="s">
        <v>380</v>
      </c>
      <c r="Q351">
        <v>1</v>
      </c>
      <c r="W351">
        <v>0</v>
      </c>
      <c r="X351">
        <v>476480486</v>
      </c>
      <c r="Y351">
        <v>902.75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1</v>
      </c>
      <c r="AJ351">
        <v>1</v>
      </c>
      <c r="AK351">
        <v>1</v>
      </c>
      <c r="AL351">
        <v>1</v>
      </c>
      <c r="AN351">
        <v>0</v>
      </c>
      <c r="AO351">
        <v>1</v>
      </c>
      <c r="AP351">
        <v>0</v>
      </c>
      <c r="AQ351">
        <v>0</v>
      </c>
      <c r="AR351">
        <v>0</v>
      </c>
      <c r="AS351" t="s">
        <v>3</v>
      </c>
      <c r="AT351">
        <v>902.75</v>
      </c>
      <c r="AU351" t="s">
        <v>3</v>
      </c>
      <c r="AV351">
        <v>1</v>
      </c>
      <c r="AW351">
        <v>2</v>
      </c>
      <c r="AX351">
        <v>52433471</v>
      </c>
      <c r="AY351">
        <v>1</v>
      </c>
      <c r="AZ351">
        <v>0</v>
      </c>
      <c r="BA351">
        <v>335</v>
      </c>
      <c r="BB351">
        <v>0</v>
      </c>
      <c r="BC351">
        <v>0</v>
      </c>
      <c r="BD351">
        <v>0</v>
      </c>
      <c r="BE351">
        <v>0</v>
      </c>
      <c r="BF351">
        <v>0</v>
      </c>
      <c r="BG351">
        <v>0</v>
      </c>
      <c r="BH351">
        <v>0</v>
      </c>
      <c r="BI351">
        <v>0</v>
      </c>
      <c r="BJ351">
        <v>0</v>
      </c>
      <c r="BK351">
        <v>0</v>
      </c>
      <c r="BL351">
        <v>0</v>
      </c>
      <c r="BM351">
        <v>0</v>
      </c>
      <c r="BN351">
        <v>0</v>
      </c>
      <c r="BO351">
        <v>0</v>
      </c>
      <c r="BP351">
        <v>0</v>
      </c>
      <c r="BQ351">
        <v>0</v>
      </c>
      <c r="BR351">
        <v>0</v>
      </c>
      <c r="BS351">
        <v>0</v>
      </c>
      <c r="BT351">
        <v>0</v>
      </c>
      <c r="BU351">
        <v>0</v>
      </c>
      <c r="BV351">
        <v>0</v>
      </c>
      <c r="BW351">
        <v>0</v>
      </c>
      <c r="CX351">
        <f>Y351*Source!I407</f>
        <v>27.0825</v>
      </c>
      <c r="CY351">
        <f>AD351</f>
        <v>0</v>
      </c>
      <c r="CZ351">
        <f>AH351</f>
        <v>0</v>
      </c>
      <c r="DA351">
        <f>AL351</f>
        <v>1</v>
      </c>
      <c r="DB351">
        <f t="shared" si="25"/>
        <v>0</v>
      </c>
      <c r="DC351">
        <f t="shared" si="26"/>
        <v>0</v>
      </c>
    </row>
    <row r="352" spans="1:107" x14ac:dyDescent="0.2">
      <c r="A352">
        <f>ROW(Source!A407)</f>
        <v>407</v>
      </c>
      <c r="B352">
        <v>52430918</v>
      </c>
      <c r="C352">
        <v>52433458</v>
      </c>
      <c r="D352">
        <v>51864800</v>
      </c>
      <c r="E352">
        <v>1</v>
      </c>
      <c r="F352">
        <v>1</v>
      </c>
      <c r="G352">
        <v>27</v>
      </c>
      <c r="H352">
        <v>2</v>
      </c>
      <c r="I352" t="s">
        <v>91</v>
      </c>
      <c r="J352" t="s">
        <v>93</v>
      </c>
      <c r="K352" t="s">
        <v>92</v>
      </c>
      <c r="L352">
        <v>1368</v>
      </c>
      <c r="N352">
        <v>1011</v>
      </c>
      <c r="O352" t="s">
        <v>84</v>
      </c>
      <c r="P352" t="s">
        <v>84</v>
      </c>
      <c r="Q352">
        <v>1</v>
      </c>
      <c r="W352">
        <v>1</v>
      </c>
      <c r="X352">
        <v>-1957514721</v>
      </c>
      <c r="Y352">
        <v>-0.09</v>
      </c>
      <c r="AA352">
        <v>0</v>
      </c>
      <c r="AB352">
        <v>1009.65</v>
      </c>
      <c r="AC352">
        <v>554.42999999999995</v>
      </c>
      <c r="AD352">
        <v>0</v>
      </c>
      <c r="AE352">
        <v>0</v>
      </c>
      <c r="AF352">
        <v>1009.65</v>
      </c>
      <c r="AG352">
        <v>554.42999999999995</v>
      </c>
      <c r="AH352">
        <v>0</v>
      </c>
      <c r="AI352">
        <v>1</v>
      </c>
      <c r="AJ352">
        <v>1</v>
      </c>
      <c r="AK352">
        <v>1</v>
      </c>
      <c r="AL352">
        <v>1</v>
      </c>
      <c r="AN352">
        <v>0</v>
      </c>
      <c r="AO352">
        <v>1</v>
      </c>
      <c r="AP352">
        <v>0</v>
      </c>
      <c r="AQ352">
        <v>0</v>
      </c>
      <c r="AR352">
        <v>0</v>
      </c>
      <c r="AS352" t="s">
        <v>3</v>
      </c>
      <c r="AT352">
        <v>-0.09</v>
      </c>
      <c r="AU352" t="s">
        <v>3</v>
      </c>
      <c r="AV352">
        <v>0</v>
      </c>
      <c r="AW352">
        <v>2</v>
      </c>
      <c r="AX352">
        <v>52433472</v>
      </c>
      <c r="AY352">
        <v>1</v>
      </c>
      <c r="AZ352">
        <v>6144</v>
      </c>
      <c r="BA352">
        <v>336</v>
      </c>
      <c r="BB352">
        <v>0</v>
      </c>
      <c r="BC352">
        <v>0</v>
      </c>
      <c r="BD352">
        <v>0</v>
      </c>
      <c r="BE352">
        <v>0</v>
      </c>
      <c r="BF352">
        <v>0</v>
      </c>
      <c r="BG352">
        <v>0</v>
      </c>
      <c r="BH352">
        <v>0</v>
      </c>
      <c r="BI352">
        <v>0</v>
      </c>
      <c r="BJ352">
        <v>0</v>
      </c>
      <c r="BK352">
        <v>0</v>
      </c>
      <c r="BL352">
        <v>0</v>
      </c>
      <c r="BM352">
        <v>0</v>
      </c>
      <c r="BN352">
        <v>0</v>
      </c>
      <c r="BO352">
        <v>0</v>
      </c>
      <c r="BP352">
        <v>0</v>
      </c>
      <c r="BQ352">
        <v>0</v>
      </c>
      <c r="BR352">
        <v>0</v>
      </c>
      <c r="BS352">
        <v>0</v>
      </c>
      <c r="BT352">
        <v>0</v>
      </c>
      <c r="BU352">
        <v>0</v>
      </c>
      <c r="BV352">
        <v>0</v>
      </c>
      <c r="BW352">
        <v>0</v>
      </c>
      <c r="CX352">
        <f>Y352*Source!I407</f>
        <v>-2.6999999999999997E-3</v>
      </c>
      <c r="CY352">
        <f>AB352</f>
        <v>1009.65</v>
      </c>
      <c r="CZ352">
        <f>AF352</f>
        <v>1009.65</v>
      </c>
      <c r="DA352">
        <f>AJ352</f>
        <v>1</v>
      </c>
      <c r="DB352">
        <f t="shared" si="25"/>
        <v>-90.87</v>
      </c>
      <c r="DC352">
        <f t="shared" si="26"/>
        <v>-49.9</v>
      </c>
    </row>
    <row r="353" spans="1:107" x14ac:dyDescent="0.2">
      <c r="A353">
        <f>ROW(Source!A407)</f>
        <v>407</v>
      </c>
      <c r="B353">
        <v>52430918</v>
      </c>
      <c r="C353">
        <v>52433458</v>
      </c>
      <c r="D353">
        <v>51865257</v>
      </c>
      <c r="E353">
        <v>1</v>
      </c>
      <c r="F353">
        <v>1</v>
      </c>
      <c r="G353">
        <v>27</v>
      </c>
      <c r="H353">
        <v>2</v>
      </c>
      <c r="I353" t="s">
        <v>87</v>
      </c>
      <c r="J353" t="s">
        <v>89</v>
      </c>
      <c r="K353" t="s">
        <v>88</v>
      </c>
      <c r="L353">
        <v>1368</v>
      </c>
      <c r="N353">
        <v>1011</v>
      </c>
      <c r="O353" t="s">
        <v>84</v>
      </c>
      <c r="P353" t="s">
        <v>84</v>
      </c>
      <c r="Q353">
        <v>1</v>
      </c>
      <c r="W353">
        <v>1</v>
      </c>
      <c r="X353">
        <v>-1757825014</v>
      </c>
      <c r="Y353">
        <v>-14.5</v>
      </c>
      <c r="AA353">
        <v>0</v>
      </c>
      <c r="AB353">
        <v>27.21</v>
      </c>
      <c r="AC353">
        <v>0.13</v>
      </c>
      <c r="AD353">
        <v>0</v>
      </c>
      <c r="AE353">
        <v>0</v>
      </c>
      <c r="AF353">
        <v>27.21</v>
      </c>
      <c r="AG353">
        <v>0.13</v>
      </c>
      <c r="AH353">
        <v>0</v>
      </c>
      <c r="AI353">
        <v>1</v>
      </c>
      <c r="AJ353">
        <v>1</v>
      </c>
      <c r="AK353">
        <v>1</v>
      </c>
      <c r="AL353">
        <v>1</v>
      </c>
      <c r="AN353">
        <v>0</v>
      </c>
      <c r="AO353">
        <v>1</v>
      </c>
      <c r="AP353">
        <v>0</v>
      </c>
      <c r="AQ353">
        <v>0</v>
      </c>
      <c r="AR353">
        <v>0</v>
      </c>
      <c r="AS353" t="s">
        <v>3</v>
      </c>
      <c r="AT353">
        <v>-14.5</v>
      </c>
      <c r="AU353" t="s">
        <v>3</v>
      </c>
      <c r="AV353">
        <v>0</v>
      </c>
      <c r="AW353">
        <v>2</v>
      </c>
      <c r="AX353">
        <v>52433473</v>
      </c>
      <c r="AY353">
        <v>1</v>
      </c>
      <c r="AZ353">
        <v>6144</v>
      </c>
      <c r="BA353">
        <v>337</v>
      </c>
      <c r="BB353">
        <v>0</v>
      </c>
      <c r="BC353">
        <v>0</v>
      </c>
      <c r="BD353">
        <v>0</v>
      </c>
      <c r="BE353">
        <v>0</v>
      </c>
      <c r="BF353">
        <v>0</v>
      </c>
      <c r="BG353">
        <v>0</v>
      </c>
      <c r="BH353">
        <v>0</v>
      </c>
      <c r="BI353">
        <v>0</v>
      </c>
      <c r="BJ353">
        <v>0</v>
      </c>
      <c r="BK353">
        <v>0</v>
      </c>
      <c r="BL353">
        <v>0</v>
      </c>
      <c r="BM353">
        <v>0</v>
      </c>
      <c r="BN353">
        <v>0</v>
      </c>
      <c r="BO353">
        <v>0</v>
      </c>
      <c r="BP353">
        <v>0</v>
      </c>
      <c r="BQ353">
        <v>0</v>
      </c>
      <c r="BR353">
        <v>0</v>
      </c>
      <c r="BS353">
        <v>0</v>
      </c>
      <c r="BT353">
        <v>0</v>
      </c>
      <c r="BU353">
        <v>0</v>
      </c>
      <c r="BV353">
        <v>0</v>
      </c>
      <c r="BW353">
        <v>0</v>
      </c>
      <c r="CX353">
        <f>Y353*Source!I407</f>
        <v>-0.435</v>
      </c>
      <c r="CY353">
        <f>AB353</f>
        <v>27.21</v>
      </c>
      <c r="CZ353">
        <f>AF353</f>
        <v>27.21</v>
      </c>
      <c r="DA353">
        <f>AJ353</f>
        <v>1</v>
      </c>
      <c r="DB353">
        <f t="shared" si="25"/>
        <v>-394.55</v>
      </c>
      <c r="DC353">
        <f t="shared" si="26"/>
        <v>-1.89</v>
      </c>
    </row>
    <row r="354" spans="1:107" x14ac:dyDescent="0.2">
      <c r="A354">
        <f>ROW(Source!A407)</f>
        <v>407</v>
      </c>
      <c r="B354">
        <v>52430918</v>
      </c>
      <c r="C354">
        <v>52433458</v>
      </c>
      <c r="D354">
        <v>51865090</v>
      </c>
      <c r="E354">
        <v>1</v>
      </c>
      <c r="F354">
        <v>1</v>
      </c>
      <c r="G354">
        <v>27</v>
      </c>
      <c r="H354">
        <v>2</v>
      </c>
      <c r="I354" t="s">
        <v>82</v>
      </c>
      <c r="J354" t="s">
        <v>85</v>
      </c>
      <c r="K354" t="s">
        <v>83</v>
      </c>
      <c r="L354">
        <v>1368</v>
      </c>
      <c r="N354">
        <v>1011</v>
      </c>
      <c r="O354" t="s">
        <v>84</v>
      </c>
      <c r="P354" t="s">
        <v>84</v>
      </c>
      <c r="Q354">
        <v>1</v>
      </c>
      <c r="W354">
        <v>1</v>
      </c>
      <c r="X354">
        <v>1349119844</v>
      </c>
      <c r="Y354">
        <v>-5.44</v>
      </c>
      <c r="AA354">
        <v>0</v>
      </c>
      <c r="AB354">
        <v>10.82</v>
      </c>
      <c r="AC354">
        <v>2.97</v>
      </c>
      <c r="AD354">
        <v>0</v>
      </c>
      <c r="AE354">
        <v>0</v>
      </c>
      <c r="AF354">
        <v>10.82</v>
      </c>
      <c r="AG354">
        <v>2.97</v>
      </c>
      <c r="AH354">
        <v>0</v>
      </c>
      <c r="AI354">
        <v>1</v>
      </c>
      <c r="AJ354">
        <v>1</v>
      </c>
      <c r="AK354">
        <v>1</v>
      </c>
      <c r="AL354">
        <v>1</v>
      </c>
      <c r="AN354">
        <v>0</v>
      </c>
      <c r="AO354">
        <v>1</v>
      </c>
      <c r="AP354">
        <v>0</v>
      </c>
      <c r="AQ354">
        <v>0</v>
      </c>
      <c r="AR354">
        <v>0</v>
      </c>
      <c r="AS354" t="s">
        <v>3</v>
      </c>
      <c r="AT354">
        <v>-5.44</v>
      </c>
      <c r="AU354" t="s">
        <v>3</v>
      </c>
      <c r="AV354">
        <v>0</v>
      </c>
      <c r="AW354">
        <v>2</v>
      </c>
      <c r="AX354">
        <v>52433474</v>
      </c>
      <c r="AY354">
        <v>1</v>
      </c>
      <c r="AZ354">
        <v>6144</v>
      </c>
      <c r="BA354">
        <v>338</v>
      </c>
      <c r="BB354">
        <v>0</v>
      </c>
      <c r="BC354">
        <v>0</v>
      </c>
      <c r="BD354">
        <v>0</v>
      </c>
      <c r="BE354">
        <v>0</v>
      </c>
      <c r="BF354">
        <v>0</v>
      </c>
      <c r="BG354">
        <v>0</v>
      </c>
      <c r="BH354">
        <v>0</v>
      </c>
      <c r="BI354">
        <v>0</v>
      </c>
      <c r="BJ354">
        <v>0</v>
      </c>
      <c r="BK354">
        <v>0</v>
      </c>
      <c r="BL354">
        <v>0</v>
      </c>
      <c r="BM354">
        <v>0</v>
      </c>
      <c r="BN354">
        <v>0</v>
      </c>
      <c r="BO354">
        <v>0</v>
      </c>
      <c r="BP354">
        <v>0</v>
      </c>
      <c r="BQ354">
        <v>0</v>
      </c>
      <c r="BR354">
        <v>0</v>
      </c>
      <c r="BS354">
        <v>0</v>
      </c>
      <c r="BT354">
        <v>0</v>
      </c>
      <c r="BU354">
        <v>0</v>
      </c>
      <c r="BV354">
        <v>0</v>
      </c>
      <c r="BW354">
        <v>0</v>
      </c>
      <c r="CX354">
        <f>Y354*Source!I407</f>
        <v>-0.16320000000000001</v>
      </c>
      <c r="CY354">
        <f>AB354</f>
        <v>10.82</v>
      </c>
      <c r="CZ354">
        <f>AF354</f>
        <v>10.82</v>
      </c>
      <c r="DA354">
        <f>AJ354</f>
        <v>1</v>
      </c>
      <c r="DB354">
        <f t="shared" si="25"/>
        <v>-58.86</v>
      </c>
      <c r="DC354">
        <f t="shared" si="26"/>
        <v>-16.16</v>
      </c>
    </row>
    <row r="355" spans="1:107" x14ac:dyDescent="0.2">
      <c r="A355">
        <f>ROW(Source!A407)</f>
        <v>407</v>
      </c>
      <c r="B355">
        <v>52430918</v>
      </c>
      <c r="C355">
        <v>52433458</v>
      </c>
      <c r="D355">
        <v>51867612</v>
      </c>
      <c r="E355">
        <v>1</v>
      </c>
      <c r="F355">
        <v>1</v>
      </c>
      <c r="G355">
        <v>27</v>
      </c>
      <c r="H355">
        <v>3</v>
      </c>
      <c r="I355" t="s">
        <v>99</v>
      </c>
      <c r="J355" t="s">
        <v>102</v>
      </c>
      <c r="K355" t="s">
        <v>100</v>
      </c>
      <c r="L355">
        <v>1348</v>
      </c>
      <c r="N355">
        <v>1009</v>
      </c>
      <c r="O355" t="s">
        <v>101</v>
      </c>
      <c r="P355" t="s">
        <v>101</v>
      </c>
      <c r="Q355">
        <v>1000</v>
      </c>
      <c r="W355">
        <v>1</v>
      </c>
      <c r="X355">
        <v>-672771621</v>
      </c>
      <c r="Y355">
        <v>-0.02</v>
      </c>
      <c r="AA355">
        <v>110781.14</v>
      </c>
      <c r="AB355">
        <v>0</v>
      </c>
      <c r="AC355">
        <v>0</v>
      </c>
      <c r="AD355">
        <v>0</v>
      </c>
      <c r="AE355">
        <v>110781.14</v>
      </c>
      <c r="AF355">
        <v>0</v>
      </c>
      <c r="AG355">
        <v>0</v>
      </c>
      <c r="AH355">
        <v>0</v>
      </c>
      <c r="AI355">
        <v>1</v>
      </c>
      <c r="AJ355">
        <v>1</v>
      </c>
      <c r="AK355">
        <v>1</v>
      </c>
      <c r="AL355">
        <v>1</v>
      </c>
      <c r="AN355">
        <v>0</v>
      </c>
      <c r="AO355">
        <v>1</v>
      </c>
      <c r="AP355">
        <v>0</v>
      </c>
      <c r="AQ355">
        <v>0</v>
      </c>
      <c r="AR355">
        <v>0</v>
      </c>
      <c r="AS355" t="s">
        <v>3</v>
      </c>
      <c r="AT355">
        <v>-0.02</v>
      </c>
      <c r="AU355" t="s">
        <v>3</v>
      </c>
      <c r="AV355">
        <v>0</v>
      </c>
      <c r="AW355">
        <v>2</v>
      </c>
      <c r="AX355">
        <v>52433475</v>
      </c>
      <c r="AY355">
        <v>1</v>
      </c>
      <c r="AZ355">
        <v>6144</v>
      </c>
      <c r="BA355">
        <v>339</v>
      </c>
      <c r="BB355">
        <v>0</v>
      </c>
      <c r="BC355">
        <v>0</v>
      </c>
      <c r="BD355">
        <v>0</v>
      </c>
      <c r="BE355">
        <v>0</v>
      </c>
      <c r="BF355">
        <v>0</v>
      </c>
      <c r="BG355">
        <v>0</v>
      </c>
      <c r="BH355">
        <v>0</v>
      </c>
      <c r="BI355">
        <v>0</v>
      </c>
      <c r="BJ355">
        <v>0</v>
      </c>
      <c r="BK355">
        <v>0</v>
      </c>
      <c r="BL355">
        <v>0</v>
      </c>
      <c r="BM355">
        <v>0</v>
      </c>
      <c r="BN355">
        <v>0</v>
      </c>
      <c r="BO355">
        <v>0</v>
      </c>
      <c r="BP355">
        <v>0</v>
      </c>
      <c r="BQ355">
        <v>0</v>
      </c>
      <c r="BR355">
        <v>0</v>
      </c>
      <c r="BS355">
        <v>0</v>
      </c>
      <c r="BT355">
        <v>0</v>
      </c>
      <c r="BU355">
        <v>0</v>
      </c>
      <c r="BV355">
        <v>0</v>
      </c>
      <c r="BW355">
        <v>0</v>
      </c>
      <c r="CX355">
        <f>Y355*Source!I407</f>
        <v>-5.9999999999999995E-4</v>
      </c>
      <c r="CY355">
        <f t="shared" ref="CY355:CY361" si="30">AA355</f>
        <v>110781.14</v>
      </c>
      <c r="CZ355">
        <f t="shared" ref="CZ355:CZ361" si="31">AE355</f>
        <v>110781.14</v>
      </c>
      <c r="DA355">
        <f t="shared" ref="DA355:DA361" si="32">AI355</f>
        <v>1</v>
      </c>
      <c r="DB355">
        <f t="shared" si="25"/>
        <v>-2215.62</v>
      </c>
      <c r="DC355">
        <f t="shared" si="26"/>
        <v>0</v>
      </c>
    </row>
    <row r="356" spans="1:107" x14ac:dyDescent="0.2">
      <c r="A356">
        <f>ROW(Source!A407)</f>
        <v>407</v>
      </c>
      <c r="B356">
        <v>52430918</v>
      </c>
      <c r="C356">
        <v>52433458</v>
      </c>
      <c r="D356">
        <v>51866048</v>
      </c>
      <c r="E356">
        <v>1</v>
      </c>
      <c r="F356">
        <v>1</v>
      </c>
      <c r="G356">
        <v>27</v>
      </c>
      <c r="H356">
        <v>3</v>
      </c>
      <c r="I356" t="s">
        <v>77</v>
      </c>
      <c r="J356" t="s">
        <v>80</v>
      </c>
      <c r="K356" t="s">
        <v>78</v>
      </c>
      <c r="L356">
        <v>1356</v>
      </c>
      <c r="N356">
        <v>1010</v>
      </c>
      <c r="O356" t="s">
        <v>79</v>
      </c>
      <c r="P356" t="s">
        <v>79</v>
      </c>
      <c r="Q356">
        <v>1000</v>
      </c>
      <c r="W356">
        <v>1</v>
      </c>
      <c r="X356">
        <v>-477329452</v>
      </c>
      <c r="Y356">
        <v>-3.6999999999999998E-2</v>
      </c>
      <c r="AA356">
        <v>10419.43</v>
      </c>
      <c r="AB356">
        <v>0</v>
      </c>
      <c r="AC356">
        <v>0</v>
      </c>
      <c r="AD356">
        <v>0</v>
      </c>
      <c r="AE356">
        <v>10419.43</v>
      </c>
      <c r="AF356">
        <v>0</v>
      </c>
      <c r="AG356">
        <v>0</v>
      </c>
      <c r="AH356">
        <v>0</v>
      </c>
      <c r="AI356">
        <v>1</v>
      </c>
      <c r="AJ356">
        <v>1</v>
      </c>
      <c r="AK356">
        <v>1</v>
      </c>
      <c r="AL356">
        <v>1</v>
      </c>
      <c r="AN356">
        <v>0</v>
      </c>
      <c r="AO356">
        <v>1</v>
      </c>
      <c r="AP356">
        <v>0</v>
      </c>
      <c r="AQ356">
        <v>0</v>
      </c>
      <c r="AR356">
        <v>0</v>
      </c>
      <c r="AS356" t="s">
        <v>3</v>
      </c>
      <c r="AT356">
        <v>-3.6999999999999998E-2</v>
      </c>
      <c r="AU356" t="s">
        <v>3</v>
      </c>
      <c r="AV356">
        <v>0</v>
      </c>
      <c r="AW356">
        <v>2</v>
      </c>
      <c r="AX356">
        <v>52433476</v>
      </c>
      <c r="AY356">
        <v>1</v>
      </c>
      <c r="AZ356">
        <v>6144</v>
      </c>
      <c r="BA356">
        <v>340</v>
      </c>
      <c r="BB356">
        <v>0</v>
      </c>
      <c r="BC356">
        <v>0</v>
      </c>
      <c r="BD356">
        <v>0</v>
      </c>
      <c r="BE356">
        <v>0</v>
      </c>
      <c r="BF356">
        <v>0</v>
      </c>
      <c r="BG356">
        <v>0</v>
      </c>
      <c r="BH356">
        <v>0</v>
      </c>
      <c r="BI356">
        <v>0</v>
      </c>
      <c r="BJ356">
        <v>0</v>
      </c>
      <c r="BK356">
        <v>0</v>
      </c>
      <c r="BL356">
        <v>0</v>
      </c>
      <c r="BM356">
        <v>0</v>
      </c>
      <c r="BN356">
        <v>0</v>
      </c>
      <c r="BO356">
        <v>0</v>
      </c>
      <c r="BP356">
        <v>0</v>
      </c>
      <c r="BQ356">
        <v>0</v>
      </c>
      <c r="BR356">
        <v>0</v>
      </c>
      <c r="BS356">
        <v>0</v>
      </c>
      <c r="BT356">
        <v>0</v>
      </c>
      <c r="BU356">
        <v>0</v>
      </c>
      <c r="BV356">
        <v>0</v>
      </c>
      <c r="BW356">
        <v>0</v>
      </c>
      <c r="CX356">
        <f>Y356*Source!I407</f>
        <v>-1.1099999999999999E-3</v>
      </c>
      <c r="CY356">
        <f t="shared" si="30"/>
        <v>10419.43</v>
      </c>
      <c r="CZ356">
        <f t="shared" si="31"/>
        <v>10419.43</v>
      </c>
      <c r="DA356">
        <f t="shared" si="32"/>
        <v>1</v>
      </c>
      <c r="DB356">
        <f t="shared" si="25"/>
        <v>-385.52</v>
      </c>
      <c r="DC356">
        <f t="shared" si="26"/>
        <v>0</v>
      </c>
    </row>
    <row r="357" spans="1:107" x14ac:dyDescent="0.2">
      <c r="A357">
        <f>ROW(Source!A407)</f>
        <v>407</v>
      </c>
      <c r="B357">
        <v>52430918</v>
      </c>
      <c r="C357">
        <v>52433458</v>
      </c>
      <c r="D357">
        <v>51868609</v>
      </c>
      <c r="E357">
        <v>1</v>
      </c>
      <c r="F357">
        <v>1</v>
      </c>
      <c r="G357">
        <v>27</v>
      </c>
      <c r="H357">
        <v>3</v>
      </c>
      <c r="I357" t="s">
        <v>95</v>
      </c>
      <c r="J357" t="s">
        <v>97</v>
      </c>
      <c r="K357" t="s">
        <v>96</v>
      </c>
      <c r="L357">
        <v>1339</v>
      </c>
      <c r="N357">
        <v>1007</v>
      </c>
      <c r="O357" t="s">
        <v>28</v>
      </c>
      <c r="P357" t="s">
        <v>28</v>
      </c>
      <c r="Q357">
        <v>1</v>
      </c>
      <c r="W357">
        <v>1</v>
      </c>
      <c r="X357">
        <v>395141172</v>
      </c>
      <c r="Y357">
        <v>-5</v>
      </c>
      <c r="AA357">
        <v>3040.38</v>
      </c>
      <c r="AB357">
        <v>0</v>
      </c>
      <c r="AC357">
        <v>0</v>
      </c>
      <c r="AD357">
        <v>0</v>
      </c>
      <c r="AE357">
        <v>3040.38</v>
      </c>
      <c r="AF357">
        <v>0</v>
      </c>
      <c r="AG357">
        <v>0</v>
      </c>
      <c r="AH357">
        <v>0</v>
      </c>
      <c r="AI357">
        <v>1</v>
      </c>
      <c r="AJ357">
        <v>1</v>
      </c>
      <c r="AK357">
        <v>1</v>
      </c>
      <c r="AL357">
        <v>1</v>
      </c>
      <c r="AN357">
        <v>0</v>
      </c>
      <c r="AO357">
        <v>1</v>
      </c>
      <c r="AP357">
        <v>0</v>
      </c>
      <c r="AQ357">
        <v>0</v>
      </c>
      <c r="AR357">
        <v>0</v>
      </c>
      <c r="AS357" t="s">
        <v>3</v>
      </c>
      <c r="AT357">
        <v>-5</v>
      </c>
      <c r="AU357" t="s">
        <v>3</v>
      </c>
      <c r="AV357">
        <v>0</v>
      </c>
      <c r="AW357">
        <v>2</v>
      </c>
      <c r="AX357">
        <v>52433477</v>
      </c>
      <c r="AY357">
        <v>1</v>
      </c>
      <c r="AZ357">
        <v>6144</v>
      </c>
      <c r="BA357">
        <v>341</v>
      </c>
      <c r="BB357">
        <v>0</v>
      </c>
      <c r="BC357">
        <v>0</v>
      </c>
      <c r="BD357">
        <v>0</v>
      </c>
      <c r="BE357">
        <v>0</v>
      </c>
      <c r="BF357">
        <v>0</v>
      </c>
      <c r="BG357">
        <v>0</v>
      </c>
      <c r="BH357">
        <v>0</v>
      </c>
      <c r="BI357">
        <v>0</v>
      </c>
      <c r="BJ357">
        <v>0</v>
      </c>
      <c r="BK357">
        <v>0</v>
      </c>
      <c r="BL357">
        <v>0</v>
      </c>
      <c r="BM357">
        <v>0</v>
      </c>
      <c r="BN357">
        <v>0</v>
      </c>
      <c r="BO357">
        <v>0</v>
      </c>
      <c r="BP357">
        <v>0</v>
      </c>
      <c r="BQ357">
        <v>0</v>
      </c>
      <c r="BR357">
        <v>0</v>
      </c>
      <c r="BS357">
        <v>0</v>
      </c>
      <c r="BT357">
        <v>0</v>
      </c>
      <c r="BU357">
        <v>0</v>
      </c>
      <c r="BV357">
        <v>0</v>
      </c>
      <c r="BW357">
        <v>0</v>
      </c>
      <c r="CX357">
        <f>Y357*Source!I407</f>
        <v>-0.15</v>
      </c>
      <c r="CY357">
        <f t="shared" si="30"/>
        <v>3040.38</v>
      </c>
      <c r="CZ357">
        <f t="shared" si="31"/>
        <v>3040.38</v>
      </c>
      <c r="DA357">
        <f t="shared" si="32"/>
        <v>1</v>
      </c>
      <c r="DB357">
        <f t="shared" si="25"/>
        <v>-15201.9</v>
      </c>
      <c r="DC357">
        <f t="shared" si="26"/>
        <v>0</v>
      </c>
    </row>
    <row r="358" spans="1:107" x14ac:dyDescent="0.2">
      <c r="A358">
        <f>ROW(Source!A407)</f>
        <v>407</v>
      </c>
      <c r="B358">
        <v>52430918</v>
      </c>
      <c r="C358">
        <v>52433458</v>
      </c>
      <c r="D358">
        <v>51868749</v>
      </c>
      <c r="E358">
        <v>1</v>
      </c>
      <c r="F358">
        <v>1</v>
      </c>
      <c r="G358">
        <v>27</v>
      </c>
      <c r="H358">
        <v>3</v>
      </c>
      <c r="I358" t="s">
        <v>457</v>
      </c>
      <c r="J358" t="s">
        <v>458</v>
      </c>
      <c r="K358" t="s">
        <v>459</v>
      </c>
      <c r="L358">
        <v>1339</v>
      </c>
      <c r="N358">
        <v>1007</v>
      </c>
      <c r="O358" t="s">
        <v>28</v>
      </c>
      <c r="P358" t="s">
        <v>28</v>
      </c>
      <c r="Q358">
        <v>1</v>
      </c>
      <c r="W358">
        <v>0</v>
      </c>
      <c r="X358">
        <v>416525707</v>
      </c>
      <c r="Y358">
        <v>1.4999999999999999E-2</v>
      </c>
      <c r="AA358">
        <v>3323.4</v>
      </c>
      <c r="AB358">
        <v>0</v>
      </c>
      <c r="AC358">
        <v>0</v>
      </c>
      <c r="AD358">
        <v>0</v>
      </c>
      <c r="AE358">
        <v>3323.4</v>
      </c>
      <c r="AF358">
        <v>0</v>
      </c>
      <c r="AG358">
        <v>0</v>
      </c>
      <c r="AH358">
        <v>0</v>
      </c>
      <c r="AI358">
        <v>1</v>
      </c>
      <c r="AJ358">
        <v>1</v>
      </c>
      <c r="AK358">
        <v>1</v>
      </c>
      <c r="AL358">
        <v>1</v>
      </c>
      <c r="AN358">
        <v>0</v>
      </c>
      <c r="AO358">
        <v>1</v>
      </c>
      <c r="AP358">
        <v>0</v>
      </c>
      <c r="AQ358">
        <v>0</v>
      </c>
      <c r="AR358">
        <v>0</v>
      </c>
      <c r="AS358" t="s">
        <v>3</v>
      </c>
      <c r="AT358">
        <v>1.4999999999999999E-2</v>
      </c>
      <c r="AU358" t="s">
        <v>3</v>
      </c>
      <c r="AV358">
        <v>0</v>
      </c>
      <c r="AW358">
        <v>2</v>
      </c>
      <c r="AX358">
        <v>52433478</v>
      </c>
      <c r="AY358">
        <v>1</v>
      </c>
      <c r="AZ358">
        <v>0</v>
      </c>
      <c r="BA358">
        <v>342</v>
      </c>
      <c r="BB358">
        <v>0</v>
      </c>
      <c r="BC358">
        <v>0</v>
      </c>
      <c r="BD358">
        <v>0</v>
      </c>
      <c r="BE358">
        <v>0</v>
      </c>
      <c r="BF358">
        <v>0</v>
      </c>
      <c r="BG358">
        <v>0</v>
      </c>
      <c r="BH358">
        <v>0</v>
      </c>
      <c r="BI358">
        <v>0</v>
      </c>
      <c r="BJ358">
        <v>0</v>
      </c>
      <c r="BK358">
        <v>0</v>
      </c>
      <c r="BL358">
        <v>0</v>
      </c>
      <c r="BM358">
        <v>0</v>
      </c>
      <c r="BN358">
        <v>0</v>
      </c>
      <c r="BO358">
        <v>0</v>
      </c>
      <c r="BP358">
        <v>0</v>
      </c>
      <c r="BQ358">
        <v>0</v>
      </c>
      <c r="BR358">
        <v>0</v>
      </c>
      <c r="BS358">
        <v>0</v>
      </c>
      <c r="BT358">
        <v>0</v>
      </c>
      <c r="BU358">
        <v>0</v>
      </c>
      <c r="BV358">
        <v>0</v>
      </c>
      <c r="BW358">
        <v>0</v>
      </c>
      <c r="CX358">
        <f>Y358*Source!I407</f>
        <v>4.4999999999999999E-4</v>
      </c>
      <c r="CY358">
        <f t="shared" si="30"/>
        <v>3323.4</v>
      </c>
      <c r="CZ358">
        <f t="shared" si="31"/>
        <v>3323.4</v>
      </c>
      <c r="DA358">
        <f t="shared" si="32"/>
        <v>1</v>
      </c>
      <c r="DB358">
        <f t="shared" si="25"/>
        <v>49.85</v>
      </c>
      <c r="DC358">
        <f t="shared" si="26"/>
        <v>0</v>
      </c>
    </row>
    <row r="359" spans="1:107" x14ac:dyDescent="0.2">
      <c r="A359">
        <f>ROW(Source!A407)</f>
        <v>407</v>
      </c>
      <c r="B359">
        <v>52430918</v>
      </c>
      <c r="C359">
        <v>52433458</v>
      </c>
      <c r="D359">
        <v>0</v>
      </c>
      <c r="E359">
        <v>27</v>
      </c>
      <c r="F359">
        <v>1</v>
      </c>
      <c r="G359">
        <v>27</v>
      </c>
      <c r="H359">
        <v>3</v>
      </c>
      <c r="I359" t="s">
        <v>104</v>
      </c>
      <c r="J359" t="s">
        <v>3</v>
      </c>
      <c r="K359" t="s">
        <v>318</v>
      </c>
      <c r="L359">
        <v>1354</v>
      </c>
      <c r="N359">
        <v>1010</v>
      </c>
      <c r="O359" t="s">
        <v>106</v>
      </c>
      <c r="P359" t="s">
        <v>106</v>
      </c>
      <c r="Q359">
        <v>1</v>
      </c>
      <c r="W359">
        <v>0</v>
      </c>
      <c r="X359">
        <v>728424109</v>
      </c>
      <c r="Y359">
        <v>33.333333000000003</v>
      </c>
      <c r="AA359">
        <v>56666.67</v>
      </c>
      <c r="AB359">
        <v>0</v>
      </c>
      <c r="AC359">
        <v>0</v>
      </c>
      <c r="AD359">
        <v>0</v>
      </c>
      <c r="AE359">
        <v>56666.67</v>
      </c>
      <c r="AF359">
        <v>0</v>
      </c>
      <c r="AG359">
        <v>0</v>
      </c>
      <c r="AH359">
        <v>0</v>
      </c>
      <c r="AI359">
        <v>1</v>
      </c>
      <c r="AJ359">
        <v>1</v>
      </c>
      <c r="AK359">
        <v>1</v>
      </c>
      <c r="AL359">
        <v>1</v>
      </c>
      <c r="AN359">
        <v>0</v>
      </c>
      <c r="AO359">
        <v>0</v>
      </c>
      <c r="AP359">
        <v>0</v>
      </c>
      <c r="AQ359">
        <v>0</v>
      </c>
      <c r="AR359">
        <v>0</v>
      </c>
      <c r="AS359" t="s">
        <v>3</v>
      </c>
      <c r="AT359">
        <v>33.333333000000003</v>
      </c>
      <c r="AU359" t="s">
        <v>3</v>
      </c>
      <c r="AV359">
        <v>0</v>
      </c>
      <c r="AW359">
        <v>1</v>
      </c>
      <c r="AX359">
        <v>-1</v>
      </c>
      <c r="AY359">
        <v>0</v>
      </c>
      <c r="AZ359">
        <v>0</v>
      </c>
      <c r="BA359" t="s">
        <v>3</v>
      </c>
      <c r="BB359">
        <v>0</v>
      </c>
      <c r="BC359">
        <v>0</v>
      </c>
      <c r="BD359">
        <v>0</v>
      </c>
      <c r="BE359">
        <v>0</v>
      </c>
      <c r="BF359">
        <v>0</v>
      </c>
      <c r="BG359">
        <v>0</v>
      </c>
      <c r="BH359">
        <v>0</v>
      </c>
      <c r="BI359">
        <v>0</v>
      </c>
      <c r="BJ359">
        <v>0</v>
      </c>
      <c r="BK359">
        <v>0</v>
      </c>
      <c r="BL359">
        <v>0</v>
      </c>
      <c r="BM359">
        <v>0</v>
      </c>
      <c r="BN359">
        <v>0</v>
      </c>
      <c r="BO359">
        <v>0</v>
      </c>
      <c r="BP359">
        <v>0</v>
      </c>
      <c r="BQ359">
        <v>0</v>
      </c>
      <c r="BR359">
        <v>0</v>
      </c>
      <c r="BS359">
        <v>0</v>
      </c>
      <c r="BT359">
        <v>0</v>
      </c>
      <c r="BU359">
        <v>0</v>
      </c>
      <c r="BV359">
        <v>0</v>
      </c>
      <c r="BW359">
        <v>0</v>
      </c>
      <c r="CX359">
        <f>Y359*Source!I407</f>
        <v>0.99999999000000006</v>
      </c>
      <c r="CY359">
        <f t="shared" si="30"/>
        <v>56666.67</v>
      </c>
      <c r="CZ359">
        <f t="shared" si="31"/>
        <v>56666.67</v>
      </c>
      <c r="DA359">
        <f t="shared" si="32"/>
        <v>1</v>
      </c>
      <c r="DB359">
        <f t="shared" si="25"/>
        <v>1888888.98</v>
      </c>
      <c r="DC359">
        <f t="shared" si="26"/>
        <v>0</v>
      </c>
    </row>
    <row r="360" spans="1:107" x14ac:dyDescent="0.2">
      <c r="A360">
        <f>ROW(Source!A407)</f>
        <v>407</v>
      </c>
      <c r="B360">
        <v>52430918</v>
      </c>
      <c r="C360">
        <v>52433458</v>
      </c>
      <c r="D360">
        <v>0</v>
      </c>
      <c r="E360">
        <v>27</v>
      </c>
      <c r="F360">
        <v>1</v>
      </c>
      <c r="G360">
        <v>27</v>
      </c>
      <c r="H360">
        <v>3</v>
      </c>
      <c r="I360" t="s">
        <v>104</v>
      </c>
      <c r="J360" t="s">
        <v>3</v>
      </c>
      <c r="K360" t="s">
        <v>113</v>
      </c>
      <c r="L360">
        <v>1354</v>
      </c>
      <c r="N360">
        <v>1010</v>
      </c>
      <c r="O360" t="s">
        <v>106</v>
      </c>
      <c r="P360" t="s">
        <v>106</v>
      </c>
      <c r="Q360">
        <v>1</v>
      </c>
      <c r="W360">
        <v>0</v>
      </c>
      <c r="X360">
        <v>1794000053</v>
      </c>
      <c r="Y360">
        <v>33.333333000000003</v>
      </c>
      <c r="AA360">
        <v>62333.33</v>
      </c>
      <c r="AB360">
        <v>0</v>
      </c>
      <c r="AC360">
        <v>0</v>
      </c>
      <c r="AD360">
        <v>0</v>
      </c>
      <c r="AE360">
        <v>62333.33</v>
      </c>
      <c r="AF360">
        <v>0</v>
      </c>
      <c r="AG360">
        <v>0</v>
      </c>
      <c r="AH360">
        <v>0</v>
      </c>
      <c r="AI360">
        <v>1</v>
      </c>
      <c r="AJ360">
        <v>1</v>
      </c>
      <c r="AK360">
        <v>1</v>
      </c>
      <c r="AL360">
        <v>1</v>
      </c>
      <c r="AN360">
        <v>0</v>
      </c>
      <c r="AO360">
        <v>0</v>
      </c>
      <c r="AP360">
        <v>0</v>
      </c>
      <c r="AQ360">
        <v>0</v>
      </c>
      <c r="AR360">
        <v>0</v>
      </c>
      <c r="AS360" t="s">
        <v>3</v>
      </c>
      <c r="AT360">
        <v>33.333333000000003</v>
      </c>
      <c r="AU360" t="s">
        <v>3</v>
      </c>
      <c r="AV360">
        <v>0</v>
      </c>
      <c r="AW360">
        <v>1</v>
      </c>
      <c r="AX360">
        <v>-1</v>
      </c>
      <c r="AY360">
        <v>0</v>
      </c>
      <c r="AZ360">
        <v>0</v>
      </c>
      <c r="BA360" t="s">
        <v>3</v>
      </c>
      <c r="BB360">
        <v>0</v>
      </c>
      <c r="BC360">
        <v>0</v>
      </c>
      <c r="BD360">
        <v>0</v>
      </c>
      <c r="BE360">
        <v>0</v>
      </c>
      <c r="BF360">
        <v>0</v>
      </c>
      <c r="BG360">
        <v>0</v>
      </c>
      <c r="BH360">
        <v>0</v>
      </c>
      <c r="BI360">
        <v>0</v>
      </c>
      <c r="BJ360">
        <v>0</v>
      </c>
      <c r="BK360">
        <v>0</v>
      </c>
      <c r="BL360">
        <v>0</v>
      </c>
      <c r="BM360">
        <v>0</v>
      </c>
      <c r="BN360">
        <v>0</v>
      </c>
      <c r="BO360">
        <v>0</v>
      </c>
      <c r="BP360">
        <v>0</v>
      </c>
      <c r="BQ360">
        <v>0</v>
      </c>
      <c r="BR360">
        <v>0</v>
      </c>
      <c r="BS360">
        <v>0</v>
      </c>
      <c r="BT360">
        <v>0</v>
      </c>
      <c r="BU360">
        <v>0</v>
      </c>
      <c r="BV360">
        <v>0</v>
      </c>
      <c r="BW360">
        <v>0</v>
      </c>
      <c r="CX360">
        <f>Y360*Source!I407</f>
        <v>0.99999999000000006</v>
      </c>
      <c r="CY360">
        <f t="shared" si="30"/>
        <v>62333.33</v>
      </c>
      <c r="CZ360">
        <f t="shared" si="31"/>
        <v>62333.33</v>
      </c>
      <c r="DA360">
        <f t="shared" si="32"/>
        <v>1</v>
      </c>
      <c r="DB360">
        <f t="shared" si="25"/>
        <v>2077777.65</v>
      </c>
      <c r="DC360">
        <f t="shared" si="26"/>
        <v>0</v>
      </c>
    </row>
    <row r="361" spans="1:107" x14ac:dyDescent="0.2">
      <c r="A361">
        <f>ROW(Source!A407)</f>
        <v>407</v>
      </c>
      <c r="B361">
        <v>52430918</v>
      </c>
      <c r="C361">
        <v>52433458</v>
      </c>
      <c r="D361">
        <v>0</v>
      </c>
      <c r="E361">
        <v>27</v>
      </c>
      <c r="F361">
        <v>1</v>
      </c>
      <c r="G361">
        <v>27</v>
      </c>
      <c r="H361">
        <v>3</v>
      </c>
      <c r="I361" t="s">
        <v>104</v>
      </c>
      <c r="J361" t="s">
        <v>3</v>
      </c>
      <c r="K361" t="s">
        <v>116</v>
      </c>
      <c r="L361">
        <v>1354</v>
      </c>
      <c r="N361">
        <v>1010</v>
      </c>
      <c r="O361" t="s">
        <v>106</v>
      </c>
      <c r="P361" t="s">
        <v>106</v>
      </c>
      <c r="Q361">
        <v>1</v>
      </c>
      <c r="W361">
        <v>0</v>
      </c>
      <c r="X361">
        <v>-106681237</v>
      </c>
      <c r="Y361">
        <v>33.333333000000003</v>
      </c>
      <c r="AA361">
        <v>12391.67</v>
      </c>
      <c r="AB361">
        <v>0</v>
      </c>
      <c r="AC361">
        <v>0</v>
      </c>
      <c r="AD361">
        <v>0</v>
      </c>
      <c r="AE361">
        <v>12391.67</v>
      </c>
      <c r="AF361">
        <v>0</v>
      </c>
      <c r="AG361">
        <v>0</v>
      </c>
      <c r="AH361">
        <v>0</v>
      </c>
      <c r="AI361">
        <v>1</v>
      </c>
      <c r="AJ361">
        <v>1</v>
      </c>
      <c r="AK361">
        <v>1</v>
      </c>
      <c r="AL361">
        <v>1</v>
      </c>
      <c r="AN361">
        <v>0</v>
      </c>
      <c r="AO361">
        <v>0</v>
      </c>
      <c r="AP361">
        <v>0</v>
      </c>
      <c r="AQ361">
        <v>0</v>
      </c>
      <c r="AR361">
        <v>0</v>
      </c>
      <c r="AS361" t="s">
        <v>3</v>
      </c>
      <c r="AT361">
        <v>33.333333000000003</v>
      </c>
      <c r="AU361" t="s">
        <v>3</v>
      </c>
      <c r="AV361">
        <v>0</v>
      </c>
      <c r="AW361">
        <v>1</v>
      </c>
      <c r="AX361">
        <v>-1</v>
      </c>
      <c r="AY361">
        <v>0</v>
      </c>
      <c r="AZ361">
        <v>0</v>
      </c>
      <c r="BA361" t="s">
        <v>3</v>
      </c>
      <c r="BB361">
        <v>0</v>
      </c>
      <c r="BC361">
        <v>0</v>
      </c>
      <c r="BD361">
        <v>0</v>
      </c>
      <c r="BE361">
        <v>0</v>
      </c>
      <c r="BF361">
        <v>0</v>
      </c>
      <c r="BG361">
        <v>0</v>
      </c>
      <c r="BH361">
        <v>0</v>
      </c>
      <c r="BI361">
        <v>0</v>
      </c>
      <c r="BJ361">
        <v>0</v>
      </c>
      <c r="BK361">
        <v>0</v>
      </c>
      <c r="BL361">
        <v>0</v>
      </c>
      <c r="BM361">
        <v>0</v>
      </c>
      <c r="BN361">
        <v>0</v>
      </c>
      <c r="BO361">
        <v>0</v>
      </c>
      <c r="BP361">
        <v>0</v>
      </c>
      <c r="BQ361">
        <v>0</v>
      </c>
      <c r="BR361">
        <v>0</v>
      </c>
      <c r="BS361">
        <v>0</v>
      </c>
      <c r="BT361">
        <v>0</v>
      </c>
      <c r="BU361">
        <v>0</v>
      </c>
      <c r="BV361">
        <v>0</v>
      </c>
      <c r="BW361">
        <v>0</v>
      </c>
      <c r="CX361">
        <f>Y361*Source!I407</f>
        <v>0.99999999000000006</v>
      </c>
      <c r="CY361">
        <f t="shared" si="30"/>
        <v>12391.67</v>
      </c>
      <c r="CZ361">
        <f t="shared" si="31"/>
        <v>12391.67</v>
      </c>
      <c r="DA361">
        <f t="shared" si="32"/>
        <v>1</v>
      </c>
      <c r="DB361">
        <f t="shared" si="25"/>
        <v>413055.66</v>
      </c>
      <c r="DC361">
        <f t="shared" si="26"/>
        <v>0</v>
      </c>
    </row>
    <row r="362" spans="1:107" x14ac:dyDescent="0.2">
      <c r="A362">
        <f>ROW(Source!A452)</f>
        <v>452</v>
      </c>
      <c r="B362">
        <v>52430918</v>
      </c>
      <c r="C362">
        <v>52433549</v>
      </c>
      <c r="D362">
        <v>51848379</v>
      </c>
      <c r="E362">
        <v>27</v>
      </c>
      <c r="F362">
        <v>1</v>
      </c>
      <c r="G362">
        <v>27</v>
      </c>
      <c r="H362">
        <v>1</v>
      </c>
      <c r="I362" t="s">
        <v>378</v>
      </c>
      <c r="J362" t="s">
        <v>3</v>
      </c>
      <c r="K362" t="s">
        <v>379</v>
      </c>
      <c r="L362">
        <v>1191</v>
      </c>
      <c r="N362">
        <v>1013</v>
      </c>
      <c r="O362" t="s">
        <v>380</v>
      </c>
      <c r="P362" t="s">
        <v>380</v>
      </c>
      <c r="Q362">
        <v>1</v>
      </c>
      <c r="W362">
        <v>0</v>
      </c>
      <c r="X362">
        <v>476480486</v>
      </c>
      <c r="Y362">
        <v>902.75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1</v>
      </c>
      <c r="AJ362">
        <v>1</v>
      </c>
      <c r="AK362">
        <v>1</v>
      </c>
      <c r="AL362">
        <v>1</v>
      </c>
      <c r="AN362">
        <v>0</v>
      </c>
      <c r="AO362">
        <v>1</v>
      </c>
      <c r="AP362">
        <v>0</v>
      </c>
      <c r="AQ362">
        <v>0</v>
      </c>
      <c r="AR362">
        <v>0</v>
      </c>
      <c r="AS362" t="s">
        <v>3</v>
      </c>
      <c r="AT362">
        <v>902.75</v>
      </c>
      <c r="AU362" t="s">
        <v>3</v>
      </c>
      <c r="AV362">
        <v>1</v>
      </c>
      <c r="AW362">
        <v>2</v>
      </c>
      <c r="AX362">
        <v>52433562</v>
      </c>
      <c r="AY362">
        <v>1</v>
      </c>
      <c r="AZ362">
        <v>0</v>
      </c>
      <c r="BA362">
        <v>345</v>
      </c>
      <c r="BB362">
        <v>0</v>
      </c>
      <c r="BC362">
        <v>0</v>
      </c>
      <c r="BD362">
        <v>0</v>
      </c>
      <c r="BE362">
        <v>0</v>
      </c>
      <c r="BF362">
        <v>0</v>
      </c>
      <c r="BG362">
        <v>0</v>
      </c>
      <c r="BH362">
        <v>0</v>
      </c>
      <c r="BI362">
        <v>0</v>
      </c>
      <c r="BJ362">
        <v>0</v>
      </c>
      <c r="BK362">
        <v>0</v>
      </c>
      <c r="BL362">
        <v>0</v>
      </c>
      <c r="BM362">
        <v>0</v>
      </c>
      <c r="BN362">
        <v>0</v>
      </c>
      <c r="BO362">
        <v>0</v>
      </c>
      <c r="BP362">
        <v>0</v>
      </c>
      <c r="BQ362">
        <v>0</v>
      </c>
      <c r="BR362">
        <v>0</v>
      </c>
      <c r="BS362">
        <v>0</v>
      </c>
      <c r="BT362">
        <v>0</v>
      </c>
      <c r="BU362">
        <v>0</v>
      </c>
      <c r="BV362">
        <v>0</v>
      </c>
      <c r="BW362">
        <v>0</v>
      </c>
      <c r="CX362">
        <f>Y362*Source!I452</f>
        <v>36.11</v>
      </c>
      <c r="CY362">
        <f>AD362</f>
        <v>0</v>
      </c>
      <c r="CZ362">
        <f>AH362</f>
        <v>0</v>
      </c>
      <c r="DA362">
        <f>AL362</f>
        <v>1</v>
      </c>
      <c r="DB362">
        <f t="shared" si="25"/>
        <v>0</v>
      </c>
      <c r="DC362">
        <f t="shared" si="26"/>
        <v>0</v>
      </c>
    </row>
    <row r="363" spans="1:107" x14ac:dyDescent="0.2">
      <c r="A363">
        <f>ROW(Source!A452)</f>
        <v>452</v>
      </c>
      <c r="B363">
        <v>52430918</v>
      </c>
      <c r="C363">
        <v>52433549</v>
      </c>
      <c r="D363">
        <v>51864800</v>
      </c>
      <c r="E363">
        <v>1</v>
      </c>
      <c r="F363">
        <v>1</v>
      </c>
      <c r="G363">
        <v>27</v>
      </c>
      <c r="H363">
        <v>2</v>
      </c>
      <c r="I363" t="s">
        <v>91</v>
      </c>
      <c r="J363" t="s">
        <v>93</v>
      </c>
      <c r="K363" t="s">
        <v>92</v>
      </c>
      <c r="L363">
        <v>1368</v>
      </c>
      <c r="N363">
        <v>1011</v>
      </c>
      <c r="O363" t="s">
        <v>84</v>
      </c>
      <c r="P363" t="s">
        <v>84</v>
      </c>
      <c r="Q363">
        <v>1</v>
      </c>
      <c r="W363">
        <v>1</v>
      </c>
      <c r="X363">
        <v>-1957514721</v>
      </c>
      <c r="Y363">
        <v>-0.09</v>
      </c>
      <c r="AA363">
        <v>0</v>
      </c>
      <c r="AB363">
        <v>1009.65</v>
      </c>
      <c r="AC363">
        <v>554.42999999999995</v>
      </c>
      <c r="AD363">
        <v>0</v>
      </c>
      <c r="AE363">
        <v>0</v>
      </c>
      <c r="AF363">
        <v>1009.65</v>
      </c>
      <c r="AG363">
        <v>554.42999999999995</v>
      </c>
      <c r="AH363">
        <v>0</v>
      </c>
      <c r="AI363">
        <v>1</v>
      </c>
      <c r="AJ363">
        <v>1</v>
      </c>
      <c r="AK363">
        <v>1</v>
      </c>
      <c r="AL363">
        <v>1</v>
      </c>
      <c r="AN363">
        <v>0</v>
      </c>
      <c r="AO363">
        <v>1</v>
      </c>
      <c r="AP363">
        <v>0</v>
      </c>
      <c r="AQ363">
        <v>0</v>
      </c>
      <c r="AR363">
        <v>0</v>
      </c>
      <c r="AS363" t="s">
        <v>3</v>
      </c>
      <c r="AT363">
        <v>-0.09</v>
      </c>
      <c r="AU363" t="s">
        <v>3</v>
      </c>
      <c r="AV363">
        <v>0</v>
      </c>
      <c r="AW363">
        <v>2</v>
      </c>
      <c r="AX363">
        <v>52433563</v>
      </c>
      <c r="AY363">
        <v>1</v>
      </c>
      <c r="AZ363">
        <v>6144</v>
      </c>
      <c r="BA363">
        <v>346</v>
      </c>
      <c r="BB363">
        <v>0</v>
      </c>
      <c r="BC363">
        <v>0</v>
      </c>
      <c r="BD363">
        <v>0</v>
      </c>
      <c r="BE363">
        <v>0</v>
      </c>
      <c r="BF363">
        <v>0</v>
      </c>
      <c r="BG363">
        <v>0</v>
      </c>
      <c r="BH363">
        <v>0</v>
      </c>
      <c r="BI363">
        <v>0</v>
      </c>
      <c r="BJ363">
        <v>0</v>
      </c>
      <c r="BK363">
        <v>0</v>
      </c>
      <c r="BL363">
        <v>0</v>
      </c>
      <c r="BM363">
        <v>0</v>
      </c>
      <c r="BN363">
        <v>0</v>
      </c>
      <c r="BO363">
        <v>0</v>
      </c>
      <c r="BP363">
        <v>0</v>
      </c>
      <c r="BQ363">
        <v>0</v>
      </c>
      <c r="BR363">
        <v>0</v>
      </c>
      <c r="BS363">
        <v>0</v>
      </c>
      <c r="BT363">
        <v>0</v>
      </c>
      <c r="BU363">
        <v>0</v>
      </c>
      <c r="BV363">
        <v>0</v>
      </c>
      <c r="BW363">
        <v>0</v>
      </c>
      <c r="CX363">
        <f>Y363*Source!I452</f>
        <v>-3.5999999999999999E-3</v>
      </c>
      <c r="CY363">
        <f>AB363</f>
        <v>1009.65</v>
      </c>
      <c r="CZ363">
        <f>AF363</f>
        <v>1009.65</v>
      </c>
      <c r="DA363">
        <f>AJ363</f>
        <v>1</v>
      </c>
      <c r="DB363">
        <f t="shared" si="25"/>
        <v>-90.87</v>
      </c>
      <c r="DC363">
        <f t="shared" si="26"/>
        <v>-49.9</v>
      </c>
    </row>
    <row r="364" spans="1:107" x14ac:dyDescent="0.2">
      <c r="A364">
        <f>ROW(Source!A452)</f>
        <v>452</v>
      </c>
      <c r="B364">
        <v>52430918</v>
      </c>
      <c r="C364">
        <v>52433549</v>
      </c>
      <c r="D364">
        <v>51865257</v>
      </c>
      <c r="E364">
        <v>1</v>
      </c>
      <c r="F364">
        <v>1</v>
      </c>
      <c r="G364">
        <v>27</v>
      </c>
      <c r="H364">
        <v>2</v>
      </c>
      <c r="I364" t="s">
        <v>87</v>
      </c>
      <c r="J364" t="s">
        <v>89</v>
      </c>
      <c r="K364" t="s">
        <v>88</v>
      </c>
      <c r="L364">
        <v>1368</v>
      </c>
      <c r="N364">
        <v>1011</v>
      </c>
      <c r="O364" t="s">
        <v>84</v>
      </c>
      <c r="P364" t="s">
        <v>84</v>
      </c>
      <c r="Q364">
        <v>1</v>
      </c>
      <c r="W364">
        <v>1</v>
      </c>
      <c r="X364">
        <v>-1757825014</v>
      </c>
      <c r="Y364">
        <v>-14.5</v>
      </c>
      <c r="AA364">
        <v>0</v>
      </c>
      <c r="AB364">
        <v>27.21</v>
      </c>
      <c r="AC364">
        <v>0.13</v>
      </c>
      <c r="AD364">
        <v>0</v>
      </c>
      <c r="AE364">
        <v>0</v>
      </c>
      <c r="AF364">
        <v>27.21</v>
      </c>
      <c r="AG364">
        <v>0.13</v>
      </c>
      <c r="AH364">
        <v>0</v>
      </c>
      <c r="AI364">
        <v>1</v>
      </c>
      <c r="AJ364">
        <v>1</v>
      </c>
      <c r="AK364">
        <v>1</v>
      </c>
      <c r="AL364">
        <v>1</v>
      </c>
      <c r="AN364">
        <v>0</v>
      </c>
      <c r="AO364">
        <v>1</v>
      </c>
      <c r="AP364">
        <v>0</v>
      </c>
      <c r="AQ364">
        <v>0</v>
      </c>
      <c r="AR364">
        <v>0</v>
      </c>
      <c r="AS364" t="s">
        <v>3</v>
      </c>
      <c r="AT364">
        <v>-14.5</v>
      </c>
      <c r="AU364" t="s">
        <v>3</v>
      </c>
      <c r="AV364">
        <v>0</v>
      </c>
      <c r="AW364">
        <v>2</v>
      </c>
      <c r="AX364">
        <v>52433564</v>
      </c>
      <c r="AY364">
        <v>1</v>
      </c>
      <c r="AZ364">
        <v>6144</v>
      </c>
      <c r="BA364">
        <v>347</v>
      </c>
      <c r="BB364">
        <v>0</v>
      </c>
      <c r="BC364">
        <v>0</v>
      </c>
      <c r="BD364">
        <v>0</v>
      </c>
      <c r="BE364">
        <v>0</v>
      </c>
      <c r="BF364">
        <v>0</v>
      </c>
      <c r="BG364">
        <v>0</v>
      </c>
      <c r="BH364">
        <v>0</v>
      </c>
      <c r="BI364">
        <v>0</v>
      </c>
      <c r="BJ364">
        <v>0</v>
      </c>
      <c r="BK364">
        <v>0</v>
      </c>
      <c r="BL364">
        <v>0</v>
      </c>
      <c r="BM364">
        <v>0</v>
      </c>
      <c r="BN364">
        <v>0</v>
      </c>
      <c r="BO364">
        <v>0</v>
      </c>
      <c r="BP364">
        <v>0</v>
      </c>
      <c r="BQ364">
        <v>0</v>
      </c>
      <c r="BR364">
        <v>0</v>
      </c>
      <c r="BS364">
        <v>0</v>
      </c>
      <c r="BT364">
        <v>0</v>
      </c>
      <c r="BU364">
        <v>0</v>
      </c>
      <c r="BV364">
        <v>0</v>
      </c>
      <c r="BW364">
        <v>0</v>
      </c>
      <c r="CX364">
        <f>Y364*Source!I452</f>
        <v>-0.57999999999999996</v>
      </c>
      <c r="CY364">
        <f>AB364</f>
        <v>27.21</v>
      </c>
      <c r="CZ364">
        <f>AF364</f>
        <v>27.21</v>
      </c>
      <c r="DA364">
        <f>AJ364</f>
        <v>1</v>
      </c>
      <c r="DB364">
        <f t="shared" si="25"/>
        <v>-394.55</v>
      </c>
      <c r="DC364">
        <f t="shared" si="26"/>
        <v>-1.89</v>
      </c>
    </row>
    <row r="365" spans="1:107" x14ac:dyDescent="0.2">
      <c r="A365">
        <f>ROW(Source!A452)</f>
        <v>452</v>
      </c>
      <c r="B365">
        <v>52430918</v>
      </c>
      <c r="C365">
        <v>52433549</v>
      </c>
      <c r="D365">
        <v>51865090</v>
      </c>
      <c r="E365">
        <v>1</v>
      </c>
      <c r="F365">
        <v>1</v>
      </c>
      <c r="G365">
        <v>27</v>
      </c>
      <c r="H365">
        <v>2</v>
      </c>
      <c r="I365" t="s">
        <v>82</v>
      </c>
      <c r="J365" t="s">
        <v>85</v>
      </c>
      <c r="K365" t="s">
        <v>83</v>
      </c>
      <c r="L365">
        <v>1368</v>
      </c>
      <c r="N365">
        <v>1011</v>
      </c>
      <c r="O365" t="s">
        <v>84</v>
      </c>
      <c r="P365" t="s">
        <v>84</v>
      </c>
      <c r="Q365">
        <v>1</v>
      </c>
      <c r="W365">
        <v>1</v>
      </c>
      <c r="X365">
        <v>1349119844</v>
      </c>
      <c r="Y365">
        <v>-5.44</v>
      </c>
      <c r="AA365">
        <v>0</v>
      </c>
      <c r="AB365">
        <v>10.82</v>
      </c>
      <c r="AC365">
        <v>2.97</v>
      </c>
      <c r="AD365">
        <v>0</v>
      </c>
      <c r="AE365">
        <v>0</v>
      </c>
      <c r="AF365">
        <v>10.82</v>
      </c>
      <c r="AG365">
        <v>2.97</v>
      </c>
      <c r="AH365">
        <v>0</v>
      </c>
      <c r="AI365">
        <v>1</v>
      </c>
      <c r="AJ365">
        <v>1</v>
      </c>
      <c r="AK365">
        <v>1</v>
      </c>
      <c r="AL365">
        <v>1</v>
      </c>
      <c r="AN365">
        <v>0</v>
      </c>
      <c r="AO365">
        <v>1</v>
      </c>
      <c r="AP365">
        <v>0</v>
      </c>
      <c r="AQ365">
        <v>0</v>
      </c>
      <c r="AR365">
        <v>0</v>
      </c>
      <c r="AS365" t="s">
        <v>3</v>
      </c>
      <c r="AT365">
        <v>-5.44</v>
      </c>
      <c r="AU365" t="s">
        <v>3</v>
      </c>
      <c r="AV365">
        <v>0</v>
      </c>
      <c r="AW365">
        <v>2</v>
      </c>
      <c r="AX365">
        <v>52433565</v>
      </c>
      <c r="AY365">
        <v>1</v>
      </c>
      <c r="AZ365">
        <v>6144</v>
      </c>
      <c r="BA365">
        <v>348</v>
      </c>
      <c r="BB365">
        <v>0</v>
      </c>
      <c r="BC365">
        <v>0</v>
      </c>
      <c r="BD365">
        <v>0</v>
      </c>
      <c r="BE365">
        <v>0</v>
      </c>
      <c r="BF365">
        <v>0</v>
      </c>
      <c r="BG365">
        <v>0</v>
      </c>
      <c r="BH365">
        <v>0</v>
      </c>
      <c r="BI365">
        <v>0</v>
      </c>
      <c r="BJ365">
        <v>0</v>
      </c>
      <c r="BK365">
        <v>0</v>
      </c>
      <c r="BL365">
        <v>0</v>
      </c>
      <c r="BM365">
        <v>0</v>
      </c>
      <c r="BN365">
        <v>0</v>
      </c>
      <c r="BO365">
        <v>0</v>
      </c>
      <c r="BP365">
        <v>0</v>
      </c>
      <c r="BQ365">
        <v>0</v>
      </c>
      <c r="BR365">
        <v>0</v>
      </c>
      <c r="BS365">
        <v>0</v>
      </c>
      <c r="BT365">
        <v>0</v>
      </c>
      <c r="BU365">
        <v>0</v>
      </c>
      <c r="BV365">
        <v>0</v>
      </c>
      <c r="BW365">
        <v>0</v>
      </c>
      <c r="CX365">
        <f>Y365*Source!I452</f>
        <v>-0.21760000000000002</v>
      </c>
      <c r="CY365">
        <f>AB365</f>
        <v>10.82</v>
      </c>
      <c r="CZ365">
        <f>AF365</f>
        <v>10.82</v>
      </c>
      <c r="DA365">
        <f>AJ365</f>
        <v>1</v>
      </c>
      <c r="DB365">
        <f t="shared" si="25"/>
        <v>-58.86</v>
      </c>
      <c r="DC365">
        <f t="shared" si="26"/>
        <v>-16.16</v>
      </c>
    </row>
    <row r="366" spans="1:107" x14ac:dyDescent="0.2">
      <c r="A366">
        <f>ROW(Source!A452)</f>
        <v>452</v>
      </c>
      <c r="B366">
        <v>52430918</v>
      </c>
      <c r="C366">
        <v>52433549</v>
      </c>
      <c r="D366">
        <v>51867612</v>
      </c>
      <c r="E366">
        <v>1</v>
      </c>
      <c r="F366">
        <v>1</v>
      </c>
      <c r="G366">
        <v>27</v>
      </c>
      <c r="H366">
        <v>3</v>
      </c>
      <c r="I366" t="s">
        <v>99</v>
      </c>
      <c r="J366" t="s">
        <v>102</v>
      </c>
      <c r="K366" t="s">
        <v>100</v>
      </c>
      <c r="L366">
        <v>1348</v>
      </c>
      <c r="N366">
        <v>1009</v>
      </c>
      <c r="O366" t="s">
        <v>101</v>
      </c>
      <c r="P366" t="s">
        <v>101</v>
      </c>
      <c r="Q366">
        <v>1000</v>
      </c>
      <c r="W366">
        <v>1</v>
      </c>
      <c r="X366">
        <v>-672771621</v>
      </c>
      <c r="Y366">
        <v>-0.02</v>
      </c>
      <c r="AA366">
        <v>110781.14</v>
      </c>
      <c r="AB366">
        <v>0</v>
      </c>
      <c r="AC366">
        <v>0</v>
      </c>
      <c r="AD366">
        <v>0</v>
      </c>
      <c r="AE366">
        <v>110781.14</v>
      </c>
      <c r="AF366">
        <v>0</v>
      </c>
      <c r="AG366">
        <v>0</v>
      </c>
      <c r="AH366">
        <v>0</v>
      </c>
      <c r="AI366">
        <v>1</v>
      </c>
      <c r="AJ366">
        <v>1</v>
      </c>
      <c r="AK366">
        <v>1</v>
      </c>
      <c r="AL366">
        <v>1</v>
      </c>
      <c r="AN366">
        <v>0</v>
      </c>
      <c r="AO366">
        <v>1</v>
      </c>
      <c r="AP366">
        <v>0</v>
      </c>
      <c r="AQ366">
        <v>0</v>
      </c>
      <c r="AR366">
        <v>0</v>
      </c>
      <c r="AS366" t="s">
        <v>3</v>
      </c>
      <c r="AT366">
        <v>-0.02</v>
      </c>
      <c r="AU366" t="s">
        <v>3</v>
      </c>
      <c r="AV366">
        <v>0</v>
      </c>
      <c r="AW366">
        <v>2</v>
      </c>
      <c r="AX366">
        <v>52433566</v>
      </c>
      <c r="AY366">
        <v>1</v>
      </c>
      <c r="AZ366">
        <v>6144</v>
      </c>
      <c r="BA366">
        <v>349</v>
      </c>
      <c r="BB366">
        <v>0</v>
      </c>
      <c r="BC366">
        <v>0</v>
      </c>
      <c r="BD366">
        <v>0</v>
      </c>
      <c r="BE366">
        <v>0</v>
      </c>
      <c r="BF366">
        <v>0</v>
      </c>
      <c r="BG366">
        <v>0</v>
      </c>
      <c r="BH366">
        <v>0</v>
      </c>
      <c r="BI366">
        <v>0</v>
      </c>
      <c r="BJ366">
        <v>0</v>
      </c>
      <c r="BK366">
        <v>0</v>
      </c>
      <c r="BL366">
        <v>0</v>
      </c>
      <c r="BM366">
        <v>0</v>
      </c>
      <c r="BN366">
        <v>0</v>
      </c>
      <c r="BO366">
        <v>0</v>
      </c>
      <c r="BP366">
        <v>0</v>
      </c>
      <c r="BQ366">
        <v>0</v>
      </c>
      <c r="BR366">
        <v>0</v>
      </c>
      <c r="BS366">
        <v>0</v>
      </c>
      <c r="BT366">
        <v>0</v>
      </c>
      <c r="BU366">
        <v>0</v>
      </c>
      <c r="BV366">
        <v>0</v>
      </c>
      <c r="BW366">
        <v>0</v>
      </c>
      <c r="CX366">
        <f>Y366*Source!I452</f>
        <v>-8.0000000000000004E-4</v>
      </c>
      <c r="CY366">
        <f t="shared" ref="CY366:CY373" si="33">AA366</f>
        <v>110781.14</v>
      </c>
      <c r="CZ366">
        <f t="shared" ref="CZ366:CZ373" si="34">AE366</f>
        <v>110781.14</v>
      </c>
      <c r="DA366">
        <f t="shared" ref="DA366:DA373" si="35">AI366</f>
        <v>1</v>
      </c>
      <c r="DB366">
        <f t="shared" si="25"/>
        <v>-2215.62</v>
      </c>
      <c r="DC366">
        <f t="shared" si="26"/>
        <v>0</v>
      </c>
    </row>
    <row r="367" spans="1:107" x14ac:dyDescent="0.2">
      <c r="A367">
        <f>ROW(Source!A452)</f>
        <v>452</v>
      </c>
      <c r="B367">
        <v>52430918</v>
      </c>
      <c r="C367">
        <v>52433549</v>
      </c>
      <c r="D367">
        <v>51866048</v>
      </c>
      <c r="E367">
        <v>1</v>
      </c>
      <c r="F367">
        <v>1</v>
      </c>
      <c r="G367">
        <v>27</v>
      </c>
      <c r="H367">
        <v>3</v>
      </c>
      <c r="I367" t="s">
        <v>77</v>
      </c>
      <c r="J367" t="s">
        <v>80</v>
      </c>
      <c r="K367" t="s">
        <v>78</v>
      </c>
      <c r="L367">
        <v>1356</v>
      </c>
      <c r="N367">
        <v>1010</v>
      </c>
      <c r="O367" t="s">
        <v>79</v>
      </c>
      <c r="P367" t="s">
        <v>79</v>
      </c>
      <c r="Q367">
        <v>1000</v>
      </c>
      <c r="W367">
        <v>1</v>
      </c>
      <c r="X367">
        <v>-477329452</v>
      </c>
      <c r="Y367">
        <v>-3.6999999999999998E-2</v>
      </c>
      <c r="AA367">
        <v>10419.43</v>
      </c>
      <c r="AB367">
        <v>0</v>
      </c>
      <c r="AC367">
        <v>0</v>
      </c>
      <c r="AD367">
        <v>0</v>
      </c>
      <c r="AE367">
        <v>10419.43</v>
      </c>
      <c r="AF367">
        <v>0</v>
      </c>
      <c r="AG367">
        <v>0</v>
      </c>
      <c r="AH367">
        <v>0</v>
      </c>
      <c r="AI367">
        <v>1</v>
      </c>
      <c r="AJ367">
        <v>1</v>
      </c>
      <c r="AK367">
        <v>1</v>
      </c>
      <c r="AL367">
        <v>1</v>
      </c>
      <c r="AN367">
        <v>0</v>
      </c>
      <c r="AO367">
        <v>1</v>
      </c>
      <c r="AP367">
        <v>0</v>
      </c>
      <c r="AQ367">
        <v>0</v>
      </c>
      <c r="AR367">
        <v>0</v>
      </c>
      <c r="AS367" t="s">
        <v>3</v>
      </c>
      <c r="AT367">
        <v>-3.6999999999999998E-2</v>
      </c>
      <c r="AU367" t="s">
        <v>3</v>
      </c>
      <c r="AV367">
        <v>0</v>
      </c>
      <c r="AW367">
        <v>2</v>
      </c>
      <c r="AX367">
        <v>52433567</v>
      </c>
      <c r="AY367">
        <v>1</v>
      </c>
      <c r="AZ367">
        <v>6144</v>
      </c>
      <c r="BA367">
        <v>350</v>
      </c>
      <c r="BB367">
        <v>0</v>
      </c>
      <c r="BC367">
        <v>0</v>
      </c>
      <c r="BD367">
        <v>0</v>
      </c>
      <c r="BE367">
        <v>0</v>
      </c>
      <c r="BF367">
        <v>0</v>
      </c>
      <c r="BG367">
        <v>0</v>
      </c>
      <c r="BH367">
        <v>0</v>
      </c>
      <c r="BI367">
        <v>0</v>
      </c>
      <c r="BJ367">
        <v>0</v>
      </c>
      <c r="BK367">
        <v>0</v>
      </c>
      <c r="BL367">
        <v>0</v>
      </c>
      <c r="BM367">
        <v>0</v>
      </c>
      <c r="BN367">
        <v>0</v>
      </c>
      <c r="BO367">
        <v>0</v>
      </c>
      <c r="BP367">
        <v>0</v>
      </c>
      <c r="BQ367">
        <v>0</v>
      </c>
      <c r="BR367">
        <v>0</v>
      </c>
      <c r="BS367">
        <v>0</v>
      </c>
      <c r="BT367">
        <v>0</v>
      </c>
      <c r="BU367">
        <v>0</v>
      </c>
      <c r="BV367">
        <v>0</v>
      </c>
      <c r="BW367">
        <v>0</v>
      </c>
      <c r="CX367">
        <f>Y367*Source!I452</f>
        <v>-1.48E-3</v>
      </c>
      <c r="CY367">
        <f t="shared" si="33"/>
        <v>10419.43</v>
      </c>
      <c r="CZ367">
        <f t="shared" si="34"/>
        <v>10419.43</v>
      </c>
      <c r="DA367">
        <f t="shared" si="35"/>
        <v>1</v>
      </c>
      <c r="DB367">
        <f t="shared" si="25"/>
        <v>-385.52</v>
      </c>
      <c r="DC367">
        <f t="shared" si="26"/>
        <v>0</v>
      </c>
    </row>
    <row r="368" spans="1:107" x14ac:dyDescent="0.2">
      <c r="A368">
        <f>ROW(Source!A452)</f>
        <v>452</v>
      </c>
      <c r="B368">
        <v>52430918</v>
      </c>
      <c r="C368">
        <v>52433549</v>
      </c>
      <c r="D368">
        <v>51868609</v>
      </c>
      <c r="E368">
        <v>1</v>
      </c>
      <c r="F368">
        <v>1</v>
      </c>
      <c r="G368">
        <v>27</v>
      </c>
      <c r="H368">
        <v>3</v>
      </c>
      <c r="I368" t="s">
        <v>95</v>
      </c>
      <c r="J368" t="s">
        <v>97</v>
      </c>
      <c r="K368" t="s">
        <v>96</v>
      </c>
      <c r="L368">
        <v>1339</v>
      </c>
      <c r="N368">
        <v>1007</v>
      </c>
      <c r="O368" t="s">
        <v>28</v>
      </c>
      <c r="P368" t="s">
        <v>28</v>
      </c>
      <c r="Q368">
        <v>1</v>
      </c>
      <c r="W368">
        <v>1</v>
      </c>
      <c r="X368">
        <v>395141172</v>
      </c>
      <c r="Y368">
        <v>-5</v>
      </c>
      <c r="AA368">
        <v>3040.38</v>
      </c>
      <c r="AB368">
        <v>0</v>
      </c>
      <c r="AC368">
        <v>0</v>
      </c>
      <c r="AD368">
        <v>0</v>
      </c>
      <c r="AE368">
        <v>3040.38</v>
      </c>
      <c r="AF368">
        <v>0</v>
      </c>
      <c r="AG368">
        <v>0</v>
      </c>
      <c r="AH368">
        <v>0</v>
      </c>
      <c r="AI368">
        <v>1</v>
      </c>
      <c r="AJ368">
        <v>1</v>
      </c>
      <c r="AK368">
        <v>1</v>
      </c>
      <c r="AL368">
        <v>1</v>
      </c>
      <c r="AN368">
        <v>0</v>
      </c>
      <c r="AO368">
        <v>1</v>
      </c>
      <c r="AP368">
        <v>0</v>
      </c>
      <c r="AQ368">
        <v>0</v>
      </c>
      <c r="AR368">
        <v>0</v>
      </c>
      <c r="AS368" t="s">
        <v>3</v>
      </c>
      <c r="AT368">
        <v>-5</v>
      </c>
      <c r="AU368" t="s">
        <v>3</v>
      </c>
      <c r="AV368">
        <v>0</v>
      </c>
      <c r="AW368">
        <v>2</v>
      </c>
      <c r="AX368">
        <v>52433568</v>
      </c>
      <c r="AY368">
        <v>1</v>
      </c>
      <c r="AZ368">
        <v>6144</v>
      </c>
      <c r="BA368">
        <v>351</v>
      </c>
      <c r="BB368">
        <v>0</v>
      </c>
      <c r="BC368">
        <v>0</v>
      </c>
      <c r="BD368">
        <v>0</v>
      </c>
      <c r="BE368">
        <v>0</v>
      </c>
      <c r="BF368">
        <v>0</v>
      </c>
      <c r="BG368">
        <v>0</v>
      </c>
      <c r="BH368">
        <v>0</v>
      </c>
      <c r="BI368">
        <v>0</v>
      </c>
      <c r="BJ368">
        <v>0</v>
      </c>
      <c r="BK368">
        <v>0</v>
      </c>
      <c r="BL368">
        <v>0</v>
      </c>
      <c r="BM368">
        <v>0</v>
      </c>
      <c r="BN368">
        <v>0</v>
      </c>
      <c r="BO368">
        <v>0</v>
      </c>
      <c r="BP368">
        <v>0</v>
      </c>
      <c r="BQ368">
        <v>0</v>
      </c>
      <c r="BR368">
        <v>0</v>
      </c>
      <c r="BS368">
        <v>0</v>
      </c>
      <c r="BT368">
        <v>0</v>
      </c>
      <c r="BU368">
        <v>0</v>
      </c>
      <c r="BV368">
        <v>0</v>
      </c>
      <c r="BW368">
        <v>0</v>
      </c>
      <c r="CX368">
        <f>Y368*Source!I452</f>
        <v>-0.2</v>
      </c>
      <c r="CY368">
        <f t="shared" si="33"/>
        <v>3040.38</v>
      </c>
      <c r="CZ368">
        <f t="shared" si="34"/>
        <v>3040.38</v>
      </c>
      <c r="DA368">
        <f t="shared" si="35"/>
        <v>1</v>
      </c>
      <c r="DB368">
        <f t="shared" si="25"/>
        <v>-15201.9</v>
      </c>
      <c r="DC368">
        <f t="shared" si="26"/>
        <v>0</v>
      </c>
    </row>
    <row r="369" spans="1:107" x14ac:dyDescent="0.2">
      <c r="A369">
        <f>ROW(Source!A452)</f>
        <v>452</v>
      </c>
      <c r="B369">
        <v>52430918</v>
      </c>
      <c r="C369">
        <v>52433549</v>
      </c>
      <c r="D369">
        <v>51868749</v>
      </c>
      <c r="E369">
        <v>1</v>
      </c>
      <c r="F369">
        <v>1</v>
      </c>
      <c r="G369">
        <v>27</v>
      </c>
      <c r="H369">
        <v>3</v>
      </c>
      <c r="I369" t="s">
        <v>457</v>
      </c>
      <c r="J369" t="s">
        <v>458</v>
      </c>
      <c r="K369" t="s">
        <v>459</v>
      </c>
      <c r="L369">
        <v>1339</v>
      </c>
      <c r="N369">
        <v>1007</v>
      </c>
      <c r="O369" t="s">
        <v>28</v>
      </c>
      <c r="P369" t="s">
        <v>28</v>
      </c>
      <c r="Q369">
        <v>1</v>
      </c>
      <c r="W369">
        <v>0</v>
      </c>
      <c r="X369">
        <v>416525707</v>
      </c>
      <c r="Y369">
        <v>1.4999999999999999E-2</v>
      </c>
      <c r="AA369">
        <v>3323.4</v>
      </c>
      <c r="AB369">
        <v>0</v>
      </c>
      <c r="AC369">
        <v>0</v>
      </c>
      <c r="AD369">
        <v>0</v>
      </c>
      <c r="AE369">
        <v>3323.4</v>
      </c>
      <c r="AF369">
        <v>0</v>
      </c>
      <c r="AG369">
        <v>0</v>
      </c>
      <c r="AH369">
        <v>0</v>
      </c>
      <c r="AI369">
        <v>1</v>
      </c>
      <c r="AJ369">
        <v>1</v>
      </c>
      <c r="AK369">
        <v>1</v>
      </c>
      <c r="AL369">
        <v>1</v>
      </c>
      <c r="AN369">
        <v>0</v>
      </c>
      <c r="AO369">
        <v>1</v>
      </c>
      <c r="AP369">
        <v>0</v>
      </c>
      <c r="AQ369">
        <v>0</v>
      </c>
      <c r="AR369">
        <v>0</v>
      </c>
      <c r="AS369" t="s">
        <v>3</v>
      </c>
      <c r="AT369">
        <v>1.4999999999999999E-2</v>
      </c>
      <c r="AU369" t="s">
        <v>3</v>
      </c>
      <c r="AV369">
        <v>0</v>
      </c>
      <c r="AW369">
        <v>2</v>
      </c>
      <c r="AX369">
        <v>52433569</v>
      </c>
      <c r="AY369">
        <v>1</v>
      </c>
      <c r="AZ369">
        <v>0</v>
      </c>
      <c r="BA369">
        <v>352</v>
      </c>
      <c r="BB369">
        <v>0</v>
      </c>
      <c r="BC369">
        <v>0</v>
      </c>
      <c r="BD369">
        <v>0</v>
      </c>
      <c r="BE369">
        <v>0</v>
      </c>
      <c r="BF369">
        <v>0</v>
      </c>
      <c r="BG369">
        <v>0</v>
      </c>
      <c r="BH369">
        <v>0</v>
      </c>
      <c r="BI369">
        <v>0</v>
      </c>
      <c r="BJ369">
        <v>0</v>
      </c>
      <c r="BK369">
        <v>0</v>
      </c>
      <c r="BL369">
        <v>0</v>
      </c>
      <c r="BM369">
        <v>0</v>
      </c>
      <c r="BN369">
        <v>0</v>
      </c>
      <c r="BO369">
        <v>0</v>
      </c>
      <c r="BP369">
        <v>0</v>
      </c>
      <c r="BQ369">
        <v>0</v>
      </c>
      <c r="BR369">
        <v>0</v>
      </c>
      <c r="BS369">
        <v>0</v>
      </c>
      <c r="BT369">
        <v>0</v>
      </c>
      <c r="BU369">
        <v>0</v>
      </c>
      <c r="BV369">
        <v>0</v>
      </c>
      <c r="BW369">
        <v>0</v>
      </c>
      <c r="CX369">
        <f>Y369*Source!I452</f>
        <v>5.9999999999999995E-4</v>
      </c>
      <c r="CY369">
        <f t="shared" si="33"/>
        <v>3323.4</v>
      </c>
      <c r="CZ369">
        <f t="shared" si="34"/>
        <v>3323.4</v>
      </c>
      <c r="DA369">
        <f t="shared" si="35"/>
        <v>1</v>
      </c>
      <c r="DB369">
        <f t="shared" si="25"/>
        <v>49.85</v>
      </c>
      <c r="DC369">
        <f t="shared" si="26"/>
        <v>0</v>
      </c>
    </row>
    <row r="370" spans="1:107" x14ac:dyDescent="0.2">
      <c r="A370">
        <f>ROW(Source!A452)</f>
        <v>452</v>
      </c>
      <c r="B370">
        <v>52430918</v>
      </c>
      <c r="C370">
        <v>52433549</v>
      </c>
      <c r="D370">
        <v>0</v>
      </c>
      <c r="E370">
        <v>27</v>
      </c>
      <c r="F370">
        <v>1</v>
      </c>
      <c r="G370">
        <v>27</v>
      </c>
      <c r="H370">
        <v>3</v>
      </c>
      <c r="I370" t="s">
        <v>104</v>
      </c>
      <c r="J370" t="s">
        <v>3</v>
      </c>
      <c r="K370" t="s">
        <v>110</v>
      </c>
      <c r="L370">
        <v>1354</v>
      </c>
      <c r="N370">
        <v>1010</v>
      </c>
      <c r="O370" t="s">
        <v>106</v>
      </c>
      <c r="P370" t="s">
        <v>106</v>
      </c>
      <c r="Q370">
        <v>1</v>
      </c>
      <c r="W370">
        <v>0</v>
      </c>
      <c r="X370">
        <v>774189156</v>
      </c>
      <c r="Y370">
        <v>25</v>
      </c>
      <c r="AA370">
        <v>44166.67</v>
      </c>
      <c r="AB370">
        <v>0</v>
      </c>
      <c r="AC370">
        <v>0</v>
      </c>
      <c r="AD370">
        <v>0</v>
      </c>
      <c r="AE370">
        <v>44166.67</v>
      </c>
      <c r="AF370">
        <v>0</v>
      </c>
      <c r="AG370">
        <v>0</v>
      </c>
      <c r="AH370">
        <v>0</v>
      </c>
      <c r="AI370">
        <v>1</v>
      </c>
      <c r="AJ370">
        <v>1</v>
      </c>
      <c r="AK370">
        <v>1</v>
      </c>
      <c r="AL370">
        <v>1</v>
      </c>
      <c r="AN370">
        <v>0</v>
      </c>
      <c r="AO370">
        <v>0</v>
      </c>
      <c r="AP370">
        <v>0</v>
      </c>
      <c r="AQ370">
        <v>0</v>
      </c>
      <c r="AR370">
        <v>0</v>
      </c>
      <c r="AS370" t="s">
        <v>3</v>
      </c>
      <c r="AT370">
        <v>25</v>
      </c>
      <c r="AU370" t="s">
        <v>3</v>
      </c>
      <c r="AV370">
        <v>0</v>
      </c>
      <c r="AW370">
        <v>1</v>
      </c>
      <c r="AX370">
        <v>-1</v>
      </c>
      <c r="AY370">
        <v>0</v>
      </c>
      <c r="AZ370">
        <v>0</v>
      </c>
      <c r="BA370" t="s">
        <v>3</v>
      </c>
      <c r="BB370">
        <v>0</v>
      </c>
      <c r="BC370">
        <v>0</v>
      </c>
      <c r="BD370">
        <v>0</v>
      </c>
      <c r="BE370">
        <v>0</v>
      </c>
      <c r="BF370">
        <v>0</v>
      </c>
      <c r="BG370">
        <v>0</v>
      </c>
      <c r="BH370">
        <v>0</v>
      </c>
      <c r="BI370">
        <v>0</v>
      </c>
      <c r="BJ370">
        <v>0</v>
      </c>
      <c r="BK370">
        <v>0</v>
      </c>
      <c r="BL370">
        <v>0</v>
      </c>
      <c r="BM370">
        <v>0</v>
      </c>
      <c r="BN370">
        <v>0</v>
      </c>
      <c r="BO370">
        <v>0</v>
      </c>
      <c r="BP370">
        <v>0</v>
      </c>
      <c r="BQ370">
        <v>0</v>
      </c>
      <c r="BR370">
        <v>0</v>
      </c>
      <c r="BS370">
        <v>0</v>
      </c>
      <c r="BT370">
        <v>0</v>
      </c>
      <c r="BU370">
        <v>0</v>
      </c>
      <c r="BV370">
        <v>0</v>
      </c>
      <c r="BW370">
        <v>0</v>
      </c>
      <c r="CX370">
        <f>Y370*Source!I452</f>
        <v>1</v>
      </c>
      <c r="CY370">
        <f t="shared" si="33"/>
        <v>44166.67</v>
      </c>
      <c r="CZ370">
        <f t="shared" si="34"/>
        <v>44166.67</v>
      </c>
      <c r="DA370">
        <f t="shared" si="35"/>
        <v>1</v>
      </c>
      <c r="DB370">
        <f t="shared" si="25"/>
        <v>1104166.75</v>
      </c>
      <c r="DC370">
        <f t="shared" si="26"/>
        <v>0</v>
      </c>
    </row>
    <row r="371" spans="1:107" x14ac:dyDescent="0.2">
      <c r="A371">
        <f>ROW(Source!A452)</f>
        <v>452</v>
      </c>
      <c r="B371">
        <v>52430918</v>
      </c>
      <c r="C371">
        <v>52433549</v>
      </c>
      <c r="D371">
        <v>0</v>
      </c>
      <c r="E371">
        <v>27</v>
      </c>
      <c r="F371">
        <v>1</v>
      </c>
      <c r="G371">
        <v>27</v>
      </c>
      <c r="H371">
        <v>3</v>
      </c>
      <c r="I371" t="s">
        <v>104</v>
      </c>
      <c r="J371" t="s">
        <v>3</v>
      </c>
      <c r="K371" t="s">
        <v>203</v>
      </c>
      <c r="L371">
        <v>1354</v>
      </c>
      <c r="N371">
        <v>1010</v>
      </c>
      <c r="O371" t="s">
        <v>106</v>
      </c>
      <c r="P371" t="s">
        <v>106</v>
      </c>
      <c r="Q371">
        <v>1</v>
      </c>
      <c r="W371">
        <v>0</v>
      </c>
      <c r="X371">
        <v>954585822</v>
      </c>
      <c r="Y371">
        <v>25</v>
      </c>
      <c r="AA371">
        <v>40166.67</v>
      </c>
      <c r="AB371">
        <v>0</v>
      </c>
      <c r="AC371">
        <v>0</v>
      </c>
      <c r="AD371">
        <v>0</v>
      </c>
      <c r="AE371">
        <v>40166.67</v>
      </c>
      <c r="AF371">
        <v>0</v>
      </c>
      <c r="AG371">
        <v>0</v>
      </c>
      <c r="AH371">
        <v>0</v>
      </c>
      <c r="AI371">
        <v>1</v>
      </c>
      <c r="AJ371">
        <v>1</v>
      </c>
      <c r="AK371">
        <v>1</v>
      </c>
      <c r="AL371">
        <v>1</v>
      </c>
      <c r="AN371">
        <v>0</v>
      </c>
      <c r="AO371">
        <v>0</v>
      </c>
      <c r="AP371">
        <v>0</v>
      </c>
      <c r="AQ371">
        <v>0</v>
      </c>
      <c r="AR371">
        <v>0</v>
      </c>
      <c r="AS371" t="s">
        <v>3</v>
      </c>
      <c r="AT371">
        <v>25</v>
      </c>
      <c r="AU371" t="s">
        <v>3</v>
      </c>
      <c r="AV371">
        <v>0</v>
      </c>
      <c r="AW371">
        <v>1</v>
      </c>
      <c r="AX371">
        <v>-1</v>
      </c>
      <c r="AY371">
        <v>0</v>
      </c>
      <c r="AZ371">
        <v>0</v>
      </c>
      <c r="BA371" t="s">
        <v>3</v>
      </c>
      <c r="BB371">
        <v>0</v>
      </c>
      <c r="BC371">
        <v>0</v>
      </c>
      <c r="BD371">
        <v>0</v>
      </c>
      <c r="BE371">
        <v>0</v>
      </c>
      <c r="BF371">
        <v>0</v>
      </c>
      <c r="BG371">
        <v>0</v>
      </c>
      <c r="BH371">
        <v>0</v>
      </c>
      <c r="BI371">
        <v>0</v>
      </c>
      <c r="BJ371">
        <v>0</v>
      </c>
      <c r="BK371">
        <v>0</v>
      </c>
      <c r="BL371">
        <v>0</v>
      </c>
      <c r="BM371">
        <v>0</v>
      </c>
      <c r="BN371">
        <v>0</v>
      </c>
      <c r="BO371">
        <v>0</v>
      </c>
      <c r="BP371">
        <v>0</v>
      </c>
      <c r="BQ371">
        <v>0</v>
      </c>
      <c r="BR371">
        <v>0</v>
      </c>
      <c r="BS371">
        <v>0</v>
      </c>
      <c r="BT371">
        <v>0</v>
      </c>
      <c r="BU371">
        <v>0</v>
      </c>
      <c r="BV371">
        <v>0</v>
      </c>
      <c r="BW371">
        <v>0</v>
      </c>
      <c r="CX371">
        <f>Y371*Source!I452</f>
        <v>1</v>
      </c>
      <c r="CY371">
        <f t="shared" si="33"/>
        <v>40166.67</v>
      </c>
      <c r="CZ371">
        <f t="shared" si="34"/>
        <v>40166.67</v>
      </c>
      <c r="DA371">
        <f t="shared" si="35"/>
        <v>1</v>
      </c>
      <c r="DB371">
        <f t="shared" si="25"/>
        <v>1004166.75</v>
      </c>
      <c r="DC371">
        <f t="shared" si="26"/>
        <v>0</v>
      </c>
    </row>
    <row r="372" spans="1:107" x14ac:dyDescent="0.2">
      <c r="A372">
        <f>ROW(Source!A452)</f>
        <v>452</v>
      </c>
      <c r="B372">
        <v>52430918</v>
      </c>
      <c r="C372">
        <v>52433549</v>
      </c>
      <c r="D372">
        <v>0</v>
      </c>
      <c r="E372">
        <v>27</v>
      </c>
      <c r="F372">
        <v>1</v>
      </c>
      <c r="G372">
        <v>27</v>
      </c>
      <c r="H372">
        <v>3</v>
      </c>
      <c r="I372" t="s">
        <v>104</v>
      </c>
      <c r="J372" t="s">
        <v>3</v>
      </c>
      <c r="K372" t="s">
        <v>345</v>
      </c>
      <c r="L372">
        <v>1354</v>
      </c>
      <c r="N372">
        <v>1010</v>
      </c>
      <c r="O372" t="s">
        <v>106</v>
      </c>
      <c r="P372" t="s">
        <v>106</v>
      </c>
      <c r="Q372">
        <v>1</v>
      </c>
      <c r="W372">
        <v>0</v>
      </c>
      <c r="X372">
        <v>-1807715979</v>
      </c>
      <c r="Y372">
        <v>25</v>
      </c>
      <c r="AA372">
        <v>13166.67</v>
      </c>
      <c r="AB372">
        <v>0</v>
      </c>
      <c r="AC372">
        <v>0</v>
      </c>
      <c r="AD372">
        <v>0</v>
      </c>
      <c r="AE372">
        <v>13166.67</v>
      </c>
      <c r="AF372">
        <v>0</v>
      </c>
      <c r="AG372">
        <v>0</v>
      </c>
      <c r="AH372">
        <v>0</v>
      </c>
      <c r="AI372">
        <v>1</v>
      </c>
      <c r="AJ372">
        <v>1</v>
      </c>
      <c r="AK372">
        <v>1</v>
      </c>
      <c r="AL372">
        <v>1</v>
      </c>
      <c r="AN372">
        <v>0</v>
      </c>
      <c r="AO372">
        <v>0</v>
      </c>
      <c r="AP372">
        <v>0</v>
      </c>
      <c r="AQ372">
        <v>0</v>
      </c>
      <c r="AR372">
        <v>0</v>
      </c>
      <c r="AS372" t="s">
        <v>3</v>
      </c>
      <c r="AT372">
        <v>25</v>
      </c>
      <c r="AU372" t="s">
        <v>3</v>
      </c>
      <c r="AV372">
        <v>0</v>
      </c>
      <c r="AW372">
        <v>1</v>
      </c>
      <c r="AX372">
        <v>-1</v>
      </c>
      <c r="AY372">
        <v>0</v>
      </c>
      <c r="AZ372">
        <v>0</v>
      </c>
      <c r="BA372" t="s">
        <v>3</v>
      </c>
      <c r="BB372">
        <v>0</v>
      </c>
      <c r="BC372">
        <v>0</v>
      </c>
      <c r="BD372">
        <v>0</v>
      </c>
      <c r="BE372">
        <v>0</v>
      </c>
      <c r="BF372">
        <v>0</v>
      </c>
      <c r="BG372">
        <v>0</v>
      </c>
      <c r="BH372">
        <v>0</v>
      </c>
      <c r="BI372">
        <v>0</v>
      </c>
      <c r="BJ372">
        <v>0</v>
      </c>
      <c r="BK372">
        <v>0</v>
      </c>
      <c r="BL372">
        <v>0</v>
      </c>
      <c r="BM372">
        <v>0</v>
      </c>
      <c r="BN372">
        <v>0</v>
      </c>
      <c r="BO372">
        <v>0</v>
      </c>
      <c r="BP372">
        <v>0</v>
      </c>
      <c r="BQ372">
        <v>0</v>
      </c>
      <c r="BR372">
        <v>0</v>
      </c>
      <c r="BS372">
        <v>0</v>
      </c>
      <c r="BT372">
        <v>0</v>
      </c>
      <c r="BU372">
        <v>0</v>
      </c>
      <c r="BV372">
        <v>0</v>
      </c>
      <c r="BW372">
        <v>0</v>
      </c>
      <c r="CX372">
        <f>Y372*Source!I452</f>
        <v>1</v>
      </c>
      <c r="CY372">
        <f t="shared" si="33"/>
        <v>13166.67</v>
      </c>
      <c r="CZ372">
        <f t="shared" si="34"/>
        <v>13166.67</v>
      </c>
      <c r="DA372">
        <f t="shared" si="35"/>
        <v>1</v>
      </c>
      <c r="DB372">
        <f t="shared" si="25"/>
        <v>329166.75</v>
      </c>
      <c r="DC372">
        <f t="shared" si="26"/>
        <v>0</v>
      </c>
    </row>
    <row r="373" spans="1:107" x14ac:dyDescent="0.2">
      <c r="A373">
        <f>ROW(Source!A452)</f>
        <v>452</v>
      </c>
      <c r="B373">
        <v>52430918</v>
      </c>
      <c r="C373">
        <v>52433549</v>
      </c>
      <c r="D373">
        <v>0</v>
      </c>
      <c r="E373">
        <v>0</v>
      </c>
      <c r="F373">
        <v>1</v>
      </c>
      <c r="G373">
        <v>27</v>
      </c>
      <c r="H373">
        <v>3</v>
      </c>
      <c r="I373" t="s">
        <v>104</v>
      </c>
      <c r="J373" t="s">
        <v>3</v>
      </c>
      <c r="K373" t="s">
        <v>200</v>
      </c>
      <c r="L373">
        <v>1354</v>
      </c>
      <c r="N373">
        <v>1010</v>
      </c>
      <c r="O373" t="s">
        <v>106</v>
      </c>
      <c r="P373" t="s">
        <v>106</v>
      </c>
      <c r="Q373">
        <v>1</v>
      </c>
      <c r="W373">
        <v>0</v>
      </c>
      <c r="X373">
        <v>-797437268</v>
      </c>
      <c r="Y373">
        <v>25</v>
      </c>
      <c r="AA373">
        <v>43083.33</v>
      </c>
      <c r="AB373">
        <v>0</v>
      </c>
      <c r="AC373">
        <v>0</v>
      </c>
      <c r="AD373">
        <v>0</v>
      </c>
      <c r="AE373">
        <v>43083.33</v>
      </c>
      <c r="AF373">
        <v>0</v>
      </c>
      <c r="AG373">
        <v>0</v>
      </c>
      <c r="AH373">
        <v>0</v>
      </c>
      <c r="AI373">
        <v>1</v>
      </c>
      <c r="AJ373">
        <v>1</v>
      </c>
      <c r="AK373">
        <v>1</v>
      </c>
      <c r="AL373">
        <v>1</v>
      </c>
      <c r="AN373">
        <v>0</v>
      </c>
      <c r="AO373">
        <v>0</v>
      </c>
      <c r="AP373">
        <v>0</v>
      </c>
      <c r="AQ373">
        <v>0</v>
      </c>
      <c r="AR373">
        <v>0</v>
      </c>
      <c r="AS373" t="s">
        <v>3</v>
      </c>
      <c r="AT373">
        <v>25</v>
      </c>
      <c r="AU373" t="s">
        <v>3</v>
      </c>
      <c r="AV373">
        <v>0</v>
      </c>
      <c r="AW373">
        <v>1</v>
      </c>
      <c r="AX373">
        <v>-1</v>
      </c>
      <c r="AY373">
        <v>0</v>
      </c>
      <c r="AZ373">
        <v>0</v>
      </c>
      <c r="BA373" t="s">
        <v>3</v>
      </c>
      <c r="BB373">
        <v>0</v>
      </c>
      <c r="BC373">
        <v>0</v>
      </c>
      <c r="BD373">
        <v>0</v>
      </c>
      <c r="BE373">
        <v>0</v>
      </c>
      <c r="BF373">
        <v>0</v>
      </c>
      <c r="BG373">
        <v>0</v>
      </c>
      <c r="BH373">
        <v>0</v>
      </c>
      <c r="BI373">
        <v>0</v>
      </c>
      <c r="BJ373">
        <v>0</v>
      </c>
      <c r="BK373">
        <v>0</v>
      </c>
      <c r="BL373">
        <v>0</v>
      </c>
      <c r="BM373">
        <v>0</v>
      </c>
      <c r="BN373">
        <v>0</v>
      </c>
      <c r="BO373">
        <v>0</v>
      </c>
      <c r="BP373">
        <v>0</v>
      </c>
      <c r="BQ373">
        <v>0</v>
      </c>
      <c r="BR373">
        <v>0</v>
      </c>
      <c r="BS373">
        <v>0</v>
      </c>
      <c r="BT373">
        <v>0</v>
      </c>
      <c r="BU373">
        <v>0</v>
      </c>
      <c r="BV373">
        <v>0</v>
      </c>
      <c r="BW373">
        <v>0</v>
      </c>
      <c r="CX373">
        <f>Y373*Source!I452</f>
        <v>1</v>
      </c>
      <c r="CY373">
        <f t="shared" si="33"/>
        <v>43083.33</v>
      </c>
      <c r="CZ373">
        <f t="shared" si="34"/>
        <v>43083.33</v>
      </c>
      <c r="DA373">
        <f t="shared" si="35"/>
        <v>1</v>
      </c>
      <c r="DB373">
        <f t="shared" si="25"/>
        <v>1077083.25</v>
      </c>
      <c r="DC373">
        <f t="shared" si="26"/>
        <v>0</v>
      </c>
    </row>
    <row r="374" spans="1:107" x14ac:dyDescent="0.2">
      <c r="A374">
        <f>ROW(Source!A498)</f>
        <v>498</v>
      </c>
      <c r="B374">
        <v>52430918</v>
      </c>
      <c r="C374">
        <v>52432122</v>
      </c>
      <c r="D374">
        <v>51848379</v>
      </c>
      <c r="E374">
        <v>27</v>
      </c>
      <c r="F374">
        <v>1</v>
      </c>
      <c r="G374">
        <v>27</v>
      </c>
      <c r="H374">
        <v>1</v>
      </c>
      <c r="I374" t="s">
        <v>378</v>
      </c>
      <c r="J374" t="s">
        <v>3</v>
      </c>
      <c r="K374" t="s">
        <v>379</v>
      </c>
      <c r="L374">
        <v>1191</v>
      </c>
      <c r="N374">
        <v>1013</v>
      </c>
      <c r="O374" t="s">
        <v>380</v>
      </c>
      <c r="P374" t="s">
        <v>380</v>
      </c>
      <c r="Q374">
        <v>1</v>
      </c>
      <c r="W374">
        <v>0</v>
      </c>
      <c r="X374">
        <v>476480486</v>
      </c>
      <c r="Y374">
        <v>0.65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1</v>
      </c>
      <c r="AJ374">
        <v>1</v>
      </c>
      <c r="AK374">
        <v>1</v>
      </c>
      <c r="AL374">
        <v>1</v>
      </c>
      <c r="AN374">
        <v>0</v>
      </c>
      <c r="AO374">
        <v>1</v>
      </c>
      <c r="AP374">
        <v>0</v>
      </c>
      <c r="AQ374">
        <v>0</v>
      </c>
      <c r="AR374">
        <v>0</v>
      </c>
      <c r="AS374" t="s">
        <v>3</v>
      </c>
      <c r="AT374">
        <v>0.65</v>
      </c>
      <c r="AU374" t="s">
        <v>3</v>
      </c>
      <c r="AV374">
        <v>1</v>
      </c>
      <c r="AW374">
        <v>2</v>
      </c>
      <c r="AX374">
        <v>52432125</v>
      </c>
      <c r="AY374">
        <v>1</v>
      </c>
      <c r="AZ374">
        <v>0</v>
      </c>
      <c r="BA374">
        <v>355</v>
      </c>
      <c r="BB374">
        <v>0</v>
      </c>
      <c r="BC374">
        <v>0</v>
      </c>
      <c r="BD374">
        <v>0</v>
      </c>
      <c r="BE374">
        <v>0</v>
      </c>
      <c r="BF374">
        <v>0</v>
      </c>
      <c r="BG374">
        <v>0</v>
      </c>
      <c r="BH374">
        <v>0</v>
      </c>
      <c r="BI374">
        <v>0</v>
      </c>
      <c r="BJ374">
        <v>0</v>
      </c>
      <c r="BK374">
        <v>0</v>
      </c>
      <c r="BL374">
        <v>0</v>
      </c>
      <c r="BM374">
        <v>0</v>
      </c>
      <c r="BN374">
        <v>0</v>
      </c>
      <c r="BO374">
        <v>0</v>
      </c>
      <c r="BP374">
        <v>0</v>
      </c>
      <c r="BQ374">
        <v>0</v>
      </c>
      <c r="BR374">
        <v>0</v>
      </c>
      <c r="BS374">
        <v>0</v>
      </c>
      <c r="BT374">
        <v>0</v>
      </c>
      <c r="BU374">
        <v>0</v>
      </c>
      <c r="BV374">
        <v>0</v>
      </c>
      <c r="BW374">
        <v>0</v>
      </c>
      <c r="CX374">
        <f>Y374*Source!I498</f>
        <v>9.1168999999999993</v>
      </c>
      <c r="CY374">
        <f>AD374</f>
        <v>0</v>
      </c>
      <c r="CZ374">
        <f>AH374</f>
        <v>0</v>
      </c>
      <c r="DA374">
        <f>AL374</f>
        <v>1</v>
      </c>
      <c r="DB374">
        <f t="shared" si="25"/>
        <v>0</v>
      </c>
      <c r="DC374">
        <f t="shared" si="26"/>
        <v>0</v>
      </c>
    </row>
    <row r="375" spans="1:107" x14ac:dyDescent="0.2">
      <c r="A375">
        <f>ROW(Source!A498)</f>
        <v>498</v>
      </c>
      <c r="B375">
        <v>52430918</v>
      </c>
      <c r="C375">
        <v>52432122</v>
      </c>
      <c r="D375">
        <v>51864816</v>
      </c>
      <c r="E375">
        <v>1</v>
      </c>
      <c r="F375">
        <v>1</v>
      </c>
      <c r="G375">
        <v>27</v>
      </c>
      <c r="H375">
        <v>2</v>
      </c>
      <c r="I375" t="s">
        <v>504</v>
      </c>
      <c r="J375" t="s">
        <v>505</v>
      </c>
      <c r="K375" t="s">
        <v>506</v>
      </c>
      <c r="L375">
        <v>1368</v>
      </c>
      <c r="N375">
        <v>1011</v>
      </c>
      <c r="O375" t="s">
        <v>84</v>
      </c>
      <c r="P375" t="s">
        <v>84</v>
      </c>
      <c r="Q375">
        <v>1</v>
      </c>
      <c r="W375">
        <v>0</v>
      </c>
      <c r="X375">
        <v>-273351582</v>
      </c>
      <c r="Y375">
        <v>0.54</v>
      </c>
      <c r="AA375">
        <v>0</v>
      </c>
      <c r="AB375">
        <v>2268.84</v>
      </c>
      <c r="AC375">
        <v>849.67</v>
      </c>
      <c r="AD375">
        <v>0</v>
      </c>
      <c r="AE375">
        <v>0</v>
      </c>
      <c r="AF375">
        <v>2268.84</v>
      </c>
      <c r="AG375">
        <v>849.67</v>
      </c>
      <c r="AH375">
        <v>0</v>
      </c>
      <c r="AI375">
        <v>1</v>
      </c>
      <c r="AJ375">
        <v>1</v>
      </c>
      <c r="AK375">
        <v>1</v>
      </c>
      <c r="AL375">
        <v>1</v>
      </c>
      <c r="AN375">
        <v>0</v>
      </c>
      <c r="AO375">
        <v>1</v>
      </c>
      <c r="AP375">
        <v>0</v>
      </c>
      <c r="AQ375">
        <v>0</v>
      </c>
      <c r="AR375">
        <v>0</v>
      </c>
      <c r="AS375" t="s">
        <v>3</v>
      </c>
      <c r="AT375">
        <v>0.54</v>
      </c>
      <c r="AU375" t="s">
        <v>3</v>
      </c>
      <c r="AV375">
        <v>0</v>
      </c>
      <c r="AW375">
        <v>2</v>
      </c>
      <c r="AX375">
        <v>52432126</v>
      </c>
      <c r="AY375">
        <v>1</v>
      </c>
      <c r="AZ375">
        <v>0</v>
      </c>
      <c r="BA375">
        <v>356</v>
      </c>
      <c r="BB375">
        <v>0</v>
      </c>
      <c r="BC375">
        <v>0</v>
      </c>
      <c r="BD375">
        <v>0</v>
      </c>
      <c r="BE375">
        <v>0</v>
      </c>
      <c r="BF375">
        <v>0</v>
      </c>
      <c r="BG375">
        <v>0</v>
      </c>
      <c r="BH375">
        <v>0</v>
      </c>
      <c r="BI375">
        <v>0</v>
      </c>
      <c r="BJ375">
        <v>0</v>
      </c>
      <c r="BK375">
        <v>0</v>
      </c>
      <c r="BL375">
        <v>0</v>
      </c>
      <c r="BM375">
        <v>0</v>
      </c>
      <c r="BN375">
        <v>0</v>
      </c>
      <c r="BO375">
        <v>0</v>
      </c>
      <c r="BP375">
        <v>0</v>
      </c>
      <c r="BQ375">
        <v>0</v>
      </c>
      <c r="BR375">
        <v>0</v>
      </c>
      <c r="BS375">
        <v>0</v>
      </c>
      <c r="BT375">
        <v>0</v>
      </c>
      <c r="BU375">
        <v>0</v>
      </c>
      <c r="BV375">
        <v>0</v>
      </c>
      <c r="BW375">
        <v>0</v>
      </c>
      <c r="CX375">
        <f>Y375*Source!I498</f>
        <v>7.5740400000000001</v>
      </c>
      <c r="CY375">
        <f t="shared" ref="CY375:CY382" si="36">AB375</f>
        <v>2268.84</v>
      </c>
      <c r="CZ375">
        <f t="shared" ref="CZ375:CZ382" si="37">AF375</f>
        <v>2268.84</v>
      </c>
      <c r="DA375">
        <f t="shared" ref="DA375:DA382" si="38">AJ375</f>
        <v>1</v>
      </c>
      <c r="DB375">
        <f t="shared" si="25"/>
        <v>1225.17</v>
      </c>
      <c r="DC375">
        <f t="shared" si="26"/>
        <v>458.82</v>
      </c>
    </row>
    <row r="376" spans="1:107" x14ac:dyDescent="0.2">
      <c r="A376">
        <f>ROW(Source!A499)</f>
        <v>499</v>
      </c>
      <c r="B376">
        <v>52430918</v>
      </c>
      <c r="C376">
        <v>52432127</v>
      </c>
      <c r="D376">
        <v>51865603</v>
      </c>
      <c r="E376">
        <v>1</v>
      </c>
      <c r="F376">
        <v>1</v>
      </c>
      <c r="G376">
        <v>27</v>
      </c>
      <c r="H376">
        <v>2</v>
      </c>
      <c r="I376" t="s">
        <v>507</v>
      </c>
      <c r="J376" t="s">
        <v>508</v>
      </c>
      <c r="K376" t="s">
        <v>509</v>
      </c>
      <c r="L376">
        <v>1368</v>
      </c>
      <c r="N376">
        <v>1011</v>
      </c>
      <c r="O376" t="s">
        <v>84</v>
      </c>
      <c r="P376" t="s">
        <v>84</v>
      </c>
      <c r="Q376">
        <v>1</v>
      </c>
      <c r="W376">
        <v>0</v>
      </c>
      <c r="X376">
        <v>486337296</v>
      </c>
      <c r="Y376">
        <v>3.1E-2</v>
      </c>
      <c r="AA376">
        <v>0</v>
      </c>
      <c r="AB376">
        <v>1014.12</v>
      </c>
      <c r="AC376">
        <v>317.13</v>
      </c>
      <c r="AD376">
        <v>0</v>
      </c>
      <c r="AE376">
        <v>0</v>
      </c>
      <c r="AF376">
        <v>1014.12</v>
      </c>
      <c r="AG376">
        <v>317.13</v>
      </c>
      <c r="AH376">
        <v>0</v>
      </c>
      <c r="AI376">
        <v>1</v>
      </c>
      <c r="AJ376">
        <v>1</v>
      </c>
      <c r="AK376">
        <v>1</v>
      </c>
      <c r="AL376">
        <v>1</v>
      </c>
      <c r="AN376">
        <v>0</v>
      </c>
      <c r="AO376">
        <v>1</v>
      </c>
      <c r="AP376">
        <v>0</v>
      </c>
      <c r="AQ376">
        <v>0</v>
      </c>
      <c r="AR376">
        <v>0</v>
      </c>
      <c r="AS376" t="s">
        <v>3</v>
      </c>
      <c r="AT376">
        <v>3.1E-2</v>
      </c>
      <c r="AU376" t="s">
        <v>3</v>
      </c>
      <c r="AV376">
        <v>0</v>
      </c>
      <c r="AW376">
        <v>2</v>
      </c>
      <c r="AX376">
        <v>52433586</v>
      </c>
      <c r="AY376">
        <v>1</v>
      </c>
      <c r="AZ376">
        <v>0</v>
      </c>
      <c r="BA376">
        <v>357</v>
      </c>
      <c r="BB376">
        <v>0</v>
      </c>
      <c r="BC376">
        <v>0</v>
      </c>
      <c r="BD376">
        <v>0</v>
      </c>
      <c r="BE376">
        <v>0</v>
      </c>
      <c r="BF376">
        <v>0</v>
      </c>
      <c r="BG376">
        <v>0</v>
      </c>
      <c r="BH376">
        <v>0</v>
      </c>
      <c r="BI376">
        <v>0</v>
      </c>
      <c r="BJ376">
        <v>0</v>
      </c>
      <c r="BK376">
        <v>0</v>
      </c>
      <c r="BL376">
        <v>0</v>
      </c>
      <c r="BM376">
        <v>0</v>
      </c>
      <c r="BN376">
        <v>0</v>
      </c>
      <c r="BO376">
        <v>0</v>
      </c>
      <c r="BP376">
        <v>0</v>
      </c>
      <c r="BQ376">
        <v>0</v>
      </c>
      <c r="BR376">
        <v>0</v>
      </c>
      <c r="BS376">
        <v>0</v>
      </c>
      <c r="BT376">
        <v>0</v>
      </c>
      <c r="BU376">
        <v>0</v>
      </c>
      <c r="BV376">
        <v>0</v>
      </c>
      <c r="BW376">
        <v>0</v>
      </c>
      <c r="CX376">
        <f>Y376*Source!I499</f>
        <v>4.3480599999999994</v>
      </c>
      <c r="CY376">
        <f t="shared" si="36"/>
        <v>1014.12</v>
      </c>
      <c r="CZ376">
        <f t="shared" si="37"/>
        <v>1014.12</v>
      </c>
      <c r="DA376">
        <f t="shared" si="38"/>
        <v>1</v>
      </c>
      <c r="DB376">
        <f t="shared" si="25"/>
        <v>31.44</v>
      </c>
      <c r="DC376">
        <f t="shared" si="26"/>
        <v>9.83</v>
      </c>
    </row>
    <row r="377" spans="1:107" x14ac:dyDescent="0.2">
      <c r="A377">
        <f>ROW(Source!A500)</f>
        <v>500</v>
      </c>
      <c r="B377">
        <v>52430918</v>
      </c>
      <c r="C377">
        <v>52432130</v>
      </c>
      <c r="D377">
        <v>51865603</v>
      </c>
      <c r="E377">
        <v>1</v>
      </c>
      <c r="F377">
        <v>1</v>
      </c>
      <c r="G377">
        <v>27</v>
      </c>
      <c r="H377">
        <v>2</v>
      </c>
      <c r="I377" t="s">
        <v>507</v>
      </c>
      <c r="J377" t="s">
        <v>508</v>
      </c>
      <c r="K377" t="s">
        <v>509</v>
      </c>
      <c r="L377">
        <v>1368</v>
      </c>
      <c r="N377">
        <v>1011</v>
      </c>
      <c r="O377" t="s">
        <v>84</v>
      </c>
      <c r="P377" t="s">
        <v>84</v>
      </c>
      <c r="Q377">
        <v>1</v>
      </c>
      <c r="W377">
        <v>0</v>
      </c>
      <c r="X377">
        <v>486337296</v>
      </c>
      <c r="Y377">
        <v>0.48</v>
      </c>
      <c r="AA377">
        <v>0</v>
      </c>
      <c r="AB377">
        <v>1014.12</v>
      </c>
      <c r="AC377">
        <v>317.13</v>
      </c>
      <c r="AD377">
        <v>0</v>
      </c>
      <c r="AE377">
        <v>0</v>
      </c>
      <c r="AF377">
        <v>1014.12</v>
      </c>
      <c r="AG377">
        <v>317.13</v>
      </c>
      <c r="AH377">
        <v>0</v>
      </c>
      <c r="AI377">
        <v>1</v>
      </c>
      <c r="AJ377">
        <v>1</v>
      </c>
      <c r="AK377">
        <v>1</v>
      </c>
      <c r="AL377">
        <v>1</v>
      </c>
      <c r="AN377">
        <v>0</v>
      </c>
      <c r="AO377">
        <v>1</v>
      </c>
      <c r="AP377">
        <v>1</v>
      </c>
      <c r="AQ377">
        <v>0</v>
      </c>
      <c r="AR377">
        <v>0</v>
      </c>
      <c r="AS377" t="s">
        <v>3</v>
      </c>
      <c r="AT377">
        <v>0.01</v>
      </c>
      <c r="AU377" t="s">
        <v>363</v>
      </c>
      <c r="AV377">
        <v>0</v>
      </c>
      <c r="AW377">
        <v>2</v>
      </c>
      <c r="AX377">
        <v>52432132</v>
      </c>
      <c r="AY377">
        <v>1</v>
      </c>
      <c r="AZ377">
        <v>0</v>
      </c>
      <c r="BA377">
        <v>358</v>
      </c>
      <c r="BB377">
        <v>0</v>
      </c>
      <c r="BC377">
        <v>0</v>
      </c>
      <c r="BD377">
        <v>0</v>
      </c>
      <c r="BE377">
        <v>0</v>
      </c>
      <c r="BF377">
        <v>0</v>
      </c>
      <c r="BG377">
        <v>0</v>
      </c>
      <c r="BH377">
        <v>0</v>
      </c>
      <c r="BI377">
        <v>0</v>
      </c>
      <c r="BJ377">
        <v>0</v>
      </c>
      <c r="BK377">
        <v>0</v>
      </c>
      <c r="BL377">
        <v>0</v>
      </c>
      <c r="BM377">
        <v>0</v>
      </c>
      <c r="BN377">
        <v>0</v>
      </c>
      <c r="BO377">
        <v>0</v>
      </c>
      <c r="BP377">
        <v>0</v>
      </c>
      <c r="BQ377">
        <v>0</v>
      </c>
      <c r="BR377">
        <v>0</v>
      </c>
      <c r="BS377">
        <v>0</v>
      </c>
      <c r="BT377">
        <v>0</v>
      </c>
      <c r="BU377">
        <v>0</v>
      </c>
      <c r="BV377">
        <v>0</v>
      </c>
      <c r="BW377">
        <v>0</v>
      </c>
      <c r="CX377">
        <f>Y377*Source!I500</f>
        <v>67.324799999999996</v>
      </c>
      <c r="CY377">
        <f t="shared" si="36"/>
        <v>1014.12</v>
      </c>
      <c r="CZ377">
        <f t="shared" si="37"/>
        <v>1014.12</v>
      </c>
      <c r="DA377">
        <f t="shared" si="38"/>
        <v>1</v>
      </c>
      <c r="DB377">
        <f>ROUND((ROUND(AT377*CZ377,2)*48),6)</f>
        <v>486.72</v>
      </c>
      <c r="DC377">
        <f>ROUND((ROUND(AT377*AG377,2)*48),6)</f>
        <v>152.16</v>
      </c>
    </row>
    <row r="378" spans="1:107" x14ac:dyDescent="0.2">
      <c r="A378">
        <f>ROW(Source!A501)</f>
        <v>501</v>
      </c>
      <c r="B378">
        <v>52430918</v>
      </c>
      <c r="C378">
        <v>52432133</v>
      </c>
      <c r="D378">
        <v>51864804</v>
      </c>
      <c r="E378">
        <v>1</v>
      </c>
      <c r="F378">
        <v>1</v>
      </c>
      <c r="G378">
        <v>27</v>
      </c>
      <c r="H378">
        <v>2</v>
      </c>
      <c r="I378" t="s">
        <v>510</v>
      </c>
      <c r="J378" t="s">
        <v>511</v>
      </c>
      <c r="K378" t="s">
        <v>512</v>
      </c>
      <c r="L378">
        <v>1368</v>
      </c>
      <c r="N378">
        <v>1011</v>
      </c>
      <c r="O378" t="s">
        <v>84</v>
      </c>
      <c r="P378" t="s">
        <v>84</v>
      </c>
      <c r="Q378">
        <v>1</v>
      </c>
      <c r="W378">
        <v>0</v>
      </c>
      <c r="X378">
        <v>-180135071</v>
      </c>
      <c r="Y378">
        <v>5.3699999999999998E-2</v>
      </c>
      <c r="AA378">
        <v>0</v>
      </c>
      <c r="AB378">
        <v>1494.43</v>
      </c>
      <c r="AC378">
        <v>481.21</v>
      </c>
      <c r="AD378">
        <v>0</v>
      </c>
      <c r="AE378">
        <v>0</v>
      </c>
      <c r="AF378">
        <v>1494.43</v>
      </c>
      <c r="AG378">
        <v>481.21</v>
      </c>
      <c r="AH378">
        <v>0</v>
      </c>
      <c r="AI378">
        <v>1</v>
      </c>
      <c r="AJ378">
        <v>1</v>
      </c>
      <c r="AK378">
        <v>1</v>
      </c>
      <c r="AL378">
        <v>1</v>
      </c>
      <c r="AN378">
        <v>0</v>
      </c>
      <c r="AO378">
        <v>1</v>
      </c>
      <c r="AP378">
        <v>0</v>
      </c>
      <c r="AQ378">
        <v>0</v>
      </c>
      <c r="AR378">
        <v>0</v>
      </c>
      <c r="AS378" t="s">
        <v>3</v>
      </c>
      <c r="AT378">
        <v>5.3699999999999998E-2</v>
      </c>
      <c r="AU378" t="s">
        <v>3</v>
      </c>
      <c r="AV378">
        <v>0</v>
      </c>
      <c r="AW378">
        <v>2</v>
      </c>
      <c r="AX378">
        <v>52432135</v>
      </c>
      <c r="AY378">
        <v>1</v>
      </c>
      <c r="AZ378">
        <v>0</v>
      </c>
      <c r="BA378">
        <v>359</v>
      </c>
      <c r="BB378">
        <v>0</v>
      </c>
      <c r="BC378">
        <v>0</v>
      </c>
      <c r="BD378">
        <v>0</v>
      </c>
      <c r="BE378">
        <v>0</v>
      </c>
      <c r="BF378">
        <v>0</v>
      </c>
      <c r="BG378">
        <v>0</v>
      </c>
      <c r="BH378">
        <v>0</v>
      </c>
      <c r="BI378">
        <v>0</v>
      </c>
      <c r="BJ378">
        <v>0</v>
      </c>
      <c r="BK378">
        <v>0</v>
      </c>
      <c r="BL378">
        <v>0</v>
      </c>
      <c r="BM378">
        <v>0</v>
      </c>
      <c r="BN378">
        <v>0</v>
      </c>
      <c r="BO378">
        <v>0</v>
      </c>
      <c r="BP378">
        <v>0</v>
      </c>
      <c r="BQ378">
        <v>0</v>
      </c>
      <c r="BR378">
        <v>0</v>
      </c>
      <c r="BS378">
        <v>0</v>
      </c>
      <c r="BT378">
        <v>0</v>
      </c>
      <c r="BU378">
        <v>0</v>
      </c>
      <c r="BV378">
        <v>0</v>
      </c>
      <c r="BW378">
        <v>0</v>
      </c>
      <c r="CX378">
        <f>Y378*Source!I501</f>
        <v>9.5102699999999984E-2</v>
      </c>
      <c r="CY378">
        <f t="shared" si="36"/>
        <v>1494.43</v>
      </c>
      <c r="CZ378">
        <f t="shared" si="37"/>
        <v>1494.43</v>
      </c>
      <c r="DA378">
        <f t="shared" si="38"/>
        <v>1</v>
      </c>
      <c r="DB378">
        <f>ROUND(ROUND(AT378*CZ378,2),6)</f>
        <v>80.25</v>
      </c>
      <c r="DC378">
        <f>ROUND(ROUND(AT378*AG378,2),6)</f>
        <v>25.84</v>
      </c>
    </row>
    <row r="379" spans="1:107" x14ac:dyDescent="0.2">
      <c r="A379">
        <f>ROW(Source!A502)</f>
        <v>502</v>
      </c>
      <c r="B379">
        <v>52430918</v>
      </c>
      <c r="C379">
        <v>52432136</v>
      </c>
      <c r="D379">
        <v>51865602</v>
      </c>
      <c r="E379">
        <v>1</v>
      </c>
      <c r="F379">
        <v>1</v>
      </c>
      <c r="G379">
        <v>27</v>
      </c>
      <c r="H379">
        <v>2</v>
      </c>
      <c r="I379" t="s">
        <v>513</v>
      </c>
      <c r="J379" t="s">
        <v>514</v>
      </c>
      <c r="K379" t="s">
        <v>515</v>
      </c>
      <c r="L379">
        <v>1368</v>
      </c>
      <c r="N379">
        <v>1011</v>
      </c>
      <c r="O379" t="s">
        <v>84</v>
      </c>
      <c r="P379" t="s">
        <v>84</v>
      </c>
      <c r="Q379">
        <v>1</v>
      </c>
      <c r="W379">
        <v>0</v>
      </c>
      <c r="X379">
        <v>-1530614344</v>
      </c>
      <c r="Y379">
        <v>0.02</v>
      </c>
      <c r="AA379">
        <v>0</v>
      </c>
      <c r="AB379">
        <v>1009.4</v>
      </c>
      <c r="AC379">
        <v>316.82</v>
      </c>
      <c r="AD379">
        <v>0</v>
      </c>
      <c r="AE379">
        <v>0</v>
      </c>
      <c r="AF379">
        <v>1009.4</v>
      </c>
      <c r="AG379">
        <v>316.82</v>
      </c>
      <c r="AH379">
        <v>0</v>
      </c>
      <c r="AI379">
        <v>1</v>
      </c>
      <c r="AJ379">
        <v>1</v>
      </c>
      <c r="AK379">
        <v>1</v>
      </c>
      <c r="AL379">
        <v>1</v>
      </c>
      <c r="AN379">
        <v>0</v>
      </c>
      <c r="AO379">
        <v>1</v>
      </c>
      <c r="AP379">
        <v>0</v>
      </c>
      <c r="AQ379">
        <v>0</v>
      </c>
      <c r="AR379">
        <v>0</v>
      </c>
      <c r="AS379" t="s">
        <v>3</v>
      </c>
      <c r="AT379">
        <v>0.02</v>
      </c>
      <c r="AU379" t="s">
        <v>3</v>
      </c>
      <c r="AV379">
        <v>0</v>
      </c>
      <c r="AW379">
        <v>2</v>
      </c>
      <c r="AX379">
        <v>52432139</v>
      </c>
      <c r="AY379">
        <v>1</v>
      </c>
      <c r="AZ379">
        <v>0</v>
      </c>
      <c r="BA379">
        <v>360</v>
      </c>
      <c r="BB379">
        <v>0</v>
      </c>
      <c r="BC379">
        <v>0</v>
      </c>
      <c r="BD379">
        <v>0</v>
      </c>
      <c r="BE379">
        <v>0</v>
      </c>
      <c r="BF379">
        <v>0</v>
      </c>
      <c r="BG379">
        <v>0</v>
      </c>
      <c r="BH379">
        <v>0</v>
      </c>
      <c r="BI379">
        <v>0</v>
      </c>
      <c r="BJ379">
        <v>0</v>
      </c>
      <c r="BK379">
        <v>0</v>
      </c>
      <c r="BL379">
        <v>0</v>
      </c>
      <c r="BM379">
        <v>0</v>
      </c>
      <c r="BN379">
        <v>0</v>
      </c>
      <c r="BO379">
        <v>0</v>
      </c>
      <c r="BP379">
        <v>0</v>
      </c>
      <c r="BQ379">
        <v>0</v>
      </c>
      <c r="BR379">
        <v>0</v>
      </c>
      <c r="BS379">
        <v>0</v>
      </c>
      <c r="BT379">
        <v>0</v>
      </c>
      <c r="BU379">
        <v>0</v>
      </c>
      <c r="BV379">
        <v>0</v>
      </c>
      <c r="BW379">
        <v>0</v>
      </c>
      <c r="CX379">
        <f>Y379*Source!I502</f>
        <v>3.542E-2</v>
      </c>
      <c r="CY379">
        <f t="shared" si="36"/>
        <v>1009.4</v>
      </c>
      <c r="CZ379">
        <f t="shared" si="37"/>
        <v>1009.4</v>
      </c>
      <c r="DA379">
        <f t="shared" si="38"/>
        <v>1</v>
      </c>
      <c r="DB379">
        <f>ROUND(ROUND(AT379*CZ379,2),6)</f>
        <v>20.190000000000001</v>
      </c>
      <c r="DC379">
        <f>ROUND(ROUND(AT379*AG379,2),6)</f>
        <v>6.34</v>
      </c>
    </row>
    <row r="380" spans="1:107" x14ac:dyDescent="0.2">
      <c r="A380">
        <f>ROW(Source!A502)</f>
        <v>502</v>
      </c>
      <c r="B380">
        <v>52430918</v>
      </c>
      <c r="C380">
        <v>52432136</v>
      </c>
      <c r="D380">
        <v>51865603</v>
      </c>
      <c r="E380">
        <v>1</v>
      </c>
      <c r="F380">
        <v>1</v>
      </c>
      <c r="G380">
        <v>27</v>
      </c>
      <c r="H380">
        <v>2</v>
      </c>
      <c r="I380" t="s">
        <v>507</v>
      </c>
      <c r="J380" t="s">
        <v>508</v>
      </c>
      <c r="K380" t="s">
        <v>509</v>
      </c>
      <c r="L380">
        <v>1368</v>
      </c>
      <c r="N380">
        <v>1011</v>
      </c>
      <c r="O380" t="s">
        <v>84</v>
      </c>
      <c r="P380" t="s">
        <v>84</v>
      </c>
      <c r="Q380">
        <v>1</v>
      </c>
      <c r="W380">
        <v>0</v>
      </c>
      <c r="X380">
        <v>486337296</v>
      </c>
      <c r="Y380">
        <v>1.7999999999999999E-2</v>
      </c>
      <c r="AA380">
        <v>0</v>
      </c>
      <c r="AB380">
        <v>1014.12</v>
      </c>
      <c r="AC380">
        <v>317.13</v>
      </c>
      <c r="AD380">
        <v>0</v>
      </c>
      <c r="AE380">
        <v>0</v>
      </c>
      <c r="AF380">
        <v>1014.12</v>
      </c>
      <c r="AG380">
        <v>317.13</v>
      </c>
      <c r="AH380">
        <v>0</v>
      </c>
      <c r="AI380">
        <v>1</v>
      </c>
      <c r="AJ380">
        <v>1</v>
      </c>
      <c r="AK380">
        <v>1</v>
      </c>
      <c r="AL380">
        <v>1</v>
      </c>
      <c r="AN380">
        <v>0</v>
      </c>
      <c r="AO380">
        <v>1</v>
      </c>
      <c r="AP380">
        <v>0</v>
      </c>
      <c r="AQ380">
        <v>0</v>
      </c>
      <c r="AR380">
        <v>0</v>
      </c>
      <c r="AS380" t="s">
        <v>3</v>
      </c>
      <c r="AT380">
        <v>1.7999999999999999E-2</v>
      </c>
      <c r="AU380" t="s">
        <v>3</v>
      </c>
      <c r="AV380">
        <v>0</v>
      </c>
      <c r="AW380">
        <v>2</v>
      </c>
      <c r="AX380">
        <v>52432140</v>
      </c>
      <c r="AY380">
        <v>1</v>
      </c>
      <c r="AZ380">
        <v>0</v>
      </c>
      <c r="BA380">
        <v>361</v>
      </c>
      <c r="BB380">
        <v>0</v>
      </c>
      <c r="BC380">
        <v>0</v>
      </c>
      <c r="BD380">
        <v>0</v>
      </c>
      <c r="BE380">
        <v>0</v>
      </c>
      <c r="BF380">
        <v>0</v>
      </c>
      <c r="BG380">
        <v>0</v>
      </c>
      <c r="BH380">
        <v>0</v>
      </c>
      <c r="BI380">
        <v>0</v>
      </c>
      <c r="BJ380">
        <v>0</v>
      </c>
      <c r="BK380">
        <v>0</v>
      </c>
      <c r="BL380">
        <v>0</v>
      </c>
      <c r="BM380">
        <v>0</v>
      </c>
      <c r="BN380">
        <v>0</v>
      </c>
      <c r="BO380">
        <v>0</v>
      </c>
      <c r="BP380">
        <v>0</v>
      </c>
      <c r="BQ380">
        <v>0</v>
      </c>
      <c r="BR380">
        <v>0</v>
      </c>
      <c r="BS380">
        <v>0</v>
      </c>
      <c r="BT380">
        <v>0</v>
      </c>
      <c r="BU380">
        <v>0</v>
      </c>
      <c r="BV380">
        <v>0</v>
      </c>
      <c r="BW380">
        <v>0</v>
      </c>
      <c r="CX380">
        <f>Y380*Source!I502</f>
        <v>3.1877999999999997E-2</v>
      </c>
      <c r="CY380">
        <f t="shared" si="36"/>
        <v>1014.12</v>
      </c>
      <c r="CZ380">
        <f t="shared" si="37"/>
        <v>1014.12</v>
      </c>
      <c r="DA380">
        <f t="shared" si="38"/>
        <v>1</v>
      </c>
      <c r="DB380">
        <f>ROUND(ROUND(AT380*CZ380,2),6)</f>
        <v>18.25</v>
      </c>
      <c r="DC380">
        <f>ROUND(ROUND(AT380*AG380,2),6)</f>
        <v>5.71</v>
      </c>
    </row>
    <row r="381" spans="1:107" x14ac:dyDescent="0.2">
      <c r="A381">
        <f>ROW(Source!A503)</f>
        <v>503</v>
      </c>
      <c r="B381">
        <v>52430918</v>
      </c>
      <c r="C381">
        <v>52432141</v>
      </c>
      <c r="D381">
        <v>51865602</v>
      </c>
      <c r="E381">
        <v>1</v>
      </c>
      <c r="F381">
        <v>1</v>
      </c>
      <c r="G381">
        <v>27</v>
      </c>
      <c r="H381">
        <v>2</v>
      </c>
      <c r="I381" t="s">
        <v>513</v>
      </c>
      <c r="J381" t="s">
        <v>514</v>
      </c>
      <c r="K381" t="s">
        <v>515</v>
      </c>
      <c r="L381">
        <v>1368</v>
      </c>
      <c r="N381">
        <v>1011</v>
      </c>
      <c r="O381" t="s">
        <v>84</v>
      </c>
      <c r="P381" t="s">
        <v>84</v>
      </c>
      <c r="Q381">
        <v>1</v>
      </c>
      <c r="W381">
        <v>0</v>
      </c>
      <c r="X381">
        <v>-1530614344</v>
      </c>
      <c r="Y381">
        <v>0.48</v>
      </c>
      <c r="AA381">
        <v>0</v>
      </c>
      <c r="AB381">
        <v>1009.4</v>
      </c>
      <c r="AC381">
        <v>316.82</v>
      </c>
      <c r="AD381">
        <v>0</v>
      </c>
      <c r="AE381">
        <v>0</v>
      </c>
      <c r="AF381">
        <v>1009.4</v>
      </c>
      <c r="AG381">
        <v>316.82</v>
      </c>
      <c r="AH381">
        <v>0</v>
      </c>
      <c r="AI381">
        <v>1</v>
      </c>
      <c r="AJ381">
        <v>1</v>
      </c>
      <c r="AK381">
        <v>1</v>
      </c>
      <c r="AL381">
        <v>1</v>
      </c>
      <c r="AN381">
        <v>0</v>
      </c>
      <c r="AO381">
        <v>1</v>
      </c>
      <c r="AP381">
        <v>1</v>
      </c>
      <c r="AQ381">
        <v>0</v>
      </c>
      <c r="AR381">
        <v>0</v>
      </c>
      <c r="AS381" t="s">
        <v>3</v>
      </c>
      <c r="AT381">
        <v>0.01</v>
      </c>
      <c r="AU381" t="s">
        <v>363</v>
      </c>
      <c r="AV381">
        <v>0</v>
      </c>
      <c r="AW381">
        <v>2</v>
      </c>
      <c r="AX381">
        <v>52432144</v>
      </c>
      <c r="AY381">
        <v>1</v>
      </c>
      <c r="AZ381">
        <v>0</v>
      </c>
      <c r="BA381">
        <v>362</v>
      </c>
      <c r="BB381">
        <v>0</v>
      </c>
      <c r="BC381">
        <v>0</v>
      </c>
      <c r="BD381">
        <v>0</v>
      </c>
      <c r="BE381">
        <v>0</v>
      </c>
      <c r="BF381">
        <v>0</v>
      </c>
      <c r="BG381">
        <v>0</v>
      </c>
      <c r="BH381">
        <v>0</v>
      </c>
      <c r="BI381">
        <v>0</v>
      </c>
      <c r="BJ381">
        <v>0</v>
      </c>
      <c r="BK381">
        <v>0</v>
      </c>
      <c r="BL381">
        <v>0</v>
      </c>
      <c r="BM381">
        <v>0</v>
      </c>
      <c r="BN381">
        <v>0</v>
      </c>
      <c r="BO381">
        <v>0</v>
      </c>
      <c r="BP381">
        <v>0</v>
      </c>
      <c r="BQ381">
        <v>0</v>
      </c>
      <c r="BR381">
        <v>0</v>
      </c>
      <c r="BS381">
        <v>0</v>
      </c>
      <c r="BT381">
        <v>0</v>
      </c>
      <c r="BU381">
        <v>0</v>
      </c>
      <c r="BV381">
        <v>0</v>
      </c>
      <c r="BW381">
        <v>0</v>
      </c>
      <c r="CX381">
        <f>Y381*Source!I503</f>
        <v>0.85007999999999995</v>
      </c>
      <c r="CY381">
        <f t="shared" si="36"/>
        <v>1009.4</v>
      </c>
      <c r="CZ381">
        <f t="shared" si="37"/>
        <v>1009.4</v>
      </c>
      <c r="DA381">
        <f t="shared" si="38"/>
        <v>1</v>
      </c>
      <c r="DB381">
        <f>ROUND((ROUND(AT381*CZ381,2)*48),6)</f>
        <v>484.32</v>
      </c>
      <c r="DC381">
        <f>ROUND((ROUND(AT381*AG381,2)*48),6)</f>
        <v>152.16</v>
      </c>
    </row>
    <row r="382" spans="1:107" x14ac:dyDescent="0.2">
      <c r="A382">
        <f>ROW(Source!A503)</f>
        <v>503</v>
      </c>
      <c r="B382">
        <v>52430918</v>
      </c>
      <c r="C382">
        <v>52432141</v>
      </c>
      <c r="D382">
        <v>51865603</v>
      </c>
      <c r="E382">
        <v>1</v>
      </c>
      <c r="F382">
        <v>1</v>
      </c>
      <c r="G382">
        <v>27</v>
      </c>
      <c r="H382">
        <v>2</v>
      </c>
      <c r="I382" t="s">
        <v>507</v>
      </c>
      <c r="J382" t="s">
        <v>508</v>
      </c>
      <c r="K382" t="s">
        <v>509</v>
      </c>
      <c r="L382">
        <v>1368</v>
      </c>
      <c r="N382">
        <v>1011</v>
      </c>
      <c r="O382" t="s">
        <v>84</v>
      </c>
      <c r="P382" t="s">
        <v>84</v>
      </c>
      <c r="Q382">
        <v>1</v>
      </c>
      <c r="W382">
        <v>0</v>
      </c>
      <c r="X382">
        <v>486337296</v>
      </c>
      <c r="Y382">
        <v>0.38400000000000001</v>
      </c>
      <c r="AA382">
        <v>0</v>
      </c>
      <c r="AB382">
        <v>1014.12</v>
      </c>
      <c r="AC382">
        <v>317.13</v>
      </c>
      <c r="AD382">
        <v>0</v>
      </c>
      <c r="AE382">
        <v>0</v>
      </c>
      <c r="AF382">
        <v>1014.12</v>
      </c>
      <c r="AG382">
        <v>317.13</v>
      </c>
      <c r="AH382">
        <v>0</v>
      </c>
      <c r="AI382">
        <v>1</v>
      </c>
      <c r="AJ382">
        <v>1</v>
      </c>
      <c r="AK382">
        <v>1</v>
      </c>
      <c r="AL382">
        <v>1</v>
      </c>
      <c r="AN382">
        <v>0</v>
      </c>
      <c r="AO382">
        <v>1</v>
      </c>
      <c r="AP382">
        <v>1</v>
      </c>
      <c r="AQ382">
        <v>0</v>
      </c>
      <c r="AR382">
        <v>0</v>
      </c>
      <c r="AS382" t="s">
        <v>3</v>
      </c>
      <c r="AT382">
        <v>8.0000000000000002E-3</v>
      </c>
      <c r="AU382" t="s">
        <v>363</v>
      </c>
      <c r="AV382">
        <v>0</v>
      </c>
      <c r="AW382">
        <v>2</v>
      </c>
      <c r="AX382">
        <v>52432145</v>
      </c>
      <c r="AY382">
        <v>1</v>
      </c>
      <c r="AZ382">
        <v>0</v>
      </c>
      <c r="BA382">
        <v>363</v>
      </c>
      <c r="BB382">
        <v>0</v>
      </c>
      <c r="BC382">
        <v>0</v>
      </c>
      <c r="BD382">
        <v>0</v>
      </c>
      <c r="BE382">
        <v>0</v>
      </c>
      <c r="BF382">
        <v>0</v>
      </c>
      <c r="BG382">
        <v>0</v>
      </c>
      <c r="BH382">
        <v>0</v>
      </c>
      <c r="BI382">
        <v>0</v>
      </c>
      <c r="BJ382">
        <v>0</v>
      </c>
      <c r="BK382">
        <v>0</v>
      </c>
      <c r="BL382">
        <v>0</v>
      </c>
      <c r="BM382">
        <v>0</v>
      </c>
      <c r="BN382">
        <v>0</v>
      </c>
      <c r="BO382">
        <v>0</v>
      </c>
      <c r="BP382">
        <v>0</v>
      </c>
      <c r="BQ382">
        <v>0</v>
      </c>
      <c r="BR382">
        <v>0</v>
      </c>
      <c r="BS382">
        <v>0</v>
      </c>
      <c r="BT382">
        <v>0</v>
      </c>
      <c r="BU382">
        <v>0</v>
      </c>
      <c r="BV382">
        <v>0</v>
      </c>
      <c r="BW382">
        <v>0</v>
      </c>
      <c r="CX382">
        <f>Y382*Source!I503</f>
        <v>0.680064</v>
      </c>
      <c r="CY382">
        <f t="shared" si="36"/>
        <v>1014.12</v>
      </c>
      <c r="CZ382">
        <f t="shared" si="37"/>
        <v>1014.12</v>
      </c>
      <c r="DA382">
        <f t="shared" si="38"/>
        <v>1</v>
      </c>
      <c r="DB382">
        <f>ROUND((ROUND(AT382*CZ382,2)*48),6)</f>
        <v>389.28</v>
      </c>
      <c r="DC382">
        <f>ROUND((ROUND(AT382*AG382,2)*48),6)</f>
        <v>121.92</v>
      </c>
    </row>
  </sheetData>
  <printOptions gridLines="1"/>
  <pageMargins left="0.75" right="0.75" top="1" bottom="1" header="0.5" footer="0.5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363"/>
  <sheetViews>
    <sheetView workbookViewId="0"/>
  </sheetViews>
  <sheetFormatPr defaultColWidth="9.140625" defaultRowHeight="12.75" x14ac:dyDescent="0.2"/>
  <cols>
    <col min="1" max="256" width="9.140625" customWidth="1"/>
  </cols>
  <sheetData>
    <row r="1" spans="1:44" x14ac:dyDescent="0.2">
      <c r="A1">
        <f>ROW(Source!A32)</f>
        <v>32</v>
      </c>
      <c r="B1">
        <v>52431393</v>
      </c>
      <c r="C1">
        <v>52431389</v>
      </c>
      <c r="D1">
        <v>51848379</v>
      </c>
      <c r="E1">
        <v>27</v>
      </c>
      <c r="F1">
        <v>1</v>
      </c>
      <c r="G1">
        <v>27</v>
      </c>
      <c r="H1">
        <v>1</v>
      </c>
      <c r="I1" t="s">
        <v>378</v>
      </c>
      <c r="J1" t="s">
        <v>3</v>
      </c>
      <c r="K1" t="s">
        <v>379</v>
      </c>
      <c r="L1">
        <v>1191</v>
      </c>
      <c r="N1">
        <v>1013</v>
      </c>
      <c r="O1" t="s">
        <v>380</v>
      </c>
      <c r="P1" t="s">
        <v>380</v>
      </c>
      <c r="Q1">
        <v>1</v>
      </c>
      <c r="X1">
        <v>0.92</v>
      </c>
      <c r="Y1">
        <v>0</v>
      </c>
      <c r="Z1">
        <v>0</v>
      </c>
      <c r="AA1">
        <v>0</v>
      </c>
      <c r="AB1">
        <v>0</v>
      </c>
      <c r="AC1">
        <v>0</v>
      </c>
      <c r="AD1">
        <v>1</v>
      </c>
      <c r="AE1">
        <v>1</v>
      </c>
      <c r="AF1" t="s">
        <v>3</v>
      </c>
      <c r="AG1">
        <v>0.92</v>
      </c>
      <c r="AH1">
        <v>2</v>
      </c>
      <c r="AI1">
        <v>52431390</v>
      </c>
      <c r="AJ1">
        <v>1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</row>
    <row r="2" spans="1:44" x14ac:dyDescent="0.2">
      <c r="A2">
        <f>ROW(Source!A32)</f>
        <v>32</v>
      </c>
      <c r="B2">
        <v>52431394</v>
      </c>
      <c r="C2">
        <v>52431389</v>
      </c>
      <c r="D2">
        <v>51865699</v>
      </c>
      <c r="E2">
        <v>1</v>
      </c>
      <c r="F2">
        <v>1</v>
      </c>
      <c r="G2">
        <v>27</v>
      </c>
      <c r="H2">
        <v>2</v>
      </c>
      <c r="I2" t="s">
        <v>381</v>
      </c>
      <c r="J2" t="s">
        <v>382</v>
      </c>
      <c r="K2" t="s">
        <v>383</v>
      </c>
      <c r="L2">
        <v>1368</v>
      </c>
      <c r="N2">
        <v>1011</v>
      </c>
      <c r="O2" t="s">
        <v>84</v>
      </c>
      <c r="P2" t="s">
        <v>84</v>
      </c>
      <c r="Q2">
        <v>1</v>
      </c>
      <c r="X2">
        <v>0.25</v>
      </c>
      <c r="Y2">
        <v>0</v>
      </c>
      <c r="Z2">
        <v>256.3</v>
      </c>
      <c r="AA2">
        <v>6.59</v>
      </c>
      <c r="AB2">
        <v>0</v>
      </c>
      <c r="AC2">
        <v>0</v>
      </c>
      <c r="AD2">
        <v>1</v>
      </c>
      <c r="AE2">
        <v>0</v>
      </c>
      <c r="AF2" t="s">
        <v>3</v>
      </c>
      <c r="AG2">
        <v>0.25</v>
      </c>
      <c r="AH2">
        <v>2</v>
      </c>
      <c r="AI2">
        <v>52431391</v>
      </c>
      <c r="AJ2">
        <v>2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</row>
    <row r="3" spans="1:44" x14ac:dyDescent="0.2">
      <c r="A3">
        <f>ROW(Source!A32)</f>
        <v>32</v>
      </c>
      <c r="B3">
        <v>52431395</v>
      </c>
      <c r="C3">
        <v>52431389</v>
      </c>
      <c r="D3">
        <v>51865700</v>
      </c>
      <c r="E3">
        <v>1</v>
      </c>
      <c r="F3">
        <v>1</v>
      </c>
      <c r="G3">
        <v>27</v>
      </c>
      <c r="H3">
        <v>2</v>
      </c>
      <c r="I3" t="s">
        <v>384</v>
      </c>
      <c r="J3" t="s">
        <v>385</v>
      </c>
      <c r="K3" t="s">
        <v>386</v>
      </c>
      <c r="L3">
        <v>1368</v>
      </c>
      <c r="N3">
        <v>1011</v>
      </c>
      <c r="O3" t="s">
        <v>84</v>
      </c>
      <c r="P3" t="s">
        <v>84</v>
      </c>
      <c r="Q3">
        <v>1</v>
      </c>
      <c r="X3">
        <v>0.1</v>
      </c>
      <c r="Y3">
        <v>0</v>
      </c>
      <c r="Z3">
        <v>327.49</v>
      </c>
      <c r="AA3">
        <v>0.28999999999999998</v>
      </c>
      <c r="AB3">
        <v>0</v>
      </c>
      <c r="AC3">
        <v>0</v>
      </c>
      <c r="AD3">
        <v>1</v>
      </c>
      <c r="AE3">
        <v>0</v>
      </c>
      <c r="AF3" t="s">
        <v>3</v>
      </c>
      <c r="AG3">
        <v>0.1</v>
      </c>
      <c r="AH3">
        <v>2</v>
      </c>
      <c r="AI3">
        <v>52431392</v>
      </c>
      <c r="AJ3">
        <v>3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</row>
    <row r="4" spans="1:44" x14ac:dyDescent="0.2">
      <c r="A4">
        <f>ROW(Source!A33)</f>
        <v>33</v>
      </c>
      <c r="B4">
        <v>52431398</v>
      </c>
      <c r="C4">
        <v>52431396</v>
      </c>
      <c r="D4">
        <v>51848379</v>
      </c>
      <c r="E4">
        <v>27</v>
      </c>
      <c r="F4">
        <v>1</v>
      </c>
      <c r="G4">
        <v>27</v>
      </c>
      <c r="H4">
        <v>1</v>
      </c>
      <c r="I4" t="s">
        <v>378</v>
      </c>
      <c r="J4" t="s">
        <v>3</v>
      </c>
      <c r="K4" t="s">
        <v>379</v>
      </c>
      <c r="L4">
        <v>1191</v>
      </c>
      <c r="N4">
        <v>1013</v>
      </c>
      <c r="O4" t="s">
        <v>380</v>
      </c>
      <c r="P4" t="s">
        <v>380</v>
      </c>
      <c r="Q4">
        <v>1</v>
      </c>
      <c r="X4">
        <v>2.66</v>
      </c>
      <c r="Y4">
        <v>0</v>
      </c>
      <c r="Z4">
        <v>0</v>
      </c>
      <c r="AA4">
        <v>0</v>
      </c>
      <c r="AB4">
        <v>0</v>
      </c>
      <c r="AC4">
        <v>0</v>
      </c>
      <c r="AD4">
        <v>1</v>
      </c>
      <c r="AE4">
        <v>1</v>
      </c>
      <c r="AF4" t="s">
        <v>3</v>
      </c>
      <c r="AG4">
        <v>2.66</v>
      </c>
      <c r="AH4">
        <v>2</v>
      </c>
      <c r="AI4">
        <v>52431397</v>
      </c>
      <c r="AJ4">
        <v>4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</row>
    <row r="5" spans="1:44" x14ac:dyDescent="0.2">
      <c r="A5">
        <f>ROW(Source!A34)</f>
        <v>34</v>
      </c>
      <c r="B5">
        <v>52431408</v>
      </c>
      <c r="C5">
        <v>52431399</v>
      </c>
      <c r="D5">
        <v>51848379</v>
      </c>
      <c r="E5">
        <v>27</v>
      </c>
      <c r="F5">
        <v>1</v>
      </c>
      <c r="G5">
        <v>27</v>
      </c>
      <c r="H5">
        <v>1</v>
      </c>
      <c r="I5" t="s">
        <v>378</v>
      </c>
      <c r="J5" t="s">
        <v>3</v>
      </c>
      <c r="K5" t="s">
        <v>379</v>
      </c>
      <c r="L5">
        <v>1191</v>
      </c>
      <c r="N5">
        <v>1013</v>
      </c>
      <c r="O5" t="s">
        <v>380</v>
      </c>
      <c r="P5" t="s">
        <v>380</v>
      </c>
      <c r="Q5">
        <v>1</v>
      </c>
      <c r="X5">
        <v>16.559999999999999</v>
      </c>
      <c r="Y5">
        <v>0</v>
      </c>
      <c r="Z5">
        <v>0</v>
      </c>
      <c r="AA5">
        <v>0</v>
      </c>
      <c r="AB5">
        <v>0</v>
      </c>
      <c r="AC5">
        <v>0</v>
      </c>
      <c r="AD5">
        <v>1</v>
      </c>
      <c r="AE5">
        <v>1</v>
      </c>
      <c r="AF5" t="s">
        <v>3</v>
      </c>
      <c r="AG5">
        <v>16.559999999999999</v>
      </c>
      <c r="AH5">
        <v>2</v>
      </c>
      <c r="AI5">
        <v>52431400</v>
      </c>
      <c r="AJ5">
        <v>5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</row>
    <row r="6" spans="1:44" x14ac:dyDescent="0.2">
      <c r="A6">
        <f>ROW(Source!A34)</f>
        <v>34</v>
      </c>
      <c r="B6">
        <v>52431409</v>
      </c>
      <c r="C6">
        <v>52431399</v>
      </c>
      <c r="D6">
        <v>51864848</v>
      </c>
      <c r="E6">
        <v>1</v>
      </c>
      <c r="F6">
        <v>1</v>
      </c>
      <c r="G6">
        <v>27</v>
      </c>
      <c r="H6">
        <v>2</v>
      </c>
      <c r="I6" t="s">
        <v>387</v>
      </c>
      <c r="J6" t="s">
        <v>388</v>
      </c>
      <c r="K6" t="s">
        <v>389</v>
      </c>
      <c r="L6">
        <v>1368</v>
      </c>
      <c r="N6">
        <v>1011</v>
      </c>
      <c r="O6" t="s">
        <v>84</v>
      </c>
      <c r="P6" t="s">
        <v>84</v>
      </c>
      <c r="Q6">
        <v>1</v>
      </c>
      <c r="X6">
        <v>2.08</v>
      </c>
      <c r="Y6">
        <v>0</v>
      </c>
      <c r="Z6">
        <v>740.94</v>
      </c>
      <c r="AA6">
        <v>413.22</v>
      </c>
      <c r="AB6">
        <v>0</v>
      </c>
      <c r="AC6">
        <v>0</v>
      </c>
      <c r="AD6">
        <v>1</v>
      </c>
      <c r="AE6">
        <v>0</v>
      </c>
      <c r="AF6" t="s">
        <v>3</v>
      </c>
      <c r="AG6">
        <v>2.08</v>
      </c>
      <c r="AH6">
        <v>2</v>
      </c>
      <c r="AI6">
        <v>52431401</v>
      </c>
      <c r="AJ6">
        <v>6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</row>
    <row r="7" spans="1:44" x14ac:dyDescent="0.2">
      <c r="A7">
        <f>ROW(Source!A34)</f>
        <v>34</v>
      </c>
      <c r="B7">
        <v>52431410</v>
      </c>
      <c r="C7">
        <v>52431399</v>
      </c>
      <c r="D7">
        <v>51865003</v>
      </c>
      <c r="E7">
        <v>1</v>
      </c>
      <c r="F7">
        <v>1</v>
      </c>
      <c r="G7">
        <v>27</v>
      </c>
      <c r="H7">
        <v>2</v>
      </c>
      <c r="I7" t="s">
        <v>390</v>
      </c>
      <c r="J7" t="s">
        <v>391</v>
      </c>
      <c r="K7" t="s">
        <v>392</v>
      </c>
      <c r="L7">
        <v>1368</v>
      </c>
      <c r="N7">
        <v>1011</v>
      </c>
      <c r="O7" t="s">
        <v>84</v>
      </c>
      <c r="P7" t="s">
        <v>84</v>
      </c>
      <c r="Q7">
        <v>1</v>
      </c>
      <c r="X7">
        <v>2.08</v>
      </c>
      <c r="Y7">
        <v>0</v>
      </c>
      <c r="Z7">
        <v>430.32</v>
      </c>
      <c r="AA7">
        <v>215.31</v>
      </c>
      <c r="AB7">
        <v>0</v>
      </c>
      <c r="AC7">
        <v>0</v>
      </c>
      <c r="AD7">
        <v>1</v>
      </c>
      <c r="AE7">
        <v>0</v>
      </c>
      <c r="AF7" t="s">
        <v>3</v>
      </c>
      <c r="AG7">
        <v>2.08</v>
      </c>
      <c r="AH7">
        <v>2</v>
      </c>
      <c r="AI7">
        <v>52431402</v>
      </c>
      <c r="AJ7">
        <v>7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</row>
    <row r="8" spans="1:44" x14ac:dyDescent="0.2">
      <c r="A8">
        <f>ROW(Source!A34)</f>
        <v>34</v>
      </c>
      <c r="B8">
        <v>52431411</v>
      </c>
      <c r="C8">
        <v>52431399</v>
      </c>
      <c r="D8">
        <v>51865006</v>
      </c>
      <c r="E8">
        <v>1</v>
      </c>
      <c r="F8">
        <v>1</v>
      </c>
      <c r="G8">
        <v>27</v>
      </c>
      <c r="H8">
        <v>2</v>
      </c>
      <c r="I8" t="s">
        <v>393</v>
      </c>
      <c r="J8" t="s">
        <v>394</v>
      </c>
      <c r="K8" t="s">
        <v>395</v>
      </c>
      <c r="L8">
        <v>1368</v>
      </c>
      <c r="N8">
        <v>1011</v>
      </c>
      <c r="O8" t="s">
        <v>84</v>
      </c>
      <c r="P8" t="s">
        <v>84</v>
      </c>
      <c r="Q8">
        <v>1</v>
      </c>
      <c r="X8">
        <v>0.81</v>
      </c>
      <c r="Y8">
        <v>0</v>
      </c>
      <c r="Z8">
        <v>2020.59</v>
      </c>
      <c r="AA8">
        <v>458.56</v>
      </c>
      <c r="AB8">
        <v>0</v>
      </c>
      <c r="AC8">
        <v>0</v>
      </c>
      <c r="AD8">
        <v>1</v>
      </c>
      <c r="AE8">
        <v>0</v>
      </c>
      <c r="AF8" t="s">
        <v>3</v>
      </c>
      <c r="AG8">
        <v>0.81</v>
      </c>
      <c r="AH8">
        <v>2</v>
      </c>
      <c r="AI8">
        <v>52431403</v>
      </c>
      <c r="AJ8">
        <v>8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</row>
    <row r="9" spans="1:44" x14ac:dyDescent="0.2">
      <c r="A9">
        <f>ROW(Source!A34)</f>
        <v>34</v>
      </c>
      <c r="B9">
        <v>52431412</v>
      </c>
      <c r="C9">
        <v>52431399</v>
      </c>
      <c r="D9">
        <v>51865030</v>
      </c>
      <c r="E9">
        <v>1</v>
      </c>
      <c r="F9">
        <v>1</v>
      </c>
      <c r="G9">
        <v>27</v>
      </c>
      <c r="H9">
        <v>2</v>
      </c>
      <c r="I9" t="s">
        <v>396</v>
      </c>
      <c r="J9" t="s">
        <v>397</v>
      </c>
      <c r="K9" t="s">
        <v>398</v>
      </c>
      <c r="L9">
        <v>1368</v>
      </c>
      <c r="N9">
        <v>1011</v>
      </c>
      <c r="O9" t="s">
        <v>84</v>
      </c>
      <c r="P9" t="s">
        <v>84</v>
      </c>
      <c r="Q9">
        <v>1</v>
      </c>
      <c r="X9">
        <v>1.94</v>
      </c>
      <c r="Y9">
        <v>0</v>
      </c>
      <c r="Z9">
        <v>1412.71</v>
      </c>
      <c r="AA9">
        <v>641.32000000000005</v>
      </c>
      <c r="AB9">
        <v>0</v>
      </c>
      <c r="AC9">
        <v>0</v>
      </c>
      <c r="AD9">
        <v>1</v>
      </c>
      <c r="AE9">
        <v>0</v>
      </c>
      <c r="AF9" t="s">
        <v>3</v>
      </c>
      <c r="AG9">
        <v>1.94</v>
      </c>
      <c r="AH9">
        <v>2</v>
      </c>
      <c r="AI9">
        <v>52431404</v>
      </c>
      <c r="AJ9">
        <v>9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</row>
    <row r="10" spans="1:44" x14ac:dyDescent="0.2">
      <c r="A10">
        <f>ROW(Source!A34)</f>
        <v>34</v>
      </c>
      <c r="B10">
        <v>52431413</v>
      </c>
      <c r="C10">
        <v>52431399</v>
      </c>
      <c r="D10">
        <v>51864996</v>
      </c>
      <c r="E10">
        <v>1</v>
      </c>
      <c r="F10">
        <v>1</v>
      </c>
      <c r="G10">
        <v>27</v>
      </c>
      <c r="H10">
        <v>2</v>
      </c>
      <c r="I10" t="s">
        <v>399</v>
      </c>
      <c r="J10" t="s">
        <v>400</v>
      </c>
      <c r="K10" t="s">
        <v>401</v>
      </c>
      <c r="L10">
        <v>1368</v>
      </c>
      <c r="N10">
        <v>1011</v>
      </c>
      <c r="O10" t="s">
        <v>84</v>
      </c>
      <c r="P10" t="s">
        <v>84</v>
      </c>
      <c r="Q10">
        <v>1</v>
      </c>
      <c r="X10">
        <v>0.65</v>
      </c>
      <c r="Y10">
        <v>0</v>
      </c>
      <c r="Z10">
        <v>1213.3399999999999</v>
      </c>
      <c r="AA10">
        <v>461.6</v>
      </c>
      <c r="AB10">
        <v>0</v>
      </c>
      <c r="AC10">
        <v>0</v>
      </c>
      <c r="AD10">
        <v>1</v>
      </c>
      <c r="AE10">
        <v>0</v>
      </c>
      <c r="AF10" t="s">
        <v>3</v>
      </c>
      <c r="AG10">
        <v>0.65</v>
      </c>
      <c r="AH10">
        <v>2</v>
      </c>
      <c r="AI10">
        <v>52431405</v>
      </c>
      <c r="AJ10">
        <v>10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</row>
    <row r="11" spans="1:44" x14ac:dyDescent="0.2">
      <c r="A11">
        <f>ROW(Source!A34)</f>
        <v>34</v>
      </c>
      <c r="B11">
        <v>52431414</v>
      </c>
      <c r="C11">
        <v>52431399</v>
      </c>
      <c r="D11">
        <v>51866959</v>
      </c>
      <c r="E11">
        <v>1</v>
      </c>
      <c r="F11">
        <v>1</v>
      </c>
      <c r="G11">
        <v>27</v>
      </c>
      <c r="H11">
        <v>3</v>
      </c>
      <c r="I11" t="s">
        <v>402</v>
      </c>
      <c r="J11" t="s">
        <v>403</v>
      </c>
      <c r="K11" t="s">
        <v>404</v>
      </c>
      <c r="L11">
        <v>1339</v>
      </c>
      <c r="N11">
        <v>1007</v>
      </c>
      <c r="O11" t="s">
        <v>28</v>
      </c>
      <c r="P11" t="s">
        <v>28</v>
      </c>
      <c r="Q11">
        <v>1</v>
      </c>
      <c r="X11">
        <v>110</v>
      </c>
      <c r="Y11">
        <v>590.78</v>
      </c>
      <c r="Z11">
        <v>0</v>
      </c>
      <c r="AA11">
        <v>0</v>
      </c>
      <c r="AB11">
        <v>0</v>
      </c>
      <c r="AC11">
        <v>0</v>
      </c>
      <c r="AD11">
        <v>1</v>
      </c>
      <c r="AE11">
        <v>0</v>
      </c>
      <c r="AF11" t="s">
        <v>3</v>
      </c>
      <c r="AG11">
        <v>110</v>
      </c>
      <c r="AH11">
        <v>2</v>
      </c>
      <c r="AI11">
        <v>52431406</v>
      </c>
      <c r="AJ11">
        <v>11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</row>
    <row r="12" spans="1:44" x14ac:dyDescent="0.2">
      <c r="A12">
        <f>ROW(Source!A34)</f>
        <v>34</v>
      </c>
      <c r="B12">
        <v>52431415</v>
      </c>
      <c r="C12">
        <v>52431399</v>
      </c>
      <c r="D12">
        <v>51867705</v>
      </c>
      <c r="E12">
        <v>1</v>
      </c>
      <c r="F12">
        <v>1</v>
      </c>
      <c r="G12">
        <v>27</v>
      </c>
      <c r="H12">
        <v>3</v>
      </c>
      <c r="I12" t="s">
        <v>405</v>
      </c>
      <c r="J12" t="s">
        <v>406</v>
      </c>
      <c r="K12" t="s">
        <v>407</v>
      </c>
      <c r="L12">
        <v>1339</v>
      </c>
      <c r="N12">
        <v>1007</v>
      </c>
      <c r="O12" t="s">
        <v>28</v>
      </c>
      <c r="P12" t="s">
        <v>28</v>
      </c>
      <c r="Q12">
        <v>1</v>
      </c>
      <c r="X12">
        <v>5</v>
      </c>
      <c r="Y12">
        <v>35.25</v>
      </c>
      <c r="Z12">
        <v>0</v>
      </c>
      <c r="AA12">
        <v>0</v>
      </c>
      <c r="AB12">
        <v>0</v>
      </c>
      <c r="AC12">
        <v>0</v>
      </c>
      <c r="AD12">
        <v>1</v>
      </c>
      <c r="AE12">
        <v>0</v>
      </c>
      <c r="AF12" t="s">
        <v>3</v>
      </c>
      <c r="AG12">
        <v>5</v>
      </c>
      <c r="AH12">
        <v>2</v>
      </c>
      <c r="AI12">
        <v>52431407</v>
      </c>
      <c r="AJ12">
        <v>12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</row>
    <row r="13" spans="1:44" x14ac:dyDescent="0.2">
      <c r="A13">
        <f>ROW(Source!A35)</f>
        <v>35</v>
      </c>
      <c r="B13">
        <v>52431423</v>
      </c>
      <c r="C13">
        <v>52431416</v>
      </c>
      <c r="D13">
        <v>51848379</v>
      </c>
      <c r="E13">
        <v>27</v>
      </c>
      <c r="F13">
        <v>1</v>
      </c>
      <c r="G13">
        <v>27</v>
      </c>
      <c r="H13">
        <v>1</v>
      </c>
      <c r="I13" t="s">
        <v>378</v>
      </c>
      <c r="J13" t="s">
        <v>3</v>
      </c>
      <c r="K13" t="s">
        <v>379</v>
      </c>
      <c r="L13">
        <v>1191</v>
      </c>
      <c r="N13">
        <v>1013</v>
      </c>
      <c r="O13" t="s">
        <v>380</v>
      </c>
      <c r="P13" t="s">
        <v>380</v>
      </c>
      <c r="Q13">
        <v>1</v>
      </c>
      <c r="X13">
        <v>27.94</v>
      </c>
      <c r="Y13">
        <v>0</v>
      </c>
      <c r="Z13">
        <v>0</v>
      </c>
      <c r="AA13">
        <v>0</v>
      </c>
      <c r="AB13">
        <v>0</v>
      </c>
      <c r="AC13">
        <v>0</v>
      </c>
      <c r="AD13">
        <v>1</v>
      </c>
      <c r="AE13">
        <v>1</v>
      </c>
      <c r="AF13" t="s">
        <v>3</v>
      </c>
      <c r="AG13">
        <v>27.94</v>
      </c>
      <c r="AH13">
        <v>2</v>
      </c>
      <c r="AI13">
        <v>52431417</v>
      </c>
      <c r="AJ13">
        <v>13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</row>
    <row r="14" spans="1:44" x14ac:dyDescent="0.2">
      <c r="A14">
        <f>ROW(Source!A35)</f>
        <v>35</v>
      </c>
      <c r="B14">
        <v>52431424</v>
      </c>
      <c r="C14">
        <v>52431416</v>
      </c>
      <c r="D14">
        <v>51865006</v>
      </c>
      <c r="E14">
        <v>1</v>
      </c>
      <c r="F14">
        <v>1</v>
      </c>
      <c r="G14">
        <v>27</v>
      </c>
      <c r="H14">
        <v>2</v>
      </c>
      <c r="I14" t="s">
        <v>393</v>
      </c>
      <c r="J14" t="s">
        <v>394</v>
      </c>
      <c r="K14" t="s">
        <v>395</v>
      </c>
      <c r="L14">
        <v>1368</v>
      </c>
      <c r="N14">
        <v>1011</v>
      </c>
      <c r="O14" t="s">
        <v>84</v>
      </c>
      <c r="P14" t="s">
        <v>84</v>
      </c>
      <c r="Q14">
        <v>1</v>
      </c>
      <c r="X14">
        <v>0.59</v>
      </c>
      <c r="Y14">
        <v>0</v>
      </c>
      <c r="Z14">
        <v>2020.59</v>
      </c>
      <c r="AA14">
        <v>458.56</v>
      </c>
      <c r="AB14">
        <v>0</v>
      </c>
      <c r="AC14">
        <v>0</v>
      </c>
      <c r="AD14">
        <v>1</v>
      </c>
      <c r="AE14">
        <v>0</v>
      </c>
      <c r="AF14" t="s">
        <v>3</v>
      </c>
      <c r="AG14">
        <v>0.59</v>
      </c>
      <c r="AH14">
        <v>2</v>
      </c>
      <c r="AI14">
        <v>52431418</v>
      </c>
      <c r="AJ14">
        <v>14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</row>
    <row r="15" spans="1:44" x14ac:dyDescent="0.2">
      <c r="A15">
        <f>ROW(Source!A35)</f>
        <v>35</v>
      </c>
      <c r="B15">
        <v>52431425</v>
      </c>
      <c r="C15">
        <v>52431416</v>
      </c>
      <c r="D15">
        <v>51864991</v>
      </c>
      <c r="E15">
        <v>1</v>
      </c>
      <c r="F15">
        <v>1</v>
      </c>
      <c r="G15">
        <v>27</v>
      </c>
      <c r="H15">
        <v>2</v>
      </c>
      <c r="I15" t="s">
        <v>408</v>
      </c>
      <c r="J15" t="s">
        <v>409</v>
      </c>
      <c r="K15" t="s">
        <v>410</v>
      </c>
      <c r="L15">
        <v>1368</v>
      </c>
      <c r="N15">
        <v>1011</v>
      </c>
      <c r="O15" t="s">
        <v>84</v>
      </c>
      <c r="P15" t="s">
        <v>84</v>
      </c>
      <c r="Q15">
        <v>1</v>
      </c>
      <c r="X15">
        <v>1.62</v>
      </c>
      <c r="Y15">
        <v>0</v>
      </c>
      <c r="Z15">
        <v>1261.8699999999999</v>
      </c>
      <c r="AA15">
        <v>530.02</v>
      </c>
      <c r="AB15">
        <v>0</v>
      </c>
      <c r="AC15">
        <v>0</v>
      </c>
      <c r="AD15">
        <v>1</v>
      </c>
      <c r="AE15">
        <v>0</v>
      </c>
      <c r="AF15" t="s">
        <v>3</v>
      </c>
      <c r="AG15">
        <v>1.62</v>
      </c>
      <c r="AH15">
        <v>2</v>
      </c>
      <c r="AI15">
        <v>52431419</v>
      </c>
      <c r="AJ15">
        <v>15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</row>
    <row r="16" spans="1:44" x14ac:dyDescent="0.2">
      <c r="A16">
        <f>ROW(Source!A35)</f>
        <v>35</v>
      </c>
      <c r="B16">
        <v>52431426</v>
      </c>
      <c r="C16">
        <v>52431416</v>
      </c>
      <c r="D16">
        <v>51866999</v>
      </c>
      <c r="E16">
        <v>1</v>
      </c>
      <c r="F16">
        <v>1</v>
      </c>
      <c r="G16">
        <v>27</v>
      </c>
      <c r="H16">
        <v>3</v>
      </c>
      <c r="I16" t="s">
        <v>45</v>
      </c>
      <c r="J16" t="s">
        <v>47</v>
      </c>
      <c r="K16" t="s">
        <v>46</v>
      </c>
      <c r="L16">
        <v>1339</v>
      </c>
      <c r="N16">
        <v>1007</v>
      </c>
      <c r="O16" t="s">
        <v>28</v>
      </c>
      <c r="P16" t="s">
        <v>28</v>
      </c>
      <c r="Q16">
        <v>1</v>
      </c>
      <c r="X16">
        <v>17.399999999999999</v>
      </c>
      <c r="Y16">
        <v>1436.5</v>
      </c>
      <c r="Z16">
        <v>0</v>
      </c>
      <c r="AA16">
        <v>0</v>
      </c>
      <c r="AB16">
        <v>0</v>
      </c>
      <c r="AC16">
        <v>0</v>
      </c>
      <c r="AD16">
        <v>1</v>
      </c>
      <c r="AE16">
        <v>0</v>
      </c>
      <c r="AF16" t="s">
        <v>3</v>
      </c>
      <c r="AG16">
        <v>17.399999999999999</v>
      </c>
      <c r="AH16">
        <v>2</v>
      </c>
      <c r="AI16">
        <v>52431420</v>
      </c>
      <c r="AJ16">
        <v>17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</row>
    <row r="17" spans="1:44" x14ac:dyDescent="0.2">
      <c r="A17">
        <f>ROW(Source!A35)</f>
        <v>35</v>
      </c>
      <c r="B17">
        <v>52431427</v>
      </c>
      <c r="C17">
        <v>52431416</v>
      </c>
      <c r="D17">
        <v>51867705</v>
      </c>
      <c r="E17">
        <v>1</v>
      </c>
      <c r="F17">
        <v>1</v>
      </c>
      <c r="G17">
        <v>27</v>
      </c>
      <c r="H17">
        <v>3</v>
      </c>
      <c r="I17" t="s">
        <v>405</v>
      </c>
      <c r="J17" t="s">
        <v>406</v>
      </c>
      <c r="K17" t="s">
        <v>407</v>
      </c>
      <c r="L17">
        <v>1339</v>
      </c>
      <c r="N17">
        <v>1007</v>
      </c>
      <c r="O17" t="s">
        <v>28</v>
      </c>
      <c r="P17" t="s">
        <v>28</v>
      </c>
      <c r="Q17">
        <v>1</v>
      </c>
      <c r="X17">
        <v>2</v>
      </c>
      <c r="Y17">
        <v>35.25</v>
      </c>
      <c r="Z17">
        <v>0</v>
      </c>
      <c r="AA17">
        <v>0</v>
      </c>
      <c r="AB17">
        <v>0</v>
      </c>
      <c r="AC17">
        <v>0</v>
      </c>
      <c r="AD17">
        <v>1</v>
      </c>
      <c r="AE17">
        <v>0</v>
      </c>
      <c r="AF17" t="s">
        <v>3</v>
      </c>
      <c r="AG17">
        <v>2</v>
      </c>
      <c r="AH17">
        <v>2</v>
      </c>
      <c r="AI17">
        <v>52431421</v>
      </c>
      <c r="AJ17">
        <v>18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</row>
    <row r="18" spans="1:44" x14ac:dyDescent="0.2">
      <c r="A18">
        <f>ROW(Source!A38)</f>
        <v>38</v>
      </c>
      <c r="B18">
        <v>52431435</v>
      </c>
      <c r="C18">
        <v>52431430</v>
      </c>
      <c r="D18">
        <v>51848379</v>
      </c>
      <c r="E18">
        <v>27</v>
      </c>
      <c r="F18">
        <v>1</v>
      </c>
      <c r="G18">
        <v>27</v>
      </c>
      <c r="H18">
        <v>1</v>
      </c>
      <c r="I18" t="s">
        <v>378</v>
      </c>
      <c r="J18" t="s">
        <v>3</v>
      </c>
      <c r="K18" t="s">
        <v>379</v>
      </c>
      <c r="L18">
        <v>1191</v>
      </c>
      <c r="N18">
        <v>1013</v>
      </c>
      <c r="O18" t="s">
        <v>380</v>
      </c>
      <c r="P18" t="s">
        <v>380</v>
      </c>
      <c r="Q18">
        <v>1</v>
      </c>
      <c r="X18">
        <v>10.3</v>
      </c>
      <c r="Y18">
        <v>0</v>
      </c>
      <c r="Z18">
        <v>0</v>
      </c>
      <c r="AA18">
        <v>0</v>
      </c>
      <c r="AB18">
        <v>0</v>
      </c>
      <c r="AC18">
        <v>0</v>
      </c>
      <c r="AD18">
        <v>1</v>
      </c>
      <c r="AE18">
        <v>1</v>
      </c>
      <c r="AF18" t="s">
        <v>3</v>
      </c>
      <c r="AG18">
        <v>10.3</v>
      </c>
      <c r="AH18">
        <v>2</v>
      </c>
      <c r="AI18">
        <v>52431431</v>
      </c>
      <c r="AJ18">
        <v>19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</row>
    <row r="19" spans="1:44" x14ac:dyDescent="0.2">
      <c r="A19">
        <f>ROW(Source!A38)</f>
        <v>38</v>
      </c>
      <c r="B19">
        <v>52431436</v>
      </c>
      <c r="C19">
        <v>52431430</v>
      </c>
      <c r="D19">
        <v>51864991</v>
      </c>
      <c r="E19">
        <v>1</v>
      </c>
      <c r="F19">
        <v>1</v>
      </c>
      <c r="G19">
        <v>27</v>
      </c>
      <c r="H19">
        <v>2</v>
      </c>
      <c r="I19" t="s">
        <v>408</v>
      </c>
      <c r="J19" t="s">
        <v>409</v>
      </c>
      <c r="K19" t="s">
        <v>410</v>
      </c>
      <c r="L19">
        <v>1368</v>
      </c>
      <c r="N19">
        <v>1011</v>
      </c>
      <c r="O19" t="s">
        <v>84</v>
      </c>
      <c r="P19" t="s">
        <v>84</v>
      </c>
      <c r="Q19">
        <v>1</v>
      </c>
      <c r="X19">
        <v>0.89</v>
      </c>
      <c r="Y19">
        <v>0</v>
      </c>
      <c r="Z19">
        <v>1261.8699999999999</v>
      </c>
      <c r="AA19">
        <v>530.02</v>
      </c>
      <c r="AB19">
        <v>0</v>
      </c>
      <c r="AC19">
        <v>0</v>
      </c>
      <c r="AD19">
        <v>1</v>
      </c>
      <c r="AE19">
        <v>0</v>
      </c>
      <c r="AF19" t="s">
        <v>3</v>
      </c>
      <c r="AG19">
        <v>0.89</v>
      </c>
      <c r="AH19">
        <v>2</v>
      </c>
      <c r="AI19">
        <v>52431432</v>
      </c>
      <c r="AJ19">
        <v>20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</row>
    <row r="20" spans="1:44" x14ac:dyDescent="0.2">
      <c r="A20">
        <f>ROW(Source!A38)</f>
        <v>38</v>
      </c>
      <c r="B20">
        <v>52431437</v>
      </c>
      <c r="C20">
        <v>52431430</v>
      </c>
      <c r="D20">
        <v>51865798</v>
      </c>
      <c r="E20">
        <v>1</v>
      </c>
      <c r="F20">
        <v>1</v>
      </c>
      <c r="G20">
        <v>27</v>
      </c>
      <c r="H20">
        <v>3</v>
      </c>
      <c r="I20" t="s">
        <v>411</v>
      </c>
      <c r="J20" t="s">
        <v>412</v>
      </c>
      <c r="K20" t="s">
        <v>413</v>
      </c>
      <c r="L20">
        <v>1348</v>
      </c>
      <c r="N20">
        <v>1009</v>
      </c>
      <c r="O20" t="s">
        <v>101</v>
      </c>
      <c r="P20" t="s">
        <v>101</v>
      </c>
      <c r="Q20">
        <v>1000</v>
      </c>
      <c r="X20">
        <v>0.06</v>
      </c>
      <c r="Y20">
        <v>25888.1</v>
      </c>
      <c r="Z20">
        <v>0</v>
      </c>
      <c r="AA20">
        <v>0</v>
      </c>
      <c r="AB20">
        <v>0</v>
      </c>
      <c r="AC20">
        <v>0</v>
      </c>
      <c r="AD20">
        <v>1</v>
      </c>
      <c r="AE20">
        <v>0</v>
      </c>
      <c r="AF20" t="s">
        <v>3</v>
      </c>
      <c r="AG20">
        <v>0.06</v>
      </c>
      <c r="AH20">
        <v>2</v>
      </c>
      <c r="AI20">
        <v>52431433</v>
      </c>
      <c r="AJ20">
        <v>21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</row>
    <row r="21" spans="1:44" x14ac:dyDescent="0.2">
      <c r="A21">
        <f>ROW(Source!A38)</f>
        <v>38</v>
      </c>
      <c r="B21">
        <v>52431438</v>
      </c>
      <c r="C21">
        <v>52431430</v>
      </c>
      <c r="D21">
        <v>51868905</v>
      </c>
      <c r="E21">
        <v>1</v>
      </c>
      <c r="F21">
        <v>1</v>
      </c>
      <c r="G21">
        <v>27</v>
      </c>
      <c r="H21">
        <v>3</v>
      </c>
      <c r="I21" t="s">
        <v>414</v>
      </c>
      <c r="J21" t="s">
        <v>415</v>
      </c>
      <c r="K21" t="s">
        <v>416</v>
      </c>
      <c r="L21">
        <v>1348</v>
      </c>
      <c r="N21">
        <v>1009</v>
      </c>
      <c r="O21" t="s">
        <v>101</v>
      </c>
      <c r="P21" t="s">
        <v>101</v>
      </c>
      <c r="Q21">
        <v>1000</v>
      </c>
      <c r="X21">
        <v>7.14</v>
      </c>
      <c r="Y21">
        <v>2652.04</v>
      </c>
      <c r="Z21">
        <v>0</v>
      </c>
      <c r="AA21">
        <v>0</v>
      </c>
      <c r="AB21">
        <v>0</v>
      </c>
      <c r="AC21">
        <v>0</v>
      </c>
      <c r="AD21">
        <v>1</v>
      </c>
      <c r="AE21">
        <v>0</v>
      </c>
      <c r="AF21" t="s">
        <v>3</v>
      </c>
      <c r="AG21">
        <v>7.14</v>
      </c>
      <c r="AH21">
        <v>2</v>
      </c>
      <c r="AI21">
        <v>52431434</v>
      </c>
      <c r="AJ21">
        <v>22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</row>
    <row r="22" spans="1:44" x14ac:dyDescent="0.2">
      <c r="A22">
        <f>ROW(Source!A39)</f>
        <v>39</v>
      </c>
      <c r="B22">
        <v>52431450</v>
      </c>
      <c r="C22">
        <v>52431439</v>
      </c>
      <c r="D22">
        <v>51848379</v>
      </c>
      <c r="E22">
        <v>27</v>
      </c>
      <c r="F22">
        <v>1</v>
      </c>
      <c r="G22">
        <v>27</v>
      </c>
      <c r="H22">
        <v>1</v>
      </c>
      <c r="I22" t="s">
        <v>378</v>
      </c>
      <c r="J22" t="s">
        <v>3</v>
      </c>
      <c r="K22" t="s">
        <v>379</v>
      </c>
      <c r="L22">
        <v>1191</v>
      </c>
      <c r="N22">
        <v>1013</v>
      </c>
      <c r="O22" t="s">
        <v>380</v>
      </c>
      <c r="P22" t="s">
        <v>380</v>
      </c>
      <c r="Q22">
        <v>1</v>
      </c>
      <c r="X22">
        <v>18.440000000000001</v>
      </c>
      <c r="Y22">
        <v>0</v>
      </c>
      <c r="Z22">
        <v>0</v>
      </c>
      <c r="AA22">
        <v>0</v>
      </c>
      <c r="AB22">
        <v>0</v>
      </c>
      <c r="AC22">
        <v>0</v>
      </c>
      <c r="AD22">
        <v>1</v>
      </c>
      <c r="AE22">
        <v>1</v>
      </c>
      <c r="AF22" t="s">
        <v>3</v>
      </c>
      <c r="AG22">
        <v>18.440000000000001</v>
      </c>
      <c r="AH22">
        <v>2</v>
      </c>
      <c r="AI22">
        <v>52431440</v>
      </c>
      <c r="AJ22">
        <v>23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</row>
    <row r="23" spans="1:44" x14ac:dyDescent="0.2">
      <c r="A23">
        <f>ROW(Source!A39)</f>
        <v>39</v>
      </c>
      <c r="B23">
        <v>52431451</v>
      </c>
      <c r="C23">
        <v>52431439</v>
      </c>
      <c r="D23">
        <v>51865492</v>
      </c>
      <c r="E23">
        <v>1</v>
      </c>
      <c r="F23">
        <v>1</v>
      </c>
      <c r="G23">
        <v>27</v>
      </c>
      <c r="H23">
        <v>2</v>
      </c>
      <c r="I23" t="s">
        <v>417</v>
      </c>
      <c r="J23" t="s">
        <v>418</v>
      </c>
      <c r="K23" t="s">
        <v>419</v>
      </c>
      <c r="L23">
        <v>1368</v>
      </c>
      <c r="N23">
        <v>1011</v>
      </c>
      <c r="O23" t="s">
        <v>84</v>
      </c>
      <c r="P23" t="s">
        <v>84</v>
      </c>
      <c r="Q23">
        <v>1</v>
      </c>
      <c r="X23">
        <v>2.64</v>
      </c>
      <c r="Y23">
        <v>0</v>
      </c>
      <c r="Z23">
        <v>531.41</v>
      </c>
      <c r="AA23">
        <v>373.56</v>
      </c>
      <c r="AB23">
        <v>0</v>
      </c>
      <c r="AC23">
        <v>0</v>
      </c>
      <c r="AD23">
        <v>1</v>
      </c>
      <c r="AE23">
        <v>0</v>
      </c>
      <c r="AF23" t="s">
        <v>3</v>
      </c>
      <c r="AG23">
        <v>2.64</v>
      </c>
      <c r="AH23">
        <v>2</v>
      </c>
      <c r="AI23">
        <v>52431441</v>
      </c>
      <c r="AJ23">
        <v>24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</row>
    <row r="24" spans="1:44" x14ac:dyDescent="0.2">
      <c r="A24">
        <f>ROW(Source!A39)</f>
        <v>39</v>
      </c>
      <c r="B24">
        <v>52431452</v>
      </c>
      <c r="C24">
        <v>52431439</v>
      </c>
      <c r="D24">
        <v>51865715</v>
      </c>
      <c r="E24">
        <v>1</v>
      </c>
      <c r="F24">
        <v>1</v>
      </c>
      <c r="G24">
        <v>27</v>
      </c>
      <c r="H24">
        <v>2</v>
      </c>
      <c r="I24" t="s">
        <v>420</v>
      </c>
      <c r="J24" t="s">
        <v>421</v>
      </c>
      <c r="K24" t="s">
        <v>422</v>
      </c>
      <c r="L24">
        <v>1368</v>
      </c>
      <c r="N24">
        <v>1011</v>
      </c>
      <c r="O24" t="s">
        <v>84</v>
      </c>
      <c r="P24" t="s">
        <v>84</v>
      </c>
      <c r="Q24">
        <v>1</v>
      </c>
      <c r="X24">
        <v>1.18</v>
      </c>
      <c r="Y24">
        <v>0</v>
      </c>
      <c r="Z24">
        <v>7.44</v>
      </c>
      <c r="AA24">
        <v>0.98</v>
      </c>
      <c r="AB24">
        <v>0</v>
      </c>
      <c r="AC24">
        <v>0</v>
      </c>
      <c r="AD24">
        <v>1</v>
      </c>
      <c r="AE24">
        <v>0</v>
      </c>
      <c r="AF24" t="s">
        <v>3</v>
      </c>
      <c r="AG24">
        <v>1.18</v>
      </c>
      <c r="AH24">
        <v>2</v>
      </c>
      <c r="AI24">
        <v>52431442</v>
      </c>
      <c r="AJ24">
        <v>25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</row>
    <row r="25" spans="1:44" x14ac:dyDescent="0.2">
      <c r="A25">
        <f>ROW(Source!A39)</f>
        <v>39</v>
      </c>
      <c r="B25">
        <v>52431453</v>
      </c>
      <c r="C25">
        <v>52431439</v>
      </c>
      <c r="D25">
        <v>51864917</v>
      </c>
      <c r="E25">
        <v>1</v>
      </c>
      <c r="F25">
        <v>1</v>
      </c>
      <c r="G25">
        <v>27</v>
      </c>
      <c r="H25">
        <v>2</v>
      </c>
      <c r="I25" t="s">
        <v>423</v>
      </c>
      <c r="J25" t="s">
        <v>424</v>
      </c>
      <c r="K25" t="s">
        <v>425</v>
      </c>
      <c r="L25">
        <v>1368</v>
      </c>
      <c r="N25">
        <v>1011</v>
      </c>
      <c r="O25" t="s">
        <v>84</v>
      </c>
      <c r="P25" t="s">
        <v>84</v>
      </c>
      <c r="Q25">
        <v>1</v>
      </c>
      <c r="X25">
        <v>0.01</v>
      </c>
      <c r="Y25">
        <v>0</v>
      </c>
      <c r="Z25">
        <v>616.73</v>
      </c>
      <c r="AA25">
        <v>511.29</v>
      </c>
      <c r="AB25">
        <v>0</v>
      </c>
      <c r="AC25">
        <v>0</v>
      </c>
      <c r="AD25">
        <v>1</v>
      </c>
      <c r="AE25">
        <v>0</v>
      </c>
      <c r="AF25" t="s">
        <v>3</v>
      </c>
      <c r="AG25">
        <v>0.01</v>
      </c>
      <c r="AH25">
        <v>2</v>
      </c>
      <c r="AI25">
        <v>52431443</v>
      </c>
      <c r="AJ25">
        <v>26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</row>
    <row r="26" spans="1:44" x14ac:dyDescent="0.2">
      <c r="A26">
        <f>ROW(Source!A39)</f>
        <v>39</v>
      </c>
      <c r="B26">
        <v>52431454</v>
      </c>
      <c r="C26">
        <v>52431439</v>
      </c>
      <c r="D26">
        <v>51865101</v>
      </c>
      <c r="E26">
        <v>1</v>
      </c>
      <c r="F26">
        <v>1</v>
      </c>
      <c r="G26">
        <v>27</v>
      </c>
      <c r="H26">
        <v>2</v>
      </c>
      <c r="I26" t="s">
        <v>426</v>
      </c>
      <c r="J26" t="s">
        <v>427</v>
      </c>
      <c r="K26" t="s">
        <v>428</v>
      </c>
      <c r="L26">
        <v>1368</v>
      </c>
      <c r="N26">
        <v>1011</v>
      </c>
      <c r="O26" t="s">
        <v>84</v>
      </c>
      <c r="P26" t="s">
        <v>84</v>
      </c>
      <c r="Q26">
        <v>1</v>
      </c>
      <c r="X26">
        <v>2.64</v>
      </c>
      <c r="Y26">
        <v>0</v>
      </c>
      <c r="Z26">
        <v>454.31</v>
      </c>
      <c r="AA26">
        <v>405.68</v>
      </c>
      <c r="AB26">
        <v>0</v>
      </c>
      <c r="AC26">
        <v>0</v>
      </c>
      <c r="AD26">
        <v>1</v>
      </c>
      <c r="AE26">
        <v>0</v>
      </c>
      <c r="AF26" t="s">
        <v>3</v>
      </c>
      <c r="AG26">
        <v>2.64</v>
      </c>
      <c r="AH26">
        <v>2</v>
      </c>
      <c r="AI26">
        <v>52431444</v>
      </c>
      <c r="AJ26">
        <v>27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</row>
    <row r="27" spans="1:44" x14ac:dyDescent="0.2">
      <c r="A27">
        <f>ROW(Source!A39)</f>
        <v>39</v>
      </c>
      <c r="B27">
        <v>52431455</v>
      </c>
      <c r="C27">
        <v>52431439</v>
      </c>
      <c r="D27">
        <v>51867926</v>
      </c>
      <c r="E27">
        <v>1</v>
      </c>
      <c r="F27">
        <v>1</v>
      </c>
      <c r="G27">
        <v>27</v>
      </c>
      <c r="H27">
        <v>3</v>
      </c>
      <c r="I27" t="s">
        <v>429</v>
      </c>
      <c r="J27" t="s">
        <v>430</v>
      </c>
      <c r="K27" t="s">
        <v>431</v>
      </c>
      <c r="L27">
        <v>1327</v>
      </c>
      <c r="N27">
        <v>1005</v>
      </c>
      <c r="O27" t="s">
        <v>298</v>
      </c>
      <c r="P27" t="s">
        <v>298</v>
      </c>
      <c r="Q27">
        <v>1</v>
      </c>
      <c r="X27">
        <v>5.6</v>
      </c>
      <c r="Y27">
        <v>12.02</v>
      </c>
      <c r="Z27">
        <v>0</v>
      </c>
      <c r="AA27">
        <v>0</v>
      </c>
      <c r="AB27">
        <v>0</v>
      </c>
      <c r="AC27">
        <v>0</v>
      </c>
      <c r="AD27">
        <v>1</v>
      </c>
      <c r="AE27">
        <v>0</v>
      </c>
      <c r="AF27" t="s">
        <v>3</v>
      </c>
      <c r="AG27">
        <v>5.6</v>
      </c>
      <c r="AH27">
        <v>2</v>
      </c>
      <c r="AI27">
        <v>52431445</v>
      </c>
      <c r="AJ27">
        <v>28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</row>
    <row r="28" spans="1:44" x14ac:dyDescent="0.2">
      <c r="A28">
        <f>ROW(Source!A39)</f>
        <v>39</v>
      </c>
      <c r="B28">
        <v>52431456</v>
      </c>
      <c r="C28">
        <v>52431439</v>
      </c>
      <c r="D28">
        <v>51868013</v>
      </c>
      <c r="E28">
        <v>1</v>
      </c>
      <c r="F28">
        <v>1</v>
      </c>
      <c r="G28">
        <v>27</v>
      </c>
      <c r="H28">
        <v>3</v>
      </c>
      <c r="I28" t="s">
        <v>432</v>
      </c>
      <c r="J28" t="s">
        <v>433</v>
      </c>
      <c r="K28" t="s">
        <v>434</v>
      </c>
      <c r="L28">
        <v>1348</v>
      </c>
      <c r="N28">
        <v>1009</v>
      </c>
      <c r="O28" t="s">
        <v>101</v>
      </c>
      <c r="P28" t="s">
        <v>101</v>
      </c>
      <c r="Q28">
        <v>1000</v>
      </c>
      <c r="X28">
        <v>3.15E-3</v>
      </c>
      <c r="Y28">
        <v>343020.03</v>
      </c>
      <c r="Z28">
        <v>0</v>
      </c>
      <c r="AA28">
        <v>0</v>
      </c>
      <c r="AB28">
        <v>0</v>
      </c>
      <c r="AC28">
        <v>0</v>
      </c>
      <c r="AD28">
        <v>1</v>
      </c>
      <c r="AE28">
        <v>0</v>
      </c>
      <c r="AF28" t="s">
        <v>3</v>
      </c>
      <c r="AG28">
        <v>3.15E-3</v>
      </c>
      <c r="AH28">
        <v>2</v>
      </c>
      <c r="AI28">
        <v>52431446</v>
      </c>
      <c r="AJ28">
        <v>29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</row>
    <row r="29" spans="1:44" x14ac:dyDescent="0.2">
      <c r="A29">
        <f>ROW(Source!A39)</f>
        <v>39</v>
      </c>
      <c r="B29">
        <v>52431457</v>
      </c>
      <c r="C29">
        <v>52431439</v>
      </c>
      <c r="D29">
        <v>51868230</v>
      </c>
      <c r="E29">
        <v>1</v>
      </c>
      <c r="F29">
        <v>1</v>
      </c>
      <c r="G29">
        <v>27</v>
      </c>
      <c r="H29">
        <v>3</v>
      </c>
      <c r="I29" t="s">
        <v>435</v>
      </c>
      <c r="J29" t="s">
        <v>436</v>
      </c>
      <c r="K29" t="s">
        <v>437</v>
      </c>
      <c r="L29">
        <v>1346</v>
      </c>
      <c r="N29">
        <v>1009</v>
      </c>
      <c r="O29" t="s">
        <v>438</v>
      </c>
      <c r="P29" t="s">
        <v>438</v>
      </c>
      <c r="Q29">
        <v>1</v>
      </c>
      <c r="X29">
        <v>735</v>
      </c>
      <c r="Y29">
        <v>17.77</v>
      </c>
      <c r="Z29">
        <v>0</v>
      </c>
      <c r="AA29">
        <v>0</v>
      </c>
      <c r="AB29">
        <v>0</v>
      </c>
      <c r="AC29">
        <v>0</v>
      </c>
      <c r="AD29">
        <v>1</v>
      </c>
      <c r="AE29">
        <v>0</v>
      </c>
      <c r="AF29" t="s">
        <v>3</v>
      </c>
      <c r="AG29">
        <v>735</v>
      </c>
      <c r="AH29">
        <v>2</v>
      </c>
      <c r="AI29">
        <v>52431447</v>
      </c>
      <c r="AJ29">
        <v>30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</row>
    <row r="30" spans="1:44" x14ac:dyDescent="0.2">
      <c r="A30">
        <f>ROW(Source!A39)</f>
        <v>39</v>
      </c>
      <c r="B30">
        <v>52431458</v>
      </c>
      <c r="C30">
        <v>52431439</v>
      </c>
      <c r="D30">
        <v>51868237</v>
      </c>
      <c r="E30">
        <v>1</v>
      </c>
      <c r="F30">
        <v>1</v>
      </c>
      <c r="G30">
        <v>27</v>
      </c>
      <c r="H30">
        <v>3</v>
      </c>
      <c r="I30" t="s">
        <v>439</v>
      </c>
      <c r="J30" t="s">
        <v>440</v>
      </c>
      <c r="K30" t="s">
        <v>441</v>
      </c>
      <c r="L30">
        <v>1346</v>
      </c>
      <c r="N30">
        <v>1009</v>
      </c>
      <c r="O30" t="s">
        <v>438</v>
      </c>
      <c r="P30" t="s">
        <v>438</v>
      </c>
      <c r="Q30">
        <v>1</v>
      </c>
      <c r="X30">
        <v>241.5</v>
      </c>
      <c r="Y30">
        <v>202.34</v>
      </c>
      <c r="Z30">
        <v>0</v>
      </c>
      <c r="AA30">
        <v>0</v>
      </c>
      <c r="AB30">
        <v>0</v>
      </c>
      <c r="AC30">
        <v>0</v>
      </c>
      <c r="AD30">
        <v>1</v>
      </c>
      <c r="AE30">
        <v>0</v>
      </c>
      <c r="AF30" t="s">
        <v>3</v>
      </c>
      <c r="AG30">
        <v>241.5</v>
      </c>
      <c r="AH30">
        <v>2</v>
      </c>
      <c r="AI30">
        <v>52431448</v>
      </c>
      <c r="AJ30">
        <v>31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</row>
    <row r="31" spans="1:44" x14ac:dyDescent="0.2">
      <c r="A31">
        <f>ROW(Source!A39)</f>
        <v>39</v>
      </c>
      <c r="B31">
        <v>52431459</v>
      </c>
      <c r="C31">
        <v>52431439</v>
      </c>
      <c r="D31">
        <v>51866204</v>
      </c>
      <c r="E31">
        <v>1</v>
      </c>
      <c r="F31">
        <v>1</v>
      </c>
      <c r="G31">
        <v>27</v>
      </c>
      <c r="H31">
        <v>3</v>
      </c>
      <c r="I31" t="s">
        <v>442</v>
      </c>
      <c r="J31" t="s">
        <v>443</v>
      </c>
      <c r="K31" t="s">
        <v>444</v>
      </c>
      <c r="L31">
        <v>1348</v>
      </c>
      <c r="N31">
        <v>1009</v>
      </c>
      <c r="O31" t="s">
        <v>101</v>
      </c>
      <c r="P31" t="s">
        <v>101</v>
      </c>
      <c r="Q31">
        <v>1000</v>
      </c>
      <c r="X31">
        <v>5.2499999999999998E-2</v>
      </c>
      <c r="Y31">
        <v>748299.67</v>
      </c>
      <c r="Z31">
        <v>0</v>
      </c>
      <c r="AA31">
        <v>0</v>
      </c>
      <c r="AB31">
        <v>0</v>
      </c>
      <c r="AC31">
        <v>0</v>
      </c>
      <c r="AD31">
        <v>1</v>
      </c>
      <c r="AE31">
        <v>0</v>
      </c>
      <c r="AF31" t="s">
        <v>3</v>
      </c>
      <c r="AG31">
        <v>5.2499999999999998E-2</v>
      </c>
      <c r="AH31">
        <v>2</v>
      </c>
      <c r="AI31">
        <v>52431449</v>
      </c>
      <c r="AJ31">
        <v>32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</row>
    <row r="32" spans="1:44" x14ac:dyDescent="0.2">
      <c r="A32">
        <f>ROW(Source!A40)</f>
        <v>40</v>
      </c>
      <c r="B32">
        <v>52431467</v>
      </c>
      <c r="C32">
        <v>52431460</v>
      </c>
      <c r="D32">
        <v>51848379</v>
      </c>
      <c r="E32">
        <v>27</v>
      </c>
      <c r="F32">
        <v>1</v>
      </c>
      <c r="G32">
        <v>27</v>
      </c>
      <c r="H32">
        <v>1</v>
      </c>
      <c r="I32" t="s">
        <v>378</v>
      </c>
      <c r="J32" t="s">
        <v>3</v>
      </c>
      <c r="K32" t="s">
        <v>379</v>
      </c>
      <c r="L32">
        <v>1191</v>
      </c>
      <c r="N32">
        <v>1013</v>
      </c>
      <c r="O32" t="s">
        <v>380</v>
      </c>
      <c r="P32" t="s">
        <v>380</v>
      </c>
      <c r="Q32">
        <v>1</v>
      </c>
      <c r="X32">
        <v>2.65</v>
      </c>
      <c r="Y32">
        <v>0</v>
      </c>
      <c r="Z32">
        <v>0</v>
      </c>
      <c r="AA32">
        <v>0</v>
      </c>
      <c r="AB32">
        <v>0</v>
      </c>
      <c r="AC32">
        <v>0</v>
      </c>
      <c r="AD32">
        <v>1</v>
      </c>
      <c r="AE32">
        <v>1</v>
      </c>
      <c r="AF32" t="s">
        <v>3</v>
      </c>
      <c r="AG32">
        <v>2.65</v>
      </c>
      <c r="AH32">
        <v>2</v>
      </c>
      <c r="AI32">
        <v>52431461</v>
      </c>
      <c r="AJ32">
        <v>33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</row>
    <row r="33" spans="1:44" x14ac:dyDescent="0.2">
      <c r="A33">
        <f>ROW(Source!A40)</f>
        <v>40</v>
      </c>
      <c r="B33">
        <v>52431468</v>
      </c>
      <c r="C33">
        <v>52431460</v>
      </c>
      <c r="D33">
        <v>51865492</v>
      </c>
      <c r="E33">
        <v>1</v>
      </c>
      <c r="F33">
        <v>1</v>
      </c>
      <c r="G33">
        <v>27</v>
      </c>
      <c r="H33">
        <v>2</v>
      </c>
      <c r="I33" t="s">
        <v>417</v>
      </c>
      <c r="J33" t="s">
        <v>418</v>
      </c>
      <c r="K33" t="s">
        <v>419</v>
      </c>
      <c r="L33">
        <v>1368</v>
      </c>
      <c r="N33">
        <v>1011</v>
      </c>
      <c r="O33" t="s">
        <v>84</v>
      </c>
      <c r="P33" t="s">
        <v>84</v>
      </c>
      <c r="Q33">
        <v>1</v>
      </c>
      <c r="X33">
        <v>0.5</v>
      </c>
      <c r="Y33">
        <v>0</v>
      </c>
      <c r="Z33">
        <v>531.41</v>
      </c>
      <c r="AA33">
        <v>373.56</v>
      </c>
      <c r="AB33">
        <v>0</v>
      </c>
      <c r="AC33">
        <v>0</v>
      </c>
      <c r="AD33">
        <v>1</v>
      </c>
      <c r="AE33">
        <v>0</v>
      </c>
      <c r="AF33" t="s">
        <v>3</v>
      </c>
      <c r="AG33">
        <v>0.5</v>
      </c>
      <c r="AH33">
        <v>2</v>
      </c>
      <c r="AI33">
        <v>52431462</v>
      </c>
      <c r="AJ33">
        <v>34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</row>
    <row r="34" spans="1:44" x14ac:dyDescent="0.2">
      <c r="A34">
        <f>ROW(Source!A40)</f>
        <v>40</v>
      </c>
      <c r="B34">
        <v>52431469</v>
      </c>
      <c r="C34">
        <v>52431460</v>
      </c>
      <c r="D34">
        <v>51865101</v>
      </c>
      <c r="E34">
        <v>1</v>
      </c>
      <c r="F34">
        <v>1</v>
      </c>
      <c r="G34">
        <v>27</v>
      </c>
      <c r="H34">
        <v>2</v>
      </c>
      <c r="I34" t="s">
        <v>426</v>
      </c>
      <c r="J34" t="s">
        <v>427</v>
      </c>
      <c r="K34" t="s">
        <v>428</v>
      </c>
      <c r="L34">
        <v>1368</v>
      </c>
      <c r="N34">
        <v>1011</v>
      </c>
      <c r="O34" t="s">
        <v>84</v>
      </c>
      <c r="P34" t="s">
        <v>84</v>
      </c>
      <c r="Q34">
        <v>1</v>
      </c>
      <c r="X34">
        <v>0.5</v>
      </c>
      <c r="Y34">
        <v>0</v>
      </c>
      <c r="Z34">
        <v>454.31</v>
      </c>
      <c r="AA34">
        <v>405.68</v>
      </c>
      <c r="AB34">
        <v>0</v>
      </c>
      <c r="AC34">
        <v>0</v>
      </c>
      <c r="AD34">
        <v>1</v>
      </c>
      <c r="AE34">
        <v>0</v>
      </c>
      <c r="AF34" t="s">
        <v>3</v>
      </c>
      <c r="AG34">
        <v>0.5</v>
      </c>
      <c r="AH34">
        <v>2</v>
      </c>
      <c r="AI34">
        <v>52431463</v>
      </c>
      <c r="AJ34">
        <v>35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</row>
    <row r="35" spans="1:44" x14ac:dyDescent="0.2">
      <c r="A35">
        <f>ROW(Source!A40)</f>
        <v>40</v>
      </c>
      <c r="B35">
        <v>52431470</v>
      </c>
      <c r="C35">
        <v>52431460</v>
      </c>
      <c r="D35">
        <v>51868230</v>
      </c>
      <c r="E35">
        <v>1</v>
      </c>
      <c r="F35">
        <v>1</v>
      </c>
      <c r="G35">
        <v>27</v>
      </c>
      <c r="H35">
        <v>3</v>
      </c>
      <c r="I35" t="s">
        <v>435</v>
      </c>
      <c r="J35" t="s">
        <v>436</v>
      </c>
      <c r="K35" t="s">
        <v>437</v>
      </c>
      <c r="L35">
        <v>1346</v>
      </c>
      <c r="N35">
        <v>1009</v>
      </c>
      <c r="O35" t="s">
        <v>438</v>
      </c>
      <c r="P35" t="s">
        <v>438</v>
      </c>
      <c r="Q35">
        <v>1</v>
      </c>
      <c r="X35">
        <v>147</v>
      </c>
      <c r="Y35">
        <v>17.77</v>
      </c>
      <c r="Z35">
        <v>0</v>
      </c>
      <c r="AA35">
        <v>0</v>
      </c>
      <c r="AB35">
        <v>0</v>
      </c>
      <c r="AC35">
        <v>0</v>
      </c>
      <c r="AD35">
        <v>1</v>
      </c>
      <c r="AE35">
        <v>0</v>
      </c>
      <c r="AF35" t="s">
        <v>3</v>
      </c>
      <c r="AG35">
        <v>147</v>
      </c>
      <c r="AH35">
        <v>2</v>
      </c>
      <c r="AI35">
        <v>52431464</v>
      </c>
      <c r="AJ35">
        <v>36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</row>
    <row r="36" spans="1:44" x14ac:dyDescent="0.2">
      <c r="A36">
        <f>ROW(Source!A40)</f>
        <v>40</v>
      </c>
      <c r="B36">
        <v>52431471</v>
      </c>
      <c r="C36">
        <v>52431460</v>
      </c>
      <c r="D36">
        <v>51868237</v>
      </c>
      <c r="E36">
        <v>1</v>
      </c>
      <c r="F36">
        <v>1</v>
      </c>
      <c r="G36">
        <v>27</v>
      </c>
      <c r="H36">
        <v>3</v>
      </c>
      <c r="I36" t="s">
        <v>439</v>
      </c>
      <c r="J36" t="s">
        <v>440</v>
      </c>
      <c r="K36" t="s">
        <v>441</v>
      </c>
      <c r="L36">
        <v>1346</v>
      </c>
      <c r="N36">
        <v>1009</v>
      </c>
      <c r="O36" t="s">
        <v>438</v>
      </c>
      <c r="P36" t="s">
        <v>438</v>
      </c>
      <c r="Q36">
        <v>1</v>
      </c>
      <c r="X36">
        <v>42</v>
      </c>
      <c r="Y36">
        <v>202.34</v>
      </c>
      <c r="Z36">
        <v>0</v>
      </c>
      <c r="AA36">
        <v>0</v>
      </c>
      <c r="AB36">
        <v>0</v>
      </c>
      <c r="AC36">
        <v>0</v>
      </c>
      <c r="AD36">
        <v>1</v>
      </c>
      <c r="AE36">
        <v>0</v>
      </c>
      <c r="AF36" t="s">
        <v>3</v>
      </c>
      <c r="AG36">
        <v>42</v>
      </c>
      <c r="AH36">
        <v>2</v>
      </c>
      <c r="AI36">
        <v>52431465</v>
      </c>
      <c r="AJ36">
        <v>37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</row>
    <row r="37" spans="1:44" x14ac:dyDescent="0.2">
      <c r="A37">
        <f>ROW(Source!A40)</f>
        <v>40</v>
      </c>
      <c r="B37">
        <v>52431472</v>
      </c>
      <c r="C37">
        <v>52431460</v>
      </c>
      <c r="D37">
        <v>51866204</v>
      </c>
      <c r="E37">
        <v>1</v>
      </c>
      <c r="F37">
        <v>1</v>
      </c>
      <c r="G37">
        <v>27</v>
      </c>
      <c r="H37">
        <v>3</v>
      </c>
      <c r="I37" t="s">
        <v>442</v>
      </c>
      <c r="J37" t="s">
        <v>443</v>
      </c>
      <c r="K37" t="s">
        <v>444</v>
      </c>
      <c r="L37">
        <v>1348</v>
      </c>
      <c r="N37">
        <v>1009</v>
      </c>
      <c r="O37" t="s">
        <v>101</v>
      </c>
      <c r="P37" t="s">
        <v>101</v>
      </c>
      <c r="Q37">
        <v>1000</v>
      </c>
      <c r="X37">
        <v>1.0500000000000001E-2</v>
      </c>
      <c r="Y37">
        <v>748299.67</v>
      </c>
      <c r="Z37">
        <v>0</v>
      </c>
      <c r="AA37">
        <v>0</v>
      </c>
      <c r="AB37">
        <v>0</v>
      </c>
      <c r="AC37">
        <v>0</v>
      </c>
      <c r="AD37">
        <v>1</v>
      </c>
      <c r="AE37">
        <v>0</v>
      </c>
      <c r="AF37" t="s">
        <v>3</v>
      </c>
      <c r="AG37">
        <v>1.0500000000000001E-2</v>
      </c>
      <c r="AH37">
        <v>2</v>
      </c>
      <c r="AI37">
        <v>52431466</v>
      </c>
      <c r="AJ37">
        <v>38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</row>
    <row r="38" spans="1:44" x14ac:dyDescent="0.2">
      <c r="A38">
        <f>ROW(Source!A41)</f>
        <v>41</v>
      </c>
      <c r="B38">
        <v>52431475</v>
      </c>
      <c r="C38">
        <v>52431473</v>
      </c>
      <c r="D38">
        <v>51848379</v>
      </c>
      <c r="E38">
        <v>27</v>
      </c>
      <c r="F38">
        <v>1</v>
      </c>
      <c r="G38">
        <v>27</v>
      </c>
      <c r="H38">
        <v>1</v>
      </c>
      <c r="I38" t="s">
        <v>378</v>
      </c>
      <c r="J38" t="s">
        <v>3</v>
      </c>
      <c r="K38" t="s">
        <v>379</v>
      </c>
      <c r="L38">
        <v>1191</v>
      </c>
      <c r="N38">
        <v>1013</v>
      </c>
      <c r="O38" t="s">
        <v>380</v>
      </c>
      <c r="P38" t="s">
        <v>380</v>
      </c>
      <c r="Q38">
        <v>1</v>
      </c>
      <c r="X38">
        <v>221.6</v>
      </c>
      <c r="Y38">
        <v>0</v>
      </c>
      <c r="Z38">
        <v>0</v>
      </c>
      <c r="AA38">
        <v>0</v>
      </c>
      <c r="AB38">
        <v>0</v>
      </c>
      <c r="AC38">
        <v>0</v>
      </c>
      <c r="AD38">
        <v>1</v>
      </c>
      <c r="AE38">
        <v>1</v>
      </c>
      <c r="AF38" t="s">
        <v>3</v>
      </c>
      <c r="AG38">
        <v>221.6</v>
      </c>
      <c r="AH38">
        <v>2</v>
      </c>
      <c r="AI38">
        <v>52431474</v>
      </c>
      <c r="AJ38">
        <v>39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</row>
    <row r="39" spans="1:44" x14ac:dyDescent="0.2">
      <c r="A39">
        <f>ROW(Source!A42)</f>
        <v>42</v>
      </c>
      <c r="B39">
        <v>52431485</v>
      </c>
      <c r="C39">
        <v>52431476</v>
      </c>
      <c r="D39">
        <v>51848379</v>
      </c>
      <c r="E39">
        <v>27</v>
      </c>
      <c r="F39">
        <v>1</v>
      </c>
      <c r="G39">
        <v>27</v>
      </c>
      <c r="H39">
        <v>1</v>
      </c>
      <c r="I39" t="s">
        <v>378</v>
      </c>
      <c r="J39" t="s">
        <v>3</v>
      </c>
      <c r="K39" t="s">
        <v>379</v>
      </c>
      <c r="L39">
        <v>1191</v>
      </c>
      <c r="N39">
        <v>1013</v>
      </c>
      <c r="O39" t="s">
        <v>380</v>
      </c>
      <c r="P39" t="s">
        <v>380</v>
      </c>
      <c r="Q39">
        <v>1</v>
      </c>
      <c r="X39">
        <v>16.559999999999999</v>
      </c>
      <c r="Y39">
        <v>0</v>
      </c>
      <c r="Z39">
        <v>0</v>
      </c>
      <c r="AA39">
        <v>0</v>
      </c>
      <c r="AB39">
        <v>0</v>
      </c>
      <c r="AC39">
        <v>0</v>
      </c>
      <c r="AD39">
        <v>1</v>
      </c>
      <c r="AE39">
        <v>1</v>
      </c>
      <c r="AF39" t="s">
        <v>3</v>
      </c>
      <c r="AG39">
        <v>16.559999999999999</v>
      </c>
      <c r="AH39">
        <v>2</v>
      </c>
      <c r="AI39">
        <v>52431477</v>
      </c>
      <c r="AJ39">
        <v>40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</row>
    <row r="40" spans="1:44" x14ac:dyDescent="0.2">
      <c r="A40">
        <f>ROW(Source!A42)</f>
        <v>42</v>
      </c>
      <c r="B40">
        <v>52431486</v>
      </c>
      <c r="C40">
        <v>52431476</v>
      </c>
      <c r="D40">
        <v>51864848</v>
      </c>
      <c r="E40">
        <v>1</v>
      </c>
      <c r="F40">
        <v>1</v>
      </c>
      <c r="G40">
        <v>27</v>
      </c>
      <c r="H40">
        <v>2</v>
      </c>
      <c r="I40" t="s">
        <v>387</v>
      </c>
      <c r="J40" t="s">
        <v>388</v>
      </c>
      <c r="K40" t="s">
        <v>389</v>
      </c>
      <c r="L40">
        <v>1368</v>
      </c>
      <c r="N40">
        <v>1011</v>
      </c>
      <c r="O40" t="s">
        <v>84</v>
      </c>
      <c r="P40" t="s">
        <v>84</v>
      </c>
      <c r="Q40">
        <v>1</v>
      </c>
      <c r="X40">
        <v>2.08</v>
      </c>
      <c r="Y40">
        <v>0</v>
      </c>
      <c r="Z40">
        <v>740.94</v>
      </c>
      <c r="AA40">
        <v>413.22</v>
      </c>
      <c r="AB40">
        <v>0</v>
      </c>
      <c r="AC40">
        <v>0</v>
      </c>
      <c r="AD40">
        <v>1</v>
      </c>
      <c r="AE40">
        <v>0</v>
      </c>
      <c r="AF40" t="s">
        <v>3</v>
      </c>
      <c r="AG40">
        <v>2.08</v>
      </c>
      <c r="AH40">
        <v>2</v>
      </c>
      <c r="AI40">
        <v>52431478</v>
      </c>
      <c r="AJ40">
        <v>41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</row>
    <row r="41" spans="1:44" x14ac:dyDescent="0.2">
      <c r="A41">
        <f>ROW(Source!A42)</f>
        <v>42</v>
      </c>
      <c r="B41">
        <v>52431487</v>
      </c>
      <c r="C41">
        <v>52431476</v>
      </c>
      <c r="D41">
        <v>51865003</v>
      </c>
      <c r="E41">
        <v>1</v>
      </c>
      <c r="F41">
        <v>1</v>
      </c>
      <c r="G41">
        <v>27</v>
      </c>
      <c r="H41">
        <v>2</v>
      </c>
      <c r="I41" t="s">
        <v>390</v>
      </c>
      <c r="J41" t="s">
        <v>391</v>
      </c>
      <c r="K41" t="s">
        <v>392</v>
      </c>
      <c r="L41">
        <v>1368</v>
      </c>
      <c r="N41">
        <v>1011</v>
      </c>
      <c r="O41" t="s">
        <v>84</v>
      </c>
      <c r="P41" t="s">
        <v>84</v>
      </c>
      <c r="Q41">
        <v>1</v>
      </c>
      <c r="X41">
        <v>2.08</v>
      </c>
      <c r="Y41">
        <v>0</v>
      </c>
      <c r="Z41">
        <v>430.32</v>
      </c>
      <c r="AA41">
        <v>215.31</v>
      </c>
      <c r="AB41">
        <v>0</v>
      </c>
      <c r="AC41">
        <v>0</v>
      </c>
      <c r="AD41">
        <v>1</v>
      </c>
      <c r="AE41">
        <v>0</v>
      </c>
      <c r="AF41" t="s">
        <v>3</v>
      </c>
      <c r="AG41">
        <v>2.08</v>
      </c>
      <c r="AH41">
        <v>2</v>
      </c>
      <c r="AI41">
        <v>52431479</v>
      </c>
      <c r="AJ41">
        <v>42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</row>
    <row r="42" spans="1:44" x14ac:dyDescent="0.2">
      <c r="A42">
        <f>ROW(Source!A42)</f>
        <v>42</v>
      </c>
      <c r="B42">
        <v>52431488</v>
      </c>
      <c r="C42">
        <v>52431476</v>
      </c>
      <c r="D42">
        <v>51865006</v>
      </c>
      <c r="E42">
        <v>1</v>
      </c>
      <c r="F42">
        <v>1</v>
      </c>
      <c r="G42">
        <v>27</v>
      </c>
      <c r="H42">
        <v>2</v>
      </c>
      <c r="I42" t="s">
        <v>393</v>
      </c>
      <c r="J42" t="s">
        <v>394</v>
      </c>
      <c r="K42" t="s">
        <v>395</v>
      </c>
      <c r="L42">
        <v>1368</v>
      </c>
      <c r="N42">
        <v>1011</v>
      </c>
      <c r="O42" t="s">
        <v>84</v>
      </c>
      <c r="P42" t="s">
        <v>84</v>
      </c>
      <c r="Q42">
        <v>1</v>
      </c>
      <c r="X42">
        <v>0.81</v>
      </c>
      <c r="Y42">
        <v>0</v>
      </c>
      <c r="Z42">
        <v>2020.59</v>
      </c>
      <c r="AA42">
        <v>458.56</v>
      </c>
      <c r="AB42">
        <v>0</v>
      </c>
      <c r="AC42">
        <v>0</v>
      </c>
      <c r="AD42">
        <v>1</v>
      </c>
      <c r="AE42">
        <v>0</v>
      </c>
      <c r="AF42" t="s">
        <v>3</v>
      </c>
      <c r="AG42">
        <v>0.81</v>
      </c>
      <c r="AH42">
        <v>2</v>
      </c>
      <c r="AI42">
        <v>52431480</v>
      </c>
      <c r="AJ42">
        <v>43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</row>
    <row r="43" spans="1:44" x14ac:dyDescent="0.2">
      <c r="A43">
        <f>ROW(Source!A42)</f>
        <v>42</v>
      </c>
      <c r="B43">
        <v>52431489</v>
      </c>
      <c r="C43">
        <v>52431476</v>
      </c>
      <c r="D43">
        <v>51865030</v>
      </c>
      <c r="E43">
        <v>1</v>
      </c>
      <c r="F43">
        <v>1</v>
      </c>
      <c r="G43">
        <v>27</v>
      </c>
      <c r="H43">
        <v>2</v>
      </c>
      <c r="I43" t="s">
        <v>396</v>
      </c>
      <c r="J43" t="s">
        <v>397</v>
      </c>
      <c r="K43" t="s">
        <v>398</v>
      </c>
      <c r="L43">
        <v>1368</v>
      </c>
      <c r="N43">
        <v>1011</v>
      </c>
      <c r="O43" t="s">
        <v>84</v>
      </c>
      <c r="P43" t="s">
        <v>84</v>
      </c>
      <c r="Q43">
        <v>1</v>
      </c>
      <c r="X43">
        <v>1.94</v>
      </c>
      <c r="Y43">
        <v>0</v>
      </c>
      <c r="Z43">
        <v>1412.71</v>
      </c>
      <c r="AA43">
        <v>641.32000000000005</v>
      </c>
      <c r="AB43">
        <v>0</v>
      </c>
      <c r="AC43">
        <v>0</v>
      </c>
      <c r="AD43">
        <v>1</v>
      </c>
      <c r="AE43">
        <v>0</v>
      </c>
      <c r="AF43" t="s">
        <v>3</v>
      </c>
      <c r="AG43">
        <v>1.94</v>
      </c>
      <c r="AH43">
        <v>2</v>
      </c>
      <c r="AI43">
        <v>52431481</v>
      </c>
      <c r="AJ43">
        <v>44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</row>
    <row r="44" spans="1:44" x14ac:dyDescent="0.2">
      <c r="A44">
        <f>ROW(Source!A42)</f>
        <v>42</v>
      </c>
      <c r="B44">
        <v>52431490</v>
      </c>
      <c r="C44">
        <v>52431476</v>
      </c>
      <c r="D44">
        <v>51864996</v>
      </c>
      <c r="E44">
        <v>1</v>
      </c>
      <c r="F44">
        <v>1</v>
      </c>
      <c r="G44">
        <v>27</v>
      </c>
      <c r="H44">
        <v>2</v>
      </c>
      <c r="I44" t="s">
        <v>399</v>
      </c>
      <c r="J44" t="s">
        <v>400</v>
      </c>
      <c r="K44" t="s">
        <v>401</v>
      </c>
      <c r="L44">
        <v>1368</v>
      </c>
      <c r="N44">
        <v>1011</v>
      </c>
      <c r="O44" t="s">
        <v>84</v>
      </c>
      <c r="P44" t="s">
        <v>84</v>
      </c>
      <c r="Q44">
        <v>1</v>
      </c>
      <c r="X44">
        <v>0.65</v>
      </c>
      <c r="Y44">
        <v>0</v>
      </c>
      <c r="Z44">
        <v>1213.3399999999999</v>
      </c>
      <c r="AA44">
        <v>461.6</v>
      </c>
      <c r="AB44">
        <v>0</v>
      </c>
      <c r="AC44">
        <v>0</v>
      </c>
      <c r="AD44">
        <v>1</v>
      </c>
      <c r="AE44">
        <v>0</v>
      </c>
      <c r="AF44" t="s">
        <v>3</v>
      </c>
      <c r="AG44">
        <v>0.65</v>
      </c>
      <c r="AH44">
        <v>2</v>
      </c>
      <c r="AI44">
        <v>52431482</v>
      </c>
      <c r="AJ44">
        <v>45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</row>
    <row r="45" spans="1:44" x14ac:dyDescent="0.2">
      <c r="A45">
        <f>ROW(Source!A42)</f>
        <v>42</v>
      </c>
      <c r="B45">
        <v>52431491</v>
      </c>
      <c r="C45">
        <v>52431476</v>
      </c>
      <c r="D45">
        <v>51866959</v>
      </c>
      <c r="E45">
        <v>1</v>
      </c>
      <c r="F45">
        <v>1</v>
      </c>
      <c r="G45">
        <v>27</v>
      </c>
      <c r="H45">
        <v>3</v>
      </c>
      <c r="I45" t="s">
        <v>402</v>
      </c>
      <c r="J45" t="s">
        <v>403</v>
      </c>
      <c r="K45" t="s">
        <v>404</v>
      </c>
      <c r="L45">
        <v>1339</v>
      </c>
      <c r="N45">
        <v>1007</v>
      </c>
      <c r="O45" t="s">
        <v>28</v>
      </c>
      <c r="P45" t="s">
        <v>28</v>
      </c>
      <c r="Q45">
        <v>1</v>
      </c>
      <c r="X45">
        <v>110</v>
      </c>
      <c r="Y45">
        <v>590.78</v>
      </c>
      <c r="Z45">
        <v>0</v>
      </c>
      <c r="AA45">
        <v>0</v>
      </c>
      <c r="AB45">
        <v>0</v>
      </c>
      <c r="AC45">
        <v>0</v>
      </c>
      <c r="AD45">
        <v>1</v>
      </c>
      <c r="AE45">
        <v>0</v>
      </c>
      <c r="AF45" t="s">
        <v>3</v>
      </c>
      <c r="AG45">
        <v>110</v>
      </c>
      <c r="AH45">
        <v>2</v>
      </c>
      <c r="AI45">
        <v>52431483</v>
      </c>
      <c r="AJ45">
        <v>46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</row>
    <row r="46" spans="1:44" x14ac:dyDescent="0.2">
      <c r="A46">
        <f>ROW(Source!A42)</f>
        <v>42</v>
      </c>
      <c r="B46">
        <v>52431492</v>
      </c>
      <c r="C46">
        <v>52431476</v>
      </c>
      <c r="D46">
        <v>51867705</v>
      </c>
      <c r="E46">
        <v>1</v>
      </c>
      <c r="F46">
        <v>1</v>
      </c>
      <c r="G46">
        <v>27</v>
      </c>
      <c r="H46">
        <v>3</v>
      </c>
      <c r="I46" t="s">
        <v>405</v>
      </c>
      <c r="J46" t="s">
        <v>406</v>
      </c>
      <c r="K46" t="s">
        <v>407</v>
      </c>
      <c r="L46">
        <v>1339</v>
      </c>
      <c r="N46">
        <v>1007</v>
      </c>
      <c r="O46" t="s">
        <v>28</v>
      </c>
      <c r="P46" t="s">
        <v>28</v>
      </c>
      <c r="Q46">
        <v>1</v>
      </c>
      <c r="X46">
        <v>5</v>
      </c>
      <c r="Y46">
        <v>35.25</v>
      </c>
      <c r="Z46">
        <v>0</v>
      </c>
      <c r="AA46">
        <v>0</v>
      </c>
      <c r="AB46">
        <v>0</v>
      </c>
      <c r="AC46">
        <v>0</v>
      </c>
      <c r="AD46">
        <v>1</v>
      </c>
      <c r="AE46">
        <v>0</v>
      </c>
      <c r="AF46" t="s">
        <v>3</v>
      </c>
      <c r="AG46">
        <v>5</v>
      </c>
      <c r="AH46">
        <v>2</v>
      </c>
      <c r="AI46">
        <v>52431484</v>
      </c>
      <c r="AJ46">
        <v>47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</row>
    <row r="47" spans="1:44" x14ac:dyDescent="0.2">
      <c r="A47">
        <f>ROW(Source!A43)</f>
        <v>43</v>
      </c>
      <c r="B47">
        <v>52431499</v>
      </c>
      <c r="C47">
        <v>52431493</v>
      </c>
      <c r="D47">
        <v>51848379</v>
      </c>
      <c r="E47">
        <v>27</v>
      </c>
      <c r="F47">
        <v>1</v>
      </c>
      <c r="G47">
        <v>27</v>
      </c>
      <c r="H47">
        <v>1</v>
      </c>
      <c r="I47" t="s">
        <v>378</v>
      </c>
      <c r="J47" t="s">
        <v>3</v>
      </c>
      <c r="K47" t="s">
        <v>379</v>
      </c>
      <c r="L47">
        <v>1191</v>
      </c>
      <c r="N47">
        <v>1013</v>
      </c>
      <c r="O47" t="s">
        <v>380</v>
      </c>
      <c r="P47" t="s">
        <v>380</v>
      </c>
      <c r="Q47">
        <v>1</v>
      </c>
      <c r="X47">
        <v>72.95</v>
      </c>
      <c r="Y47">
        <v>0</v>
      </c>
      <c r="Z47">
        <v>0</v>
      </c>
      <c r="AA47">
        <v>0</v>
      </c>
      <c r="AB47">
        <v>0</v>
      </c>
      <c r="AC47">
        <v>0</v>
      </c>
      <c r="AD47">
        <v>1</v>
      </c>
      <c r="AE47">
        <v>1</v>
      </c>
      <c r="AF47" t="s">
        <v>3</v>
      </c>
      <c r="AG47">
        <v>72.95</v>
      </c>
      <c r="AH47">
        <v>2</v>
      </c>
      <c r="AI47">
        <v>52431494</v>
      </c>
      <c r="AJ47">
        <v>48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</row>
    <row r="48" spans="1:44" x14ac:dyDescent="0.2">
      <c r="A48">
        <f>ROW(Source!A43)</f>
        <v>43</v>
      </c>
      <c r="B48">
        <v>52431500</v>
      </c>
      <c r="C48">
        <v>52431493</v>
      </c>
      <c r="D48">
        <v>51864920</v>
      </c>
      <c r="E48">
        <v>1</v>
      </c>
      <c r="F48">
        <v>1</v>
      </c>
      <c r="G48">
        <v>27</v>
      </c>
      <c r="H48">
        <v>2</v>
      </c>
      <c r="I48" t="s">
        <v>445</v>
      </c>
      <c r="J48" t="s">
        <v>446</v>
      </c>
      <c r="K48" t="s">
        <v>447</v>
      </c>
      <c r="L48">
        <v>1368</v>
      </c>
      <c r="N48">
        <v>1011</v>
      </c>
      <c r="O48" t="s">
        <v>84</v>
      </c>
      <c r="P48" t="s">
        <v>84</v>
      </c>
      <c r="Q48">
        <v>1</v>
      </c>
      <c r="X48">
        <v>0.26</v>
      </c>
      <c r="Y48">
        <v>0</v>
      </c>
      <c r="Z48">
        <v>683.9</v>
      </c>
      <c r="AA48">
        <v>371.27</v>
      </c>
      <c r="AB48">
        <v>0</v>
      </c>
      <c r="AC48">
        <v>0</v>
      </c>
      <c r="AD48">
        <v>1</v>
      </c>
      <c r="AE48">
        <v>0</v>
      </c>
      <c r="AF48" t="s">
        <v>3</v>
      </c>
      <c r="AG48">
        <v>0.26</v>
      </c>
      <c r="AH48">
        <v>2</v>
      </c>
      <c r="AI48">
        <v>52431495</v>
      </c>
      <c r="AJ48">
        <v>49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</row>
    <row r="49" spans="1:44" x14ac:dyDescent="0.2">
      <c r="A49">
        <f>ROW(Source!A43)</f>
        <v>43</v>
      </c>
      <c r="B49">
        <v>52431501</v>
      </c>
      <c r="C49">
        <v>52431493</v>
      </c>
      <c r="D49">
        <v>51868676</v>
      </c>
      <c r="E49">
        <v>1</v>
      </c>
      <c r="F49">
        <v>1</v>
      </c>
      <c r="G49">
        <v>27</v>
      </c>
      <c r="H49">
        <v>3</v>
      </c>
      <c r="I49" t="s">
        <v>448</v>
      </c>
      <c r="J49" t="s">
        <v>449</v>
      </c>
      <c r="K49" t="s">
        <v>450</v>
      </c>
      <c r="L49">
        <v>1339</v>
      </c>
      <c r="N49">
        <v>1007</v>
      </c>
      <c r="O49" t="s">
        <v>28</v>
      </c>
      <c r="P49" t="s">
        <v>28</v>
      </c>
      <c r="Q49">
        <v>1</v>
      </c>
      <c r="X49">
        <v>4.3</v>
      </c>
      <c r="Y49">
        <v>3714.73</v>
      </c>
      <c r="Z49">
        <v>0</v>
      </c>
      <c r="AA49">
        <v>0</v>
      </c>
      <c r="AB49">
        <v>0</v>
      </c>
      <c r="AC49">
        <v>0</v>
      </c>
      <c r="AD49">
        <v>1</v>
      </c>
      <c r="AE49">
        <v>0</v>
      </c>
      <c r="AF49" t="s">
        <v>3</v>
      </c>
      <c r="AG49">
        <v>4.3</v>
      </c>
      <c r="AH49">
        <v>2</v>
      </c>
      <c r="AI49">
        <v>52431496</v>
      </c>
      <c r="AJ49">
        <v>50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</row>
    <row r="50" spans="1:44" x14ac:dyDescent="0.2">
      <c r="A50">
        <f>ROW(Source!A43)</f>
        <v>43</v>
      </c>
      <c r="B50">
        <v>52431502</v>
      </c>
      <c r="C50">
        <v>52431493</v>
      </c>
      <c r="D50">
        <v>51868752</v>
      </c>
      <c r="E50">
        <v>1</v>
      </c>
      <c r="F50">
        <v>1</v>
      </c>
      <c r="G50">
        <v>27</v>
      </c>
      <c r="H50">
        <v>3</v>
      </c>
      <c r="I50" t="s">
        <v>451</v>
      </c>
      <c r="J50" t="s">
        <v>452</v>
      </c>
      <c r="K50" t="s">
        <v>453</v>
      </c>
      <c r="L50">
        <v>1339</v>
      </c>
      <c r="N50">
        <v>1007</v>
      </c>
      <c r="O50" t="s">
        <v>28</v>
      </c>
      <c r="P50" t="s">
        <v>28</v>
      </c>
      <c r="Q50">
        <v>1</v>
      </c>
      <c r="X50">
        <v>0.02</v>
      </c>
      <c r="Y50">
        <v>3392.59</v>
      </c>
      <c r="Z50">
        <v>0</v>
      </c>
      <c r="AA50">
        <v>0</v>
      </c>
      <c r="AB50">
        <v>0</v>
      </c>
      <c r="AC50">
        <v>0</v>
      </c>
      <c r="AD50">
        <v>1</v>
      </c>
      <c r="AE50">
        <v>0</v>
      </c>
      <c r="AF50" t="s">
        <v>3</v>
      </c>
      <c r="AG50">
        <v>0.02</v>
      </c>
      <c r="AH50">
        <v>2</v>
      </c>
      <c r="AI50">
        <v>52431497</v>
      </c>
      <c r="AJ50">
        <v>51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</row>
    <row r="51" spans="1:44" x14ac:dyDescent="0.2">
      <c r="A51">
        <f>ROW(Source!A43)</f>
        <v>43</v>
      </c>
      <c r="B51">
        <v>52431503</v>
      </c>
      <c r="C51">
        <v>52431493</v>
      </c>
      <c r="D51">
        <v>51869488</v>
      </c>
      <c r="E51">
        <v>1</v>
      </c>
      <c r="F51">
        <v>1</v>
      </c>
      <c r="G51">
        <v>27</v>
      </c>
      <c r="H51">
        <v>3</v>
      </c>
      <c r="I51" t="s">
        <v>454</v>
      </c>
      <c r="J51" t="s">
        <v>455</v>
      </c>
      <c r="K51" t="s">
        <v>456</v>
      </c>
      <c r="L51">
        <v>1339</v>
      </c>
      <c r="N51">
        <v>1007</v>
      </c>
      <c r="O51" t="s">
        <v>28</v>
      </c>
      <c r="P51" t="s">
        <v>28</v>
      </c>
      <c r="Q51">
        <v>1</v>
      </c>
      <c r="X51">
        <v>1.6</v>
      </c>
      <c r="Y51">
        <v>11566.57</v>
      </c>
      <c r="Z51">
        <v>0</v>
      </c>
      <c r="AA51">
        <v>0</v>
      </c>
      <c r="AB51">
        <v>0</v>
      </c>
      <c r="AC51">
        <v>0</v>
      </c>
      <c r="AD51">
        <v>1</v>
      </c>
      <c r="AE51">
        <v>0</v>
      </c>
      <c r="AF51" t="s">
        <v>3</v>
      </c>
      <c r="AG51">
        <v>1.6</v>
      </c>
      <c r="AH51">
        <v>2</v>
      </c>
      <c r="AI51">
        <v>52431498</v>
      </c>
      <c r="AJ51">
        <v>52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</row>
    <row r="52" spans="1:44" x14ac:dyDescent="0.2">
      <c r="A52">
        <f>ROW(Source!A44)</f>
        <v>44</v>
      </c>
      <c r="B52">
        <v>52431517</v>
      </c>
      <c r="C52">
        <v>52431504</v>
      </c>
      <c r="D52">
        <v>51848379</v>
      </c>
      <c r="E52">
        <v>27</v>
      </c>
      <c r="F52">
        <v>1</v>
      </c>
      <c r="G52">
        <v>27</v>
      </c>
      <c r="H52">
        <v>1</v>
      </c>
      <c r="I52" t="s">
        <v>378</v>
      </c>
      <c r="J52" t="s">
        <v>3</v>
      </c>
      <c r="K52" t="s">
        <v>379</v>
      </c>
      <c r="L52">
        <v>1191</v>
      </c>
      <c r="N52">
        <v>1013</v>
      </c>
      <c r="O52" t="s">
        <v>380</v>
      </c>
      <c r="P52" t="s">
        <v>380</v>
      </c>
      <c r="Q52">
        <v>1</v>
      </c>
      <c r="X52">
        <v>902.75</v>
      </c>
      <c r="Y52">
        <v>0</v>
      </c>
      <c r="Z52">
        <v>0</v>
      </c>
      <c r="AA52">
        <v>0</v>
      </c>
      <c r="AB52">
        <v>0</v>
      </c>
      <c r="AC52">
        <v>0</v>
      </c>
      <c r="AD52">
        <v>1</v>
      </c>
      <c r="AE52">
        <v>1</v>
      </c>
      <c r="AF52" t="s">
        <v>3</v>
      </c>
      <c r="AG52">
        <v>902.75</v>
      </c>
      <c r="AH52">
        <v>2</v>
      </c>
      <c r="AI52">
        <v>52431505</v>
      </c>
      <c r="AJ52">
        <v>53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</row>
    <row r="53" spans="1:44" x14ac:dyDescent="0.2">
      <c r="A53">
        <f>ROW(Source!A44)</f>
        <v>44</v>
      </c>
      <c r="B53">
        <v>52431518</v>
      </c>
      <c r="C53">
        <v>52431504</v>
      </c>
      <c r="D53">
        <v>51864800</v>
      </c>
      <c r="E53">
        <v>1</v>
      </c>
      <c r="F53">
        <v>1</v>
      </c>
      <c r="G53">
        <v>27</v>
      </c>
      <c r="H53">
        <v>2</v>
      </c>
      <c r="I53" t="s">
        <v>91</v>
      </c>
      <c r="J53" t="s">
        <v>93</v>
      </c>
      <c r="K53" t="s">
        <v>92</v>
      </c>
      <c r="L53">
        <v>1368</v>
      </c>
      <c r="N53">
        <v>1011</v>
      </c>
      <c r="O53" t="s">
        <v>84</v>
      </c>
      <c r="P53" t="s">
        <v>84</v>
      </c>
      <c r="Q53">
        <v>1</v>
      </c>
      <c r="X53">
        <v>0.09</v>
      </c>
      <c r="Y53">
        <v>0</v>
      </c>
      <c r="Z53">
        <v>1009.65</v>
      </c>
      <c r="AA53">
        <v>554.42999999999995</v>
      </c>
      <c r="AB53">
        <v>0</v>
      </c>
      <c r="AC53">
        <v>0</v>
      </c>
      <c r="AD53">
        <v>1</v>
      </c>
      <c r="AE53">
        <v>0</v>
      </c>
      <c r="AF53" t="s">
        <v>3</v>
      </c>
      <c r="AG53">
        <v>0.09</v>
      </c>
      <c r="AH53">
        <v>2</v>
      </c>
      <c r="AI53">
        <v>52431506</v>
      </c>
      <c r="AJ53">
        <v>54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</row>
    <row r="54" spans="1:44" x14ac:dyDescent="0.2">
      <c r="A54">
        <f>ROW(Source!A44)</f>
        <v>44</v>
      </c>
      <c r="B54">
        <v>52431519</v>
      </c>
      <c r="C54">
        <v>52431504</v>
      </c>
      <c r="D54">
        <v>51865257</v>
      </c>
      <c r="E54">
        <v>1</v>
      </c>
      <c r="F54">
        <v>1</v>
      </c>
      <c r="G54">
        <v>27</v>
      </c>
      <c r="H54">
        <v>2</v>
      </c>
      <c r="I54" t="s">
        <v>87</v>
      </c>
      <c r="J54" t="s">
        <v>89</v>
      </c>
      <c r="K54" t="s">
        <v>88</v>
      </c>
      <c r="L54">
        <v>1368</v>
      </c>
      <c r="N54">
        <v>1011</v>
      </c>
      <c r="O54" t="s">
        <v>84</v>
      </c>
      <c r="P54" t="s">
        <v>84</v>
      </c>
      <c r="Q54">
        <v>1</v>
      </c>
      <c r="X54">
        <v>14.5</v>
      </c>
      <c r="Y54">
        <v>0</v>
      </c>
      <c r="Z54">
        <v>27.21</v>
      </c>
      <c r="AA54">
        <v>0.13</v>
      </c>
      <c r="AB54">
        <v>0</v>
      </c>
      <c r="AC54">
        <v>0</v>
      </c>
      <c r="AD54">
        <v>1</v>
      </c>
      <c r="AE54">
        <v>0</v>
      </c>
      <c r="AF54" t="s">
        <v>3</v>
      </c>
      <c r="AG54">
        <v>14.5</v>
      </c>
      <c r="AH54">
        <v>2</v>
      </c>
      <c r="AI54">
        <v>52431507</v>
      </c>
      <c r="AJ54">
        <v>55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</row>
    <row r="55" spans="1:44" x14ac:dyDescent="0.2">
      <c r="A55">
        <f>ROW(Source!A44)</f>
        <v>44</v>
      </c>
      <c r="B55">
        <v>52431520</v>
      </c>
      <c r="C55">
        <v>52431504</v>
      </c>
      <c r="D55">
        <v>51865090</v>
      </c>
      <c r="E55">
        <v>1</v>
      </c>
      <c r="F55">
        <v>1</v>
      </c>
      <c r="G55">
        <v>27</v>
      </c>
      <c r="H55">
        <v>2</v>
      </c>
      <c r="I55" t="s">
        <v>82</v>
      </c>
      <c r="J55" t="s">
        <v>85</v>
      </c>
      <c r="K55" t="s">
        <v>83</v>
      </c>
      <c r="L55">
        <v>1368</v>
      </c>
      <c r="N55">
        <v>1011</v>
      </c>
      <c r="O55" t="s">
        <v>84</v>
      </c>
      <c r="P55" t="s">
        <v>84</v>
      </c>
      <c r="Q55">
        <v>1</v>
      </c>
      <c r="X55">
        <v>5.44</v>
      </c>
      <c r="Y55">
        <v>0</v>
      </c>
      <c r="Z55">
        <v>10.82</v>
      </c>
      <c r="AA55">
        <v>2.97</v>
      </c>
      <c r="AB55">
        <v>0</v>
      </c>
      <c r="AC55">
        <v>0</v>
      </c>
      <c r="AD55">
        <v>1</v>
      </c>
      <c r="AE55">
        <v>0</v>
      </c>
      <c r="AF55" t="s">
        <v>3</v>
      </c>
      <c r="AG55">
        <v>5.44</v>
      </c>
      <c r="AH55">
        <v>2</v>
      </c>
      <c r="AI55">
        <v>52431508</v>
      </c>
      <c r="AJ55">
        <v>56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</row>
    <row r="56" spans="1:44" x14ac:dyDescent="0.2">
      <c r="A56">
        <f>ROW(Source!A44)</f>
        <v>44</v>
      </c>
      <c r="B56">
        <v>52431521</v>
      </c>
      <c r="C56">
        <v>52431504</v>
      </c>
      <c r="D56">
        <v>51867612</v>
      </c>
      <c r="E56">
        <v>1</v>
      </c>
      <c r="F56">
        <v>1</v>
      </c>
      <c r="G56">
        <v>27</v>
      </c>
      <c r="H56">
        <v>3</v>
      </c>
      <c r="I56" t="s">
        <v>99</v>
      </c>
      <c r="J56" t="s">
        <v>102</v>
      </c>
      <c r="K56" t="s">
        <v>100</v>
      </c>
      <c r="L56">
        <v>1348</v>
      </c>
      <c r="N56">
        <v>1009</v>
      </c>
      <c r="O56" t="s">
        <v>101</v>
      </c>
      <c r="P56" t="s">
        <v>101</v>
      </c>
      <c r="Q56">
        <v>1000</v>
      </c>
      <c r="X56">
        <v>0.02</v>
      </c>
      <c r="Y56">
        <v>110781.14</v>
      </c>
      <c r="Z56">
        <v>0</v>
      </c>
      <c r="AA56">
        <v>0</v>
      </c>
      <c r="AB56">
        <v>0</v>
      </c>
      <c r="AC56">
        <v>0</v>
      </c>
      <c r="AD56">
        <v>1</v>
      </c>
      <c r="AE56">
        <v>0</v>
      </c>
      <c r="AF56" t="s">
        <v>3</v>
      </c>
      <c r="AG56">
        <v>0.02</v>
      </c>
      <c r="AH56">
        <v>2</v>
      </c>
      <c r="AI56">
        <v>52431509</v>
      </c>
      <c r="AJ56">
        <v>57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</row>
    <row r="57" spans="1:44" x14ac:dyDescent="0.2">
      <c r="A57">
        <f>ROW(Source!A44)</f>
        <v>44</v>
      </c>
      <c r="B57">
        <v>52431522</v>
      </c>
      <c r="C57">
        <v>52431504</v>
      </c>
      <c r="D57">
        <v>51866048</v>
      </c>
      <c r="E57">
        <v>1</v>
      </c>
      <c r="F57">
        <v>1</v>
      </c>
      <c r="G57">
        <v>27</v>
      </c>
      <c r="H57">
        <v>3</v>
      </c>
      <c r="I57" t="s">
        <v>77</v>
      </c>
      <c r="J57" t="s">
        <v>80</v>
      </c>
      <c r="K57" t="s">
        <v>78</v>
      </c>
      <c r="L57">
        <v>1356</v>
      </c>
      <c r="N57">
        <v>1010</v>
      </c>
      <c r="O57" t="s">
        <v>79</v>
      </c>
      <c r="P57" t="s">
        <v>79</v>
      </c>
      <c r="Q57">
        <v>1000</v>
      </c>
      <c r="X57">
        <v>3.6999999999999998E-2</v>
      </c>
      <c r="Y57">
        <v>10419.43</v>
      </c>
      <c r="Z57">
        <v>0</v>
      </c>
      <c r="AA57">
        <v>0</v>
      </c>
      <c r="AB57">
        <v>0</v>
      </c>
      <c r="AC57">
        <v>0</v>
      </c>
      <c r="AD57">
        <v>1</v>
      </c>
      <c r="AE57">
        <v>0</v>
      </c>
      <c r="AF57" t="s">
        <v>3</v>
      </c>
      <c r="AG57">
        <v>3.6999999999999998E-2</v>
      </c>
      <c r="AH57">
        <v>2</v>
      </c>
      <c r="AI57">
        <v>52431510</v>
      </c>
      <c r="AJ57">
        <v>58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</row>
    <row r="58" spans="1:44" x14ac:dyDescent="0.2">
      <c r="A58">
        <f>ROW(Source!A44)</f>
        <v>44</v>
      </c>
      <c r="B58">
        <v>52431523</v>
      </c>
      <c r="C58">
        <v>52431504</v>
      </c>
      <c r="D58">
        <v>51868609</v>
      </c>
      <c r="E58">
        <v>1</v>
      </c>
      <c r="F58">
        <v>1</v>
      </c>
      <c r="G58">
        <v>27</v>
      </c>
      <c r="H58">
        <v>3</v>
      </c>
      <c r="I58" t="s">
        <v>95</v>
      </c>
      <c r="J58" t="s">
        <v>97</v>
      </c>
      <c r="K58" t="s">
        <v>96</v>
      </c>
      <c r="L58">
        <v>1339</v>
      </c>
      <c r="N58">
        <v>1007</v>
      </c>
      <c r="O58" t="s">
        <v>28</v>
      </c>
      <c r="P58" t="s">
        <v>28</v>
      </c>
      <c r="Q58">
        <v>1</v>
      </c>
      <c r="X58">
        <v>5</v>
      </c>
      <c r="Y58">
        <v>3040.38</v>
      </c>
      <c r="Z58">
        <v>0</v>
      </c>
      <c r="AA58">
        <v>0</v>
      </c>
      <c r="AB58">
        <v>0</v>
      </c>
      <c r="AC58">
        <v>0</v>
      </c>
      <c r="AD58">
        <v>1</v>
      </c>
      <c r="AE58">
        <v>0</v>
      </c>
      <c r="AF58" t="s">
        <v>3</v>
      </c>
      <c r="AG58">
        <v>5</v>
      </c>
      <c r="AH58">
        <v>2</v>
      </c>
      <c r="AI58">
        <v>52431511</v>
      </c>
      <c r="AJ58">
        <v>59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</row>
    <row r="59" spans="1:44" x14ac:dyDescent="0.2">
      <c r="A59">
        <f>ROW(Source!A44)</f>
        <v>44</v>
      </c>
      <c r="B59">
        <v>52431524</v>
      </c>
      <c r="C59">
        <v>52431504</v>
      </c>
      <c r="D59">
        <v>51868749</v>
      </c>
      <c r="E59">
        <v>1</v>
      </c>
      <c r="F59">
        <v>1</v>
      </c>
      <c r="G59">
        <v>27</v>
      </c>
      <c r="H59">
        <v>3</v>
      </c>
      <c r="I59" t="s">
        <v>457</v>
      </c>
      <c r="J59" t="s">
        <v>458</v>
      </c>
      <c r="K59" t="s">
        <v>459</v>
      </c>
      <c r="L59">
        <v>1339</v>
      </c>
      <c r="N59">
        <v>1007</v>
      </c>
      <c r="O59" t="s">
        <v>28</v>
      </c>
      <c r="P59" t="s">
        <v>28</v>
      </c>
      <c r="Q59">
        <v>1</v>
      </c>
      <c r="X59">
        <v>1.4999999999999999E-2</v>
      </c>
      <c r="Y59">
        <v>3323.4</v>
      </c>
      <c r="Z59">
        <v>0</v>
      </c>
      <c r="AA59">
        <v>0</v>
      </c>
      <c r="AB59">
        <v>0</v>
      </c>
      <c r="AC59">
        <v>0</v>
      </c>
      <c r="AD59">
        <v>1</v>
      </c>
      <c r="AE59">
        <v>0</v>
      </c>
      <c r="AF59" t="s">
        <v>3</v>
      </c>
      <c r="AG59">
        <v>1.4999999999999999E-2</v>
      </c>
      <c r="AH59">
        <v>2</v>
      </c>
      <c r="AI59">
        <v>52431512</v>
      </c>
      <c r="AJ59">
        <v>60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</row>
    <row r="60" spans="1:44" x14ac:dyDescent="0.2">
      <c r="A60">
        <f>ROW(Source!A44)</f>
        <v>44</v>
      </c>
      <c r="B60">
        <v>52431525</v>
      </c>
      <c r="C60">
        <v>52431504</v>
      </c>
      <c r="D60">
        <v>51848520</v>
      </c>
      <c r="E60">
        <v>27</v>
      </c>
      <c r="F60">
        <v>1</v>
      </c>
      <c r="G60">
        <v>27</v>
      </c>
      <c r="H60">
        <v>3</v>
      </c>
      <c r="I60" t="s">
        <v>516</v>
      </c>
      <c r="J60" t="s">
        <v>3</v>
      </c>
      <c r="K60" t="s">
        <v>517</v>
      </c>
      <c r="L60">
        <v>1354</v>
      </c>
      <c r="N60">
        <v>1010</v>
      </c>
      <c r="O60" t="s">
        <v>106</v>
      </c>
      <c r="P60" t="s">
        <v>106</v>
      </c>
      <c r="Q60">
        <v>1</v>
      </c>
      <c r="X60">
        <v>100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 t="s">
        <v>3</v>
      </c>
      <c r="AG60">
        <v>100</v>
      </c>
      <c r="AH60">
        <v>3</v>
      </c>
      <c r="AI60">
        <v>-1</v>
      </c>
      <c r="AJ60" t="s">
        <v>3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</row>
    <row r="61" spans="1:44" x14ac:dyDescent="0.2">
      <c r="A61">
        <f>ROW(Source!A44)</f>
        <v>44</v>
      </c>
      <c r="B61">
        <v>52431526</v>
      </c>
      <c r="C61">
        <v>52431504</v>
      </c>
      <c r="D61">
        <v>51848525</v>
      </c>
      <c r="E61">
        <v>27</v>
      </c>
      <c r="F61">
        <v>1</v>
      </c>
      <c r="G61">
        <v>27</v>
      </c>
      <c r="H61">
        <v>3</v>
      </c>
      <c r="I61" t="s">
        <v>518</v>
      </c>
      <c r="J61" t="s">
        <v>3</v>
      </c>
      <c r="K61" t="s">
        <v>519</v>
      </c>
      <c r="L61">
        <v>1348</v>
      </c>
      <c r="N61">
        <v>1009</v>
      </c>
      <c r="O61" t="s">
        <v>101</v>
      </c>
      <c r="P61" t="s">
        <v>101</v>
      </c>
      <c r="Q61">
        <v>1000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 t="s">
        <v>3</v>
      </c>
      <c r="AG61">
        <v>0</v>
      </c>
      <c r="AH61">
        <v>3</v>
      </c>
      <c r="AI61">
        <v>-1</v>
      </c>
      <c r="AJ61" t="s">
        <v>3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</row>
    <row r="62" spans="1:44" x14ac:dyDescent="0.2">
      <c r="A62">
        <f>ROW(Source!A93)</f>
        <v>93</v>
      </c>
      <c r="B62">
        <v>52431539</v>
      </c>
      <c r="C62">
        <v>52431537</v>
      </c>
      <c r="D62">
        <v>51848379</v>
      </c>
      <c r="E62">
        <v>27</v>
      </c>
      <c r="F62">
        <v>1</v>
      </c>
      <c r="G62">
        <v>27</v>
      </c>
      <c r="H62">
        <v>1</v>
      </c>
      <c r="I62" t="s">
        <v>378</v>
      </c>
      <c r="J62" t="s">
        <v>3</v>
      </c>
      <c r="K62" t="s">
        <v>379</v>
      </c>
      <c r="L62">
        <v>1191</v>
      </c>
      <c r="N62">
        <v>1013</v>
      </c>
      <c r="O62" t="s">
        <v>380</v>
      </c>
      <c r="P62" t="s">
        <v>380</v>
      </c>
      <c r="Q62">
        <v>1</v>
      </c>
      <c r="X62">
        <v>2.66</v>
      </c>
      <c r="Y62">
        <v>0</v>
      </c>
      <c r="Z62">
        <v>0</v>
      </c>
      <c r="AA62">
        <v>0</v>
      </c>
      <c r="AB62">
        <v>0</v>
      </c>
      <c r="AC62">
        <v>0</v>
      </c>
      <c r="AD62">
        <v>1</v>
      </c>
      <c r="AE62">
        <v>1</v>
      </c>
      <c r="AF62" t="s">
        <v>3</v>
      </c>
      <c r="AG62">
        <v>2.66</v>
      </c>
      <c r="AH62">
        <v>2</v>
      </c>
      <c r="AI62">
        <v>52431538</v>
      </c>
      <c r="AJ62">
        <v>65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</row>
    <row r="63" spans="1:44" x14ac:dyDescent="0.2">
      <c r="A63">
        <f>ROW(Source!A94)</f>
        <v>94</v>
      </c>
      <c r="B63">
        <v>52431549</v>
      </c>
      <c r="C63">
        <v>52431540</v>
      </c>
      <c r="D63">
        <v>51848379</v>
      </c>
      <c r="E63">
        <v>27</v>
      </c>
      <c r="F63">
        <v>1</v>
      </c>
      <c r="G63">
        <v>27</v>
      </c>
      <c r="H63">
        <v>1</v>
      </c>
      <c r="I63" t="s">
        <v>378</v>
      </c>
      <c r="J63" t="s">
        <v>3</v>
      </c>
      <c r="K63" t="s">
        <v>379</v>
      </c>
      <c r="L63">
        <v>1191</v>
      </c>
      <c r="N63">
        <v>1013</v>
      </c>
      <c r="O63" t="s">
        <v>380</v>
      </c>
      <c r="P63" t="s">
        <v>380</v>
      </c>
      <c r="Q63">
        <v>1</v>
      </c>
      <c r="X63">
        <v>16.559999999999999</v>
      </c>
      <c r="Y63">
        <v>0</v>
      </c>
      <c r="Z63">
        <v>0</v>
      </c>
      <c r="AA63">
        <v>0</v>
      </c>
      <c r="AB63">
        <v>0</v>
      </c>
      <c r="AC63">
        <v>0</v>
      </c>
      <c r="AD63">
        <v>1</v>
      </c>
      <c r="AE63">
        <v>1</v>
      </c>
      <c r="AF63" t="s">
        <v>3</v>
      </c>
      <c r="AG63">
        <v>16.559999999999999</v>
      </c>
      <c r="AH63">
        <v>2</v>
      </c>
      <c r="AI63">
        <v>52431541</v>
      </c>
      <c r="AJ63">
        <v>66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</row>
    <row r="64" spans="1:44" x14ac:dyDescent="0.2">
      <c r="A64">
        <f>ROW(Source!A94)</f>
        <v>94</v>
      </c>
      <c r="B64">
        <v>52431550</v>
      </c>
      <c r="C64">
        <v>52431540</v>
      </c>
      <c r="D64">
        <v>51864848</v>
      </c>
      <c r="E64">
        <v>1</v>
      </c>
      <c r="F64">
        <v>1</v>
      </c>
      <c r="G64">
        <v>27</v>
      </c>
      <c r="H64">
        <v>2</v>
      </c>
      <c r="I64" t="s">
        <v>387</v>
      </c>
      <c r="J64" t="s">
        <v>388</v>
      </c>
      <c r="K64" t="s">
        <v>389</v>
      </c>
      <c r="L64">
        <v>1368</v>
      </c>
      <c r="N64">
        <v>1011</v>
      </c>
      <c r="O64" t="s">
        <v>84</v>
      </c>
      <c r="P64" t="s">
        <v>84</v>
      </c>
      <c r="Q64">
        <v>1</v>
      </c>
      <c r="X64">
        <v>2.08</v>
      </c>
      <c r="Y64">
        <v>0</v>
      </c>
      <c r="Z64">
        <v>740.94</v>
      </c>
      <c r="AA64">
        <v>413.22</v>
      </c>
      <c r="AB64">
        <v>0</v>
      </c>
      <c r="AC64">
        <v>0</v>
      </c>
      <c r="AD64">
        <v>1</v>
      </c>
      <c r="AE64">
        <v>0</v>
      </c>
      <c r="AF64" t="s">
        <v>3</v>
      </c>
      <c r="AG64">
        <v>2.08</v>
      </c>
      <c r="AH64">
        <v>2</v>
      </c>
      <c r="AI64">
        <v>52431542</v>
      </c>
      <c r="AJ64">
        <v>67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</row>
    <row r="65" spans="1:44" x14ac:dyDescent="0.2">
      <c r="A65">
        <f>ROW(Source!A94)</f>
        <v>94</v>
      </c>
      <c r="B65">
        <v>52431551</v>
      </c>
      <c r="C65">
        <v>52431540</v>
      </c>
      <c r="D65">
        <v>51865003</v>
      </c>
      <c r="E65">
        <v>1</v>
      </c>
      <c r="F65">
        <v>1</v>
      </c>
      <c r="G65">
        <v>27</v>
      </c>
      <c r="H65">
        <v>2</v>
      </c>
      <c r="I65" t="s">
        <v>390</v>
      </c>
      <c r="J65" t="s">
        <v>391</v>
      </c>
      <c r="K65" t="s">
        <v>392</v>
      </c>
      <c r="L65">
        <v>1368</v>
      </c>
      <c r="N65">
        <v>1011</v>
      </c>
      <c r="O65" t="s">
        <v>84</v>
      </c>
      <c r="P65" t="s">
        <v>84</v>
      </c>
      <c r="Q65">
        <v>1</v>
      </c>
      <c r="X65">
        <v>2.08</v>
      </c>
      <c r="Y65">
        <v>0</v>
      </c>
      <c r="Z65">
        <v>430.32</v>
      </c>
      <c r="AA65">
        <v>215.31</v>
      </c>
      <c r="AB65">
        <v>0</v>
      </c>
      <c r="AC65">
        <v>0</v>
      </c>
      <c r="AD65">
        <v>1</v>
      </c>
      <c r="AE65">
        <v>0</v>
      </c>
      <c r="AF65" t="s">
        <v>3</v>
      </c>
      <c r="AG65">
        <v>2.08</v>
      </c>
      <c r="AH65">
        <v>2</v>
      </c>
      <c r="AI65">
        <v>52431543</v>
      </c>
      <c r="AJ65">
        <v>68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</row>
    <row r="66" spans="1:44" x14ac:dyDescent="0.2">
      <c r="A66">
        <f>ROW(Source!A94)</f>
        <v>94</v>
      </c>
      <c r="B66">
        <v>52431552</v>
      </c>
      <c r="C66">
        <v>52431540</v>
      </c>
      <c r="D66">
        <v>51865006</v>
      </c>
      <c r="E66">
        <v>1</v>
      </c>
      <c r="F66">
        <v>1</v>
      </c>
      <c r="G66">
        <v>27</v>
      </c>
      <c r="H66">
        <v>2</v>
      </c>
      <c r="I66" t="s">
        <v>393</v>
      </c>
      <c r="J66" t="s">
        <v>394</v>
      </c>
      <c r="K66" t="s">
        <v>395</v>
      </c>
      <c r="L66">
        <v>1368</v>
      </c>
      <c r="N66">
        <v>1011</v>
      </c>
      <c r="O66" t="s">
        <v>84</v>
      </c>
      <c r="P66" t="s">
        <v>84</v>
      </c>
      <c r="Q66">
        <v>1</v>
      </c>
      <c r="X66">
        <v>0.81</v>
      </c>
      <c r="Y66">
        <v>0</v>
      </c>
      <c r="Z66">
        <v>2020.59</v>
      </c>
      <c r="AA66">
        <v>458.56</v>
      </c>
      <c r="AB66">
        <v>0</v>
      </c>
      <c r="AC66">
        <v>0</v>
      </c>
      <c r="AD66">
        <v>1</v>
      </c>
      <c r="AE66">
        <v>0</v>
      </c>
      <c r="AF66" t="s">
        <v>3</v>
      </c>
      <c r="AG66">
        <v>0.81</v>
      </c>
      <c r="AH66">
        <v>2</v>
      </c>
      <c r="AI66">
        <v>52431544</v>
      </c>
      <c r="AJ66">
        <v>69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</row>
    <row r="67" spans="1:44" x14ac:dyDescent="0.2">
      <c r="A67">
        <f>ROW(Source!A94)</f>
        <v>94</v>
      </c>
      <c r="B67">
        <v>52431553</v>
      </c>
      <c r="C67">
        <v>52431540</v>
      </c>
      <c r="D67">
        <v>51865030</v>
      </c>
      <c r="E67">
        <v>1</v>
      </c>
      <c r="F67">
        <v>1</v>
      </c>
      <c r="G67">
        <v>27</v>
      </c>
      <c r="H67">
        <v>2</v>
      </c>
      <c r="I67" t="s">
        <v>396</v>
      </c>
      <c r="J67" t="s">
        <v>397</v>
      </c>
      <c r="K67" t="s">
        <v>398</v>
      </c>
      <c r="L67">
        <v>1368</v>
      </c>
      <c r="N67">
        <v>1011</v>
      </c>
      <c r="O67" t="s">
        <v>84</v>
      </c>
      <c r="P67" t="s">
        <v>84</v>
      </c>
      <c r="Q67">
        <v>1</v>
      </c>
      <c r="X67">
        <v>1.94</v>
      </c>
      <c r="Y67">
        <v>0</v>
      </c>
      <c r="Z67">
        <v>1412.71</v>
      </c>
      <c r="AA67">
        <v>641.32000000000005</v>
      </c>
      <c r="AB67">
        <v>0</v>
      </c>
      <c r="AC67">
        <v>0</v>
      </c>
      <c r="AD67">
        <v>1</v>
      </c>
      <c r="AE67">
        <v>0</v>
      </c>
      <c r="AF67" t="s">
        <v>3</v>
      </c>
      <c r="AG67">
        <v>1.94</v>
      </c>
      <c r="AH67">
        <v>2</v>
      </c>
      <c r="AI67">
        <v>52431545</v>
      </c>
      <c r="AJ67">
        <v>70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</row>
    <row r="68" spans="1:44" x14ac:dyDescent="0.2">
      <c r="A68">
        <f>ROW(Source!A94)</f>
        <v>94</v>
      </c>
      <c r="B68">
        <v>52431554</v>
      </c>
      <c r="C68">
        <v>52431540</v>
      </c>
      <c r="D68">
        <v>51864996</v>
      </c>
      <c r="E68">
        <v>1</v>
      </c>
      <c r="F68">
        <v>1</v>
      </c>
      <c r="G68">
        <v>27</v>
      </c>
      <c r="H68">
        <v>2</v>
      </c>
      <c r="I68" t="s">
        <v>399</v>
      </c>
      <c r="J68" t="s">
        <v>400</v>
      </c>
      <c r="K68" t="s">
        <v>401</v>
      </c>
      <c r="L68">
        <v>1368</v>
      </c>
      <c r="N68">
        <v>1011</v>
      </c>
      <c r="O68" t="s">
        <v>84</v>
      </c>
      <c r="P68" t="s">
        <v>84</v>
      </c>
      <c r="Q68">
        <v>1</v>
      </c>
      <c r="X68">
        <v>0.65</v>
      </c>
      <c r="Y68">
        <v>0</v>
      </c>
      <c r="Z68">
        <v>1213.3399999999999</v>
      </c>
      <c r="AA68">
        <v>461.6</v>
      </c>
      <c r="AB68">
        <v>0</v>
      </c>
      <c r="AC68">
        <v>0</v>
      </c>
      <c r="AD68">
        <v>1</v>
      </c>
      <c r="AE68">
        <v>0</v>
      </c>
      <c r="AF68" t="s">
        <v>3</v>
      </c>
      <c r="AG68">
        <v>0.65</v>
      </c>
      <c r="AH68">
        <v>2</v>
      </c>
      <c r="AI68">
        <v>52431546</v>
      </c>
      <c r="AJ68">
        <v>71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</row>
    <row r="69" spans="1:44" x14ac:dyDescent="0.2">
      <c r="A69">
        <f>ROW(Source!A94)</f>
        <v>94</v>
      </c>
      <c r="B69">
        <v>52431555</v>
      </c>
      <c r="C69">
        <v>52431540</v>
      </c>
      <c r="D69">
        <v>51866959</v>
      </c>
      <c r="E69">
        <v>1</v>
      </c>
      <c r="F69">
        <v>1</v>
      </c>
      <c r="G69">
        <v>27</v>
      </c>
      <c r="H69">
        <v>3</v>
      </c>
      <c r="I69" t="s">
        <v>402</v>
      </c>
      <c r="J69" t="s">
        <v>403</v>
      </c>
      <c r="K69" t="s">
        <v>404</v>
      </c>
      <c r="L69">
        <v>1339</v>
      </c>
      <c r="N69">
        <v>1007</v>
      </c>
      <c r="O69" t="s">
        <v>28</v>
      </c>
      <c r="P69" t="s">
        <v>28</v>
      </c>
      <c r="Q69">
        <v>1</v>
      </c>
      <c r="X69">
        <v>110</v>
      </c>
      <c r="Y69">
        <v>590.78</v>
      </c>
      <c r="Z69">
        <v>0</v>
      </c>
      <c r="AA69">
        <v>0</v>
      </c>
      <c r="AB69">
        <v>0</v>
      </c>
      <c r="AC69">
        <v>0</v>
      </c>
      <c r="AD69">
        <v>1</v>
      </c>
      <c r="AE69">
        <v>0</v>
      </c>
      <c r="AF69" t="s">
        <v>3</v>
      </c>
      <c r="AG69">
        <v>110</v>
      </c>
      <c r="AH69">
        <v>2</v>
      </c>
      <c r="AI69">
        <v>52431547</v>
      </c>
      <c r="AJ69">
        <v>72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</row>
    <row r="70" spans="1:44" x14ac:dyDescent="0.2">
      <c r="A70">
        <f>ROW(Source!A94)</f>
        <v>94</v>
      </c>
      <c r="B70">
        <v>52431556</v>
      </c>
      <c r="C70">
        <v>52431540</v>
      </c>
      <c r="D70">
        <v>51867705</v>
      </c>
      <c r="E70">
        <v>1</v>
      </c>
      <c r="F70">
        <v>1</v>
      </c>
      <c r="G70">
        <v>27</v>
      </c>
      <c r="H70">
        <v>3</v>
      </c>
      <c r="I70" t="s">
        <v>405</v>
      </c>
      <c r="J70" t="s">
        <v>406</v>
      </c>
      <c r="K70" t="s">
        <v>407</v>
      </c>
      <c r="L70">
        <v>1339</v>
      </c>
      <c r="N70">
        <v>1007</v>
      </c>
      <c r="O70" t="s">
        <v>28</v>
      </c>
      <c r="P70" t="s">
        <v>28</v>
      </c>
      <c r="Q70">
        <v>1</v>
      </c>
      <c r="X70">
        <v>5</v>
      </c>
      <c r="Y70">
        <v>35.25</v>
      </c>
      <c r="Z70">
        <v>0</v>
      </c>
      <c r="AA70">
        <v>0</v>
      </c>
      <c r="AB70">
        <v>0</v>
      </c>
      <c r="AC70">
        <v>0</v>
      </c>
      <c r="AD70">
        <v>1</v>
      </c>
      <c r="AE70">
        <v>0</v>
      </c>
      <c r="AF70" t="s">
        <v>3</v>
      </c>
      <c r="AG70">
        <v>5</v>
      </c>
      <c r="AH70">
        <v>2</v>
      </c>
      <c r="AI70">
        <v>52431548</v>
      </c>
      <c r="AJ70">
        <v>73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</row>
    <row r="71" spans="1:44" x14ac:dyDescent="0.2">
      <c r="A71">
        <f>ROW(Source!A95)</f>
        <v>95</v>
      </c>
      <c r="B71">
        <v>52431564</v>
      </c>
      <c r="C71">
        <v>52431557</v>
      </c>
      <c r="D71">
        <v>51848379</v>
      </c>
      <c r="E71">
        <v>27</v>
      </c>
      <c r="F71">
        <v>1</v>
      </c>
      <c r="G71">
        <v>27</v>
      </c>
      <c r="H71">
        <v>1</v>
      </c>
      <c r="I71" t="s">
        <v>378</v>
      </c>
      <c r="J71" t="s">
        <v>3</v>
      </c>
      <c r="K71" t="s">
        <v>379</v>
      </c>
      <c r="L71">
        <v>1191</v>
      </c>
      <c r="N71">
        <v>1013</v>
      </c>
      <c r="O71" t="s">
        <v>380</v>
      </c>
      <c r="P71" t="s">
        <v>380</v>
      </c>
      <c r="Q71">
        <v>1</v>
      </c>
      <c r="X71">
        <v>27.94</v>
      </c>
      <c r="Y71">
        <v>0</v>
      </c>
      <c r="Z71">
        <v>0</v>
      </c>
      <c r="AA71">
        <v>0</v>
      </c>
      <c r="AB71">
        <v>0</v>
      </c>
      <c r="AC71">
        <v>0</v>
      </c>
      <c r="AD71">
        <v>1</v>
      </c>
      <c r="AE71">
        <v>1</v>
      </c>
      <c r="AF71" t="s">
        <v>3</v>
      </c>
      <c r="AG71">
        <v>27.94</v>
      </c>
      <c r="AH71">
        <v>2</v>
      </c>
      <c r="AI71">
        <v>52431558</v>
      </c>
      <c r="AJ71">
        <v>74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</row>
    <row r="72" spans="1:44" x14ac:dyDescent="0.2">
      <c r="A72">
        <f>ROW(Source!A95)</f>
        <v>95</v>
      </c>
      <c r="B72">
        <v>52431565</v>
      </c>
      <c r="C72">
        <v>52431557</v>
      </c>
      <c r="D72">
        <v>51865006</v>
      </c>
      <c r="E72">
        <v>1</v>
      </c>
      <c r="F72">
        <v>1</v>
      </c>
      <c r="G72">
        <v>27</v>
      </c>
      <c r="H72">
        <v>2</v>
      </c>
      <c r="I72" t="s">
        <v>393</v>
      </c>
      <c r="J72" t="s">
        <v>394</v>
      </c>
      <c r="K72" t="s">
        <v>395</v>
      </c>
      <c r="L72">
        <v>1368</v>
      </c>
      <c r="N72">
        <v>1011</v>
      </c>
      <c r="O72" t="s">
        <v>84</v>
      </c>
      <c r="P72" t="s">
        <v>84</v>
      </c>
      <c r="Q72">
        <v>1</v>
      </c>
      <c r="X72">
        <v>0.59</v>
      </c>
      <c r="Y72">
        <v>0</v>
      </c>
      <c r="Z72">
        <v>2020.59</v>
      </c>
      <c r="AA72">
        <v>458.56</v>
      </c>
      <c r="AB72">
        <v>0</v>
      </c>
      <c r="AC72">
        <v>0</v>
      </c>
      <c r="AD72">
        <v>1</v>
      </c>
      <c r="AE72">
        <v>0</v>
      </c>
      <c r="AF72" t="s">
        <v>3</v>
      </c>
      <c r="AG72">
        <v>0.59</v>
      </c>
      <c r="AH72">
        <v>2</v>
      </c>
      <c r="AI72">
        <v>52431559</v>
      </c>
      <c r="AJ72">
        <v>75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</row>
    <row r="73" spans="1:44" x14ac:dyDescent="0.2">
      <c r="A73">
        <f>ROW(Source!A95)</f>
        <v>95</v>
      </c>
      <c r="B73">
        <v>52431566</v>
      </c>
      <c r="C73">
        <v>52431557</v>
      </c>
      <c r="D73">
        <v>51864991</v>
      </c>
      <c r="E73">
        <v>1</v>
      </c>
      <c r="F73">
        <v>1</v>
      </c>
      <c r="G73">
        <v>27</v>
      </c>
      <c r="H73">
        <v>2</v>
      </c>
      <c r="I73" t="s">
        <v>408</v>
      </c>
      <c r="J73" t="s">
        <v>409</v>
      </c>
      <c r="K73" t="s">
        <v>410</v>
      </c>
      <c r="L73">
        <v>1368</v>
      </c>
      <c r="N73">
        <v>1011</v>
      </c>
      <c r="O73" t="s">
        <v>84</v>
      </c>
      <c r="P73" t="s">
        <v>84</v>
      </c>
      <c r="Q73">
        <v>1</v>
      </c>
      <c r="X73">
        <v>1.62</v>
      </c>
      <c r="Y73">
        <v>0</v>
      </c>
      <c r="Z73">
        <v>1261.8699999999999</v>
      </c>
      <c r="AA73">
        <v>530.02</v>
      </c>
      <c r="AB73">
        <v>0</v>
      </c>
      <c r="AC73">
        <v>0</v>
      </c>
      <c r="AD73">
        <v>1</v>
      </c>
      <c r="AE73">
        <v>0</v>
      </c>
      <c r="AF73" t="s">
        <v>3</v>
      </c>
      <c r="AG73">
        <v>1.62</v>
      </c>
      <c r="AH73">
        <v>2</v>
      </c>
      <c r="AI73">
        <v>52431560</v>
      </c>
      <c r="AJ73">
        <v>76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</row>
    <row r="74" spans="1:44" x14ac:dyDescent="0.2">
      <c r="A74">
        <f>ROW(Source!A95)</f>
        <v>95</v>
      </c>
      <c r="B74">
        <v>52431567</v>
      </c>
      <c r="C74">
        <v>52431557</v>
      </c>
      <c r="D74">
        <v>51866999</v>
      </c>
      <c r="E74">
        <v>1</v>
      </c>
      <c r="F74">
        <v>1</v>
      </c>
      <c r="G74">
        <v>27</v>
      </c>
      <c r="H74">
        <v>3</v>
      </c>
      <c r="I74" t="s">
        <v>45</v>
      </c>
      <c r="J74" t="s">
        <v>47</v>
      </c>
      <c r="K74" t="s">
        <v>46</v>
      </c>
      <c r="L74">
        <v>1339</v>
      </c>
      <c r="N74">
        <v>1007</v>
      </c>
      <c r="O74" t="s">
        <v>28</v>
      </c>
      <c r="P74" t="s">
        <v>28</v>
      </c>
      <c r="Q74">
        <v>1</v>
      </c>
      <c r="X74">
        <v>17.399999999999999</v>
      </c>
      <c r="Y74">
        <v>1436.5</v>
      </c>
      <c r="Z74">
        <v>0</v>
      </c>
      <c r="AA74">
        <v>0</v>
      </c>
      <c r="AB74">
        <v>0</v>
      </c>
      <c r="AC74">
        <v>0</v>
      </c>
      <c r="AD74">
        <v>1</v>
      </c>
      <c r="AE74">
        <v>0</v>
      </c>
      <c r="AF74" t="s">
        <v>3</v>
      </c>
      <c r="AG74">
        <v>17.399999999999999</v>
      </c>
      <c r="AH74">
        <v>2</v>
      </c>
      <c r="AI74">
        <v>52431562</v>
      </c>
      <c r="AJ74">
        <v>78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</row>
    <row r="75" spans="1:44" x14ac:dyDescent="0.2">
      <c r="A75">
        <f>ROW(Source!A95)</f>
        <v>95</v>
      </c>
      <c r="B75">
        <v>52431568</v>
      </c>
      <c r="C75">
        <v>52431557</v>
      </c>
      <c r="D75">
        <v>51867705</v>
      </c>
      <c r="E75">
        <v>1</v>
      </c>
      <c r="F75">
        <v>1</v>
      </c>
      <c r="G75">
        <v>27</v>
      </c>
      <c r="H75">
        <v>3</v>
      </c>
      <c r="I75" t="s">
        <v>405</v>
      </c>
      <c r="J75" t="s">
        <v>406</v>
      </c>
      <c r="K75" t="s">
        <v>407</v>
      </c>
      <c r="L75">
        <v>1339</v>
      </c>
      <c r="N75">
        <v>1007</v>
      </c>
      <c r="O75" t="s">
        <v>28</v>
      </c>
      <c r="P75" t="s">
        <v>28</v>
      </c>
      <c r="Q75">
        <v>1</v>
      </c>
      <c r="X75">
        <v>2</v>
      </c>
      <c r="Y75">
        <v>35.25</v>
      </c>
      <c r="Z75">
        <v>0</v>
      </c>
      <c r="AA75">
        <v>0</v>
      </c>
      <c r="AB75">
        <v>0</v>
      </c>
      <c r="AC75">
        <v>0</v>
      </c>
      <c r="AD75">
        <v>1</v>
      </c>
      <c r="AE75">
        <v>0</v>
      </c>
      <c r="AF75" t="s">
        <v>3</v>
      </c>
      <c r="AG75">
        <v>2</v>
      </c>
      <c r="AH75">
        <v>2</v>
      </c>
      <c r="AI75">
        <v>52431563</v>
      </c>
      <c r="AJ75">
        <v>79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</row>
    <row r="76" spans="1:44" x14ac:dyDescent="0.2">
      <c r="A76">
        <f>ROW(Source!A98)</f>
        <v>98</v>
      </c>
      <c r="B76">
        <v>52431576</v>
      </c>
      <c r="C76">
        <v>52431571</v>
      </c>
      <c r="D76">
        <v>51848379</v>
      </c>
      <c r="E76">
        <v>27</v>
      </c>
      <c r="F76">
        <v>1</v>
      </c>
      <c r="G76">
        <v>27</v>
      </c>
      <c r="H76">
        <v>1</v>
      </c>
      <c r="I76" t="s">
        <v>378</v>
      </c>
      <c r="J76" t="s">
        <v>3</v>
      </c>
      <c r="K76" t="s">
        <v>379</v>
      </c>
      <c r="L76">
        <v>1191</v>
      </c>
      <c r="N76">
        <v>1013</v>
      </c>
      <c r="O76" t="s">
        <v>380</v>
      </c>
      <c r="P76" t="s">
        <v>380</v>
      </c>
      <c r="Q76">
        <v>1</v>
      </c>
      <c r="X76">
        <v>10.3</v>
      </c>
      <c r="Y76">
        <v>0</v>
      </c>
      <c r="Z76">
        <v>0</v>
      </c>
      <c r="AA76">
        <v>0</v>
      </c>
      <c r="AB76">
        <v>0</v>
      </c>
      <c r="AC76">
        <v>0</v>
      </c>
      <c r="AD76">
        <v>1</v>
      </c>
      <c r="AE76">
        <v>1</v>
      </c>
      <c r="AF76" t="s">
        <v>3</v>
      </c>
      <c r="AG76">
        <v>10.3</v>
      </c>
      <c r="AH76">
        <v>2</v>
      </c>
      <c r="AI76">
        <v>52431572</v>
      </c>
      <c r="AJ76">
        <v>80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</row>
    <row r="77" spans="1:44" x14ac:dyDescent="0.2">
      <c r="A77">
        <f>ROW(Source!A98)</f>
        <v>98</v>
      </c>
      <c r="B77">
        <v>52431577</v>
      </c>
      <c r="C77">
        <v>52431571</v>
      </c>
      <c r="D77">
        <v>51864991</v>
      </c>
      <c r="E77">
        <v>1</v>
      </c>
      <c r="F77">
        <v>1</v>
      </c>
      <c r="G77">
        <v>27</v>
      </c>
      <c r="H77">
        <v>2</v>
      </c>
      <c r="I77" t="s">
        <v>408</v>
      </c>
      <c r="J77" t="s">
        <v>409</v>
      </c>
      <c r="K77" t="s">
        <v>410</v>
      </c>
      <c r="L77">
        <v>1368</v>
      </c>
      <c r="N77">
        <v>1011</v>
      </c>
      <c r="O77" t="s">
        <v>84</v>
      </c>
      <c r="P77" t="s">
        <v>84</v>
      </c>
      <c r="Q77">
        <v>1</v>
      </c>
      <c r="X77">
        <v>0.89</v>
      </c>
      <c r="Y77">
        <v>0</v>
      </c>
      <c r="Z77">
        <v>1261.8699999999999</v>
      </c>
      <c r="AA77">
        <v>530.02</v>
      </c>
      <c r="AB77">
        <v>0</v>
      </c>
      <c r="AC77">
        <v>0</v>
      </c>
      <c r="AD77">
        <v>1</v>
      </c>
      <c r="AE77">
        <v>0</v>
      </c>
      <c r="AF77" t="s">
        <v>3</v>
      </c>
      <c r="AG77">
        <v>0.89</v>
      </c>
      <c r="AH77">
        <v>2</v>
      </c>
      <c r="AI77">
        <v>52431573</v>
      </c>
      <c r="AJ77">
        <v>81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</row>
    <row r="78" spans="1:44" x14ac:dyDescent="0.2">
      <c r="A78">
        <f>ROW(Source!A98)</f>
        <v>98</v>
      </c>
      <c r="B78">
        <v>52431578</v>
      </c>
      <c r="C78">
        <v>52431571</v>
      </c>
      <c r="D78">
        <v>51865798</v>
      </c>
      <c r="E78">
        <v>1</v>
      </c>
      <c r="F78">
        <v>1</v>
      </c>
      <c r="G78">
        <v>27</v>
      </c>
      <c r="H78">
        <v>3</v>
      </c>
      <c r="I78" t="s">
        <v>411</v>
      </c>
      <c r="J78" t="s">
        <v>412</v>
      </c>
      <c r="K78" t="s">
        <v>413</v>
      </c>
      <c r="L78">
        <v>1348</v>
      </c>
      <c r="N78">
        <v>1009</v>
      </c>
      <c r="O78" t="s">
        <v>101</v>
      </c>
      <c r="P78" t="s">
        <v>101</v>
      </c>
      <c r="Q78">
        <v>1000</v>
      </c>
      <c r="X78">
        <v>0.06</v>
      </c>
      <c r="Y78">
        <v>25888.1</v>
      </c>
      <c r="Z78">
        <v>0</v>
      </c>
      <c r="AA78">
        <v>0</v>
      </c>
      <c r="AB78">
        <v>0</v>
      </c>
      <c r="AC78">
        <v>0</v>
      </c>
      <c r="AD78">
        <v>1</v>
      </c>
      <c r="AE78">
        <v>0</v>
      </c>
      <c r="AF78" t="s">
        <v>3</v>
      </c>
      <c r="AG78">
        <v>0.06</v>
      </c>
      <c r="AH78">
        <v>2</v>
      </c>
      <c r="AI78">
        <v>52431574</v>
      </c>
      <c r="AJ78">
        <v>82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</row>
    <row r="79" spans="1:44" x14ac:dyDescent="0.2">
      <c r="A79">
        <f>ROW(Source!A98)</f>
        <v>98</v>
      </c>
      <c r="B79">
        <v>52431579</v>
      </c>
      <c r="C79">
        <v>52431571</v>
      </c>
      <c r="D79">
        <v>51868905</v>
      </c>
      <c r="E79">
        <v>1</v>
      </c>
      <c r="F79">
        <v>1</v>
      </c>
      <c r="G79">
        <v>27</v>
      </c>
      <c r="H79">
        <v>3</v>
      </c>
      <c r="I79" t="s">
        <v>414</v>
      </c>
      <c r="J79" t="s">
        <v>415</v>
      </c>
      <c r="K79" t="s">
        <v>416</v>
      </c>
      <c r="L79">
        <v>1348</v>
      </c>
      <c r="N79">
        <v>1009</v>
      </c>
      <c r="O79" t="s">
        <v>101</v>
      </c>
      <c r="P79" t="s">
        <v>101</v>
      </c>
      <c r="Q79">
        <v>1000</v>
      </c>
      <c r="X79">
        <v>7.14</v>
      </c>
      <c r="Y79">
        <v>2652.04</v>
      </c>
      <c r="Z79">
        <v>0</v>
      </c>
      <c r="AA79">
        <v>0</v>
      </c>
      <c r="AB79">
        <v>0</v>
      </c>
      <c r="AC79">
        <v>0</v>
      </c>
      <c r="AD79">
        <v>1</v>
      </c>
      <c r="AE79">
        <v>0</v>
      </c>
      <c r="AF79" t="s">
        <v>3</v>
      </c>
      <c r="AG79">
        <v>7.14</v>
      </c>
      <c r="AH79">
        <v>2</v>
      </c>
      <c r="AI79">
        <v>52431575</v>
      </c>
      <c r="AJ79">
        <v>83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</row>
    <row r="80" spans="1:44" x14ac:dyDescent="0.2">
      <c r="A80">
        <f>ROW(Source!A99)</f>
        <v>99</v>
      </c>
      <c r="B80">
        <v>52431591</v>
      </c>
      <c r="C80">
        <v>52431580</v>
      </c>
      <c r="D80">
        <v>51848379</v>
      </c>
      <c r="E80">
        <v>27</v>
      </c>
      <c r="F80">
        <v>1</v>
      </c>
      <c r="G80">
        <v>27</v>
      </c>
      <c r="H80">
        <v>1</v>
      </c>
      <c r="I80" t="s">
        <v>378</v>
      </c>
      <c r="J80" t="s">
        <v>3</v>
      </c>
      <c r="K80" t="s">
        <v>379</v>
      </c>
      <c r="L80">
        <v>1191</v>
      </c>
      <c r="N80">
        <v>1013</v>
      </c>
      <c r="O80" t="s">
        <v>380</v>
      </c>
      <c r="P80" t="s">
        <v>380</v>
      </c>
      <c r="Q80">
        <v>1</v>
      </c>
      <c r="X80">
        <v>18.440000000000001</v>
      </c>
      <c r="Y80">
        <v>0</v>
      </c>
      <c r="Z80">
        <v>0</v>
      </c>
      <c r="AA80">
        <v>0</v>
      </c>
      <c r="AB80">
        <v>0</v>
      </c>
      <c r="AC80">
        <v>0</v>
      </c>
      <c r="AD80">
        <v>1</v>
      </c>
      <c r="AE80">
        <v>1</v>
      </c>
      <c r="AF80" t="s">
        <v>3</v>
      </c>
      <c r="AG80">
        <v>18.440000000000001</v>
      </c>
      <c r="AH80">
        <v>2</v>
      </c>
      <c r="AI80">
        <v>52431581</v>
      </c>
      <c r="AJ80">
        <v>84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</row>
    <row r="81" spans="1:44" x14ac:dyDescent="0.2">
      <c r="A81">
        <f>ROW(Source!A99)</f>
        <v>99</v>
      </c>
      <c r="B81">
        <v>52431592</v>
      </c>
      <c r="C81">
        <v>52431580</v>
      </c>
      <c r="D81">
        <v>51865492</v>
      </c>
      <c r="E81">
        <v>1</v>
      </c>
      <c r="F81">
        <v>1</v>
      </c>
      <c r="G81">
        <v>27</v>
      </c>
      <c r="H81">
        <v>2</v>
      </c>
      <c r="I81" t="s">
        <v>417</v>
      </c>
      <c r="J81" t="s">
        <v>418</v>
      </c>
      <c r="K81" t="s">
        <v>419</v>
      </c>
      <c r="L81">
        <v>1368</v>
      </c>
      <c r="N81">
        <v>1011</v>
      </c>
      <c r="O81" t="s">
        <v>84</v>
      </c>
      <c r="P81" t="s">
        <v>84</v>
      </c>
      <c r="Q81">
        <v>1</v>
      </c>
      <c r="X81">
        <v>2.64</v>
      </c>
      <c r="Y81">
        <v>0</v>
      </c>
      <c r="Z81">
        <v>531.41</v>
      </c>
      <c r="AA81">
        <v>373.56</v>
      </c>
      <c r="AB81">
        <v>0</v>
      </c>
      <c r="AC81">
        <v>0</v>
      </c>
      <c r="AD81">
        <v>1</v>
      </c>
      <c r="AE81">
        <v>0</v>
      </c>
      <c r="AF81" t="s">
        <v>3</v>
      </c>
      <c r="AG81">
        <v>2.64</v>
      </c>
      <c r="AH81">
        <v>2</v>
      </c>
      <c r="AI81">
        <v>52431582</v>
      </c>
      <c r="AJ81">
        <v>85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</row>
    <row r="82" spans="1:44" x14ac:dyDescent="0.2">
      <c r="A82">
        <f>ROW(Source!A99)</f>
        <v>99</v>
      </c>
      <c r="B82">
        <v>52431593</v>
      </c>
      <c r="C82">
        <v>52431580</v>
      </c>
      <c r="D82">
        <v>51865715</v>
      </c>
      <c r="E82">
        <v>1</v>
      </c>
      <c r="F82">
        <v>1</v>
      </c>
      <c r="G82">
        <v>27</v>
      </c>
      <c r="H82">
        <v>2</v>
      </c>
      <c r="I82" t="s">
        <v>420</v>
      </c>
      <c r="J82" t="s">
        <v>421</v>
      </c>
      <c r="K82" t="s">
        <v>422</v>
      </c>
      <c r="L82">
        <v>1368</v>
      </c>
      <c r="N82">
        <v>1011</v>
      </c>
      <c r="O82" t="s">
        <v>84</v>
      </c>
      <c r="P82" t="s">
        <v>84</v>
      </c>
      <c r="Q82">
        <v>1</v>
      </c>
      <c r="X82">
        <v>1.18</v>
      </c>
      <c r="Y82">
        <v>0</v>
      </c>
      <c r="Z82">
        <v>7.44</v>
      </c>
      <c r="AA82">
        <v>0.98</v>
      </c>
      <c r="AB82">
        <v>0</v>
      </c>
      <c r="AC82">
        <v>0</v>
      </c>
      <c r="AD82">
        <v>1</v>
      </c>
      <c r="AE82">
        <v>0</v>
      </c>
      <c r="AF82" t="s">
        <v>3</v>
      </c>
      <c r="AG82">
        <v>1.18</v>
      </c>
      <c r="AH82">
        <v>2</v>
      </c>
      <c r="AI82">
        <v>52431583</v>
      </c>
      <c r="AJ82">
        <v>86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</row>
    <row r="83" spans="1:44" x14ac:dyDescent="0.2">
      <c r="A83">
        <f>ROW(Source!A99)</f>
        <v>99</v>
      </c>
      <c r="B83">
        <v>52431594</v>
      </c>
      <c r="C83">
        <v>52431580</v>
      </c>
      <c r="D83">
        <v>51864917</v>
      </c>
      <c r="E83">
        <v>1</v>
      </c>
      <c r="F83">
        <v>1</v>
      </c>
      <c r="G83">
        <v>27</v>
      </c>
      <c r="H83">
        <v>2</v>
      </c>
      <c r="I83" t="s">
        <v>423</v>
      </c>
      <c r="J83" t="s">
        <v>424</v>
      </c>
      <c r="K83" t="s">
        <v>425</v>
      </c>
      <c r="L83">
        <v>1368</v>
      </c>
      <c r="N83">
        <v>1011</v>
      </c>
      <c r="O83" t="s">
        <v>84</v>
      </c>
      <c r="P83" t="s">
        <v>84</v>
      </c>
      <c r="Q83">
        <v>1</v>
      </c>
      <c r="X83">
        <v>0.01</v>
      </c>
      <c r="Y83">
        <v>0</v>
      </c>
      <c r="Z83">
        <v>616.73</v>
      </c>
      <c r="AA83">
        <v>511.29</v>
      </c>
      <c r="AB83">
        <v>0</v>
      </c>
      <c r="AC83">
        <v>0</v>
      </c>
      <c r="AD83">
        <v>1</v>
      </c>
      <c r="AE83">
        <v>0</v>
      </c>
      <c r="AF83" t="s">
        <v>3</v>
      </c>
      <c r="AG83">
        <v>0.01</v>
      </c>
      <c r="AH83">
        <v>2</v>
      </c>
      <c r="AI83">
        <v>52431584</v>
      </c>
      <c r="AJ83">
        <v>87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</row>
    <row r="84" spans="1:44" x14ac:dyDescent="0.2">
      <c r="A84">
        <f>ROW(Source!A99)</f>
        <v>99</v>
      </c>
      <c r="B84">
        <v>52431595</v>
      </c>
      <c r="C84">
        <v>52431580</v>
      </c>
      <c r="D84">
        <v>51865101</v>
      </c>
      <c r="E84">
        <v>1</v>
      </c>
      <c r="F84">
        <v>1</v>
      </c>
      <c r="G84">
        <v>27</v>
      </c>
      <c r="H84">
        <v>2</v>
      </c>
      <c r="I84" t="s">
        <v>426</v>
      </c>
      <c r="J84" t="s">
        <v>427</v>
      </c>
      <c r="K84" t="s">
        <v>428</v>
      </c>
      <c r="L84">
        <v>1368</v>
      </c>
      <c r="N84">
        <v>1011</v>
      </c>
      <c r="O84" t="s">
        <v>84</v>
      </c>
      <c r="P84" t="s">
        <v>84</v>
      </c>
      <c r="Q84">
        <v>1</v>
      </c>
      <c r="X84">
        <v>2.64</v>
      </c>
      <c r="Y84">
        <v>0</v>
      </c>
      <c r="Z84">
        <v>454.31</v>
      </c>
      <c r="AA84">
        <v>405.68</v>
      </c>
      <c r="AB84">
        <v>0</v>
      </c>
      <c r="AC84">
        <v>0</v>
      </c>
      <c r="AD84">
        <v>1</v>
      </c>
      <c r="AE84">
        <v>0</v>
      </c>
      <c r="AF84" t="s">
        <v>3</v>
      </c>
      <c r="AG84">
        <v>2.64</v>
      </c>
      <c r="AH84">
        <v>2</v>
      </c>
      <c r="AI84">
        <v>52431585</v>
      </c>
      <c r="AJ84">
        <v>88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</row>
    <row r="85" spans="1:44" x14ac:dyDescent="0.2">
      <c r="A85">
        <f>ROW(Source!A99)</f>
        <v>99</v>
      </c>
      <c r="B85">
        <v>52431596</v>
      </c>
      <c r="C85">
        <v>52431580</v>
      </c>
      <c r="D85">
        <v>51867926</v>
      </c>
      <c r="E85">
        <v>1</v>
      </c>
      <c r="F85">
        <v>1</v>
      </c>
      <c r="G85">
        <v>27</v>
      </c>
      <c r="H85">
        <v>3</v>
      </c>
      <c r="I85" t="s">
        <v>429</v>
      </c>
      <c r="J85" t="s">
        <v>430</v>
      </c>
      <c r="K85" t="s">
        <v>431</v>
      </c>
      <c r="L85">
        <v>1327</v>
      </c>
      <c r="N85">
        <v>1005</v>
      </c>
      <c r="O85" t="s">
        <v>298</v>
      </c>
      <c r="P85" t="s">
        <v>298</v>
      </c>
      <c r="Q85">
        <v>1</v>
      </c>
      <c r="X85">
        <v>5.6</v>
      </c>
      <c r="Y85">
        <v>12.02</v>
      </c>
      <c r="Z85">
        <v>0</v>
      </c>
      <c r="AA85">
        <v>0</v>
      </c>
      <c r="AB85">
        <v>0</v>
      </c>
      <c r="AC85">
        <v>0</v>
      </c>
      <c r="AD85">
        <v>1</v>
      </c>
      <c r="AE85">
        <v>0</v>
      </c>
      <c r="AF85" t="s">
        <v>3</v>
      </c>
      <c r="AG85">
        <v>5.6</v>
      </c>
      <c r="AH85">
        <v>2</v>
      </c>
      <c r="AI85">
        <v>52431586</v>
      </c>
      <c r="AJ85">
        <v>89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</row>
    <row r="86" spans="1:44" x14ac:dyDescent="0.2">
      <c r="A86">
        <f>ROW(Source!A99)</f>
        <v>99</v>
      </c>
      <c r="B86">
        <v>52431597</v>
      </c>
      <c r="C86">
        <v>52431580</v>
      </c>
      <c r="D86">
        <v>51868013</v>
      </c>
      <c r="E86">
        <v>1</v>
      </c>
      <c r="F86">
        <v>1</v>
      </c>
      <c r="G86">
        <v>27</v>
      </c>
      <c r="H86">
        <v>3</v>
      </c>
      <c r="I86" t="s">
        <v>432</v>
      </c>
      <c r="J86" t="s">
        <v>433</v>
      </c>
      <c r="K86" t="s">
        <v>434</v>
      </c>
      <c r="L86">
        <v>1348</v>
      </c>
      <c r="N86">
        <v>1009</v>
      </c>
      <c r="O86" t="s">
        <v>101</v>
      </c>
      <c r="P86" t="s">
        <v>101</v>
      </c>
      <c r="Q86">
        <v>1000</v>
      </c>
      <c r="X86">
        <v>3.15E-3</v>
      </c>
      <c r="Y86">
        <v>343020.03</v>
      </c>
      <c r="Z86">
        <v>0</v>
      </c>
      <c r="AA86">
        <v>0</v>
      </c>
      <c r="AB86">
        <v>0</v>
      </c>
      <c r="AC86">
        <v>0</v>
      </c>
      <c r="AD86">
        <v>1</v>
      </c>
      <c r="AE86">
        <v>0</v>
      </c>
      <c r="AF86" t="s">
        <v>3</v>
      </c>
      <c r="AG86">
        <v>3.15E-3</v>
      </c>
      <c r="AH86">
        <v>2</v>
      </c>
      <c r="AI86">
        <v>52431587</v>
      </c>
      <c r="AJ86">
        <v>90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</row>
    <row r="87" spans="1:44" x14ac:dyDescent="0.2">
      <c r="A87">
        <f>ROW(Source!A99)</f>
        <v>99</v>
      </c>
      <c r="B87">
        <v>52431598</v>
      </c>
      <c r="C87">
        <v>52431580</v>
      </c>
      <c r="D87">
        <v>51868230</v>
      </c>
      <c r="E87">
        <v>1</v>
      </c>
      <c r="F87">
        <v>1</v>
      </c>
      <c r="G87">
        <v>27</v>
      </c>
      <c r="H87">
        <v>3</v>
      </c>
      <c r="I87" t="s">
        <v>435</v>
      </c>
      <c r="J87" t="s">
        <v>436</v>
      </c>
      <c r="K87" t="s">
        <v>437</v>
      </c>
      <c r="L87">
        <v>1346</v>
      </c>
      <c r="N87">
        <v>1009</v>
      </c>
      <c r="O87" t="s">
        <v>438</v>
      </c>
      <c r="P87" t="s">
        <v>438</v>
      </c>
      <c r="Q87">
        <v>1</v>
      </c>
      <c r="X87">
        <v>735</v>
      </c>
      <c r="Y87">
        <v>17.77</v>
      </c>
      <c r="Z87">
        <v>0</v>
      </c>
      <c r="AA87">
        <v>0</v>
      </c>
      <c r="AB87">
        <v>0</v>
      </c>
      <c r="AC87">
        <v>0</v>
      </c>
      <c r="AD87">
        <v>1</v>
      </c>
      <c r="AE87">
        <v>0</v>
      </c>
      <c r="AF87" t="s">
        <v>3</v>
      </c>
      <c r="AG87">
        <v>735</v>
      </c>
      <c r="AH87">
        <v>2</v>
      </c>
      <c r="AI87">
        <v>52431588</v>
      </c>
      <c r="AJ87">
        <v>91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</row>
    <row r="88" spans="1:44" x14ac:dyDescent="0.2">
      <c r="A88">
        <f>ROW(Source!A99)</f>
        <v>99</v>
      </c>
      <c r="B88">
        <v>52431599</v>
      </c>
      <c r="C88">
        <v>52431580</v>
      </c>
      <c r="D88">
        <v>51868237</v>
      </c>
      <c r="E88">
        <v>1</v>
      </c>
      <c r="F88">
        <v>1</v>
      </c>
      <c r="G88">
        <v>27</v>
      </c>
      <c r="H88">
        <v>3</v>
      </c>
      <c r="I88" t="s">
        <v>439</v>
      </c>
      <c r="J88" t="s">
        <v>440</v>
      </c>
      <c r="K88" t="s">
        <v>441</v>
      </c>
      <c r="L88">
        <v>1346</v>
      </c>
      <c r="N88">
        <v>1009</v>
      </c>
      <c r="O88" t="s">
        <v>438</v>
      </c>
      <c r="P88" t="s">
        <v>438</v>
      </c>
      <c r="Q88">
        <v>1</v>
      </c>
      <c r="X88">
        <v>241.5</v>
      </c>
      <c r="Y88">
        <v>202.34</v>
      </c>
      <c r="Z88">
        <v>0</v>
      </c>
      <c r="AA88">
        <v>0</v>
      </c>
      <c r="AB88">
        <v>0</v>
      </c>
      <c r="AC88">
        <v>0</v>
      </c>
      <c r="AD88">
        <v>1</v>
      </c>
      <c r="AE88">
        <v>0</v>
      </c>
      <c r="AF88" t="s">
        <v>3</v>
      </c>
      <c r="AG88">
        <v>241.5</v>
      </c>
      <c r="AH88">
        <v>2</v>
      </c>
      <c r="AI88">
        <v>52431589</v>
      </c>
      <c r="AJ88">
        <v>92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</row>
    <row r="89" spans="1:44" x14ac:dyDescent="0.2">
      <c r="A89">
        <f>ROW(Source!A99)</f>
        <v>99</v>
      </c>
      <c r="B89">
        <v>52431600</v>
      </c>
      <c r="C89">
        <v>52431580</v>
      </c>
      <c r="D89">
        <v>51866204</v>
      </c>
      <c r="E89">
        <v>1</v>
      </c>
      <c r="F89">
        <v>1</v>
      </c>
      <c r="G89">
        <v>27</v>
      </c>
      <c r="H89">
        <v>3</v>
      </c>
      <c r="I89" t="s">
        <v>442</v>
      </c>
      <c r="J89" t="s">
        <v>443</v>
      </c>
      <c r="K89" t="s">
        <v>444</v>
      </c>
      <c r="L89">
        <v>1348</v>
      </c>
      <c r="N89">
        <v>1009</v>
      </c>
      <c r="O89" t="s">
        <v>101</v>
      </c>
      <c r="P89" t="s">
        <v>101</v>
      </c>
      <c r="Q89">
        <v>1000</v>
      </c>
      <c r="X89">
        <v>5.2499999999999998E-2</v>
      </c>
      <c r="Y89">
        <v>748299.67</v>
      </c>
      <c r="Z89">
        <v>0</v>
      </c>
      <c r="AA89">
        <v>0</v>
      </c>
      <c r="AB89">
        <v>0</v>
      </c>
      <c r="AC89">
        <v>0</v>
      </c>
      <c r="AD89">
        <v>1</v>
      </c>
      <c r="AE89">
        <v>0</v>
      </c>
      <c r="AF89" t="s">
        <v>3</v>
      </c>
      <c r="AG89">
        <v>5.2499999999999998E-2</v>
      </c>
      <c r="AH89">
        <v>2</v>
      </c>
      <c r="AI89">
        <v>52431590</v>
      </c>
      <c r="AJ89">
        <v>93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</row>
    <row r="90" spans="1:44" x14ac:dyDescent="0.2">
      <c r="A90">
        <f>ROW(Source!A100)</f>
        <v>100</v>
      </c>
      <c r="B90">
        <v>52431608</v>
      </c>
      <c r="C90">
        <v>52431601</v>
      </c>
      <c r="D90">
        <v>51848379</v>
      </c>
      <c r="E90">
        <v>27</v>
      </c>
      <c r="F90">
        <v>1</v>
      </c>
      <c r="G90">
        <v>27</v>
      </c>
      <c r="H90">
        <v>1</v>
      </c>
      <c r="I90" t="s">
        <v>378</v>
      </c>
      <c r="J90" t="s">
        <v>3</v>
      </c>
      <c r="K90" t="s">
        <v>379</v>
      </c>
      <c r="L90">
        <v>1191</v>
      </c>
      <c r="N90">
        <v>1013</v>
      </c>
      <c r="O90" t="s">
        <v>380</v>
      </c>
      <c r="P90" t="s">
        <v>380</v>
      </c>
      <c r="Q90">
        <v>1</v>
      </c>
      <c r="X90">
        <v>2.65</v>
      </c>
      <c r="Y90">
        <v>0</v>
      </c>
      <c r="Z90">
        <v>0</v>
      </c>
      <c r="AA90">
        <v>0</v>
      </c>
      <c r="AB90">
        <v>0</v>
      </c>
      <c r="AC90">
        <v>0</v>
      </c>
      <c r="AD90">
        <v>1</v>
      </c>
      <c r="AE90">
        <v>1</v>
      </c>
      <c r="AF90" t="s">
        <v>3</v>
      </c>
      <c r="AG90">
        <v>2.65</v>
      </c>
      <c r="AH90">
        <v>2</v>
      </c>
      <c r="AI90">
        <v>52431602</v>
      </c>
      <c r="AJ90">
        <v>94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</row>
    <row r="91" spans="1:44" x14ac:dyDescent="0.2">
      <c r="A91">
        <f>ROW(Source!A100)</f>
        <v>100</v>
      </c>
      <c r="B91">
        <v>52431609</v>
      </c>
      <c r="C91">
        <v>52431601</v>
      </c>
      <c r="D91">
        <v>51865492</v>
      </c>
      <c r="E91">
        <v>1</v>
      </c>
      <c r="F91">
        <v>1</v>
      </c>
      <c r="G91">
        <v>27</v>
      </c>
      <c r="H91">
        <v>2</v>
      </c>
      <c r="I91" t="s">
        <v>417</v>
      </c>
      <c r="J91" t="s">
        <v>418</v>
      </c>
      <c r="K91" t="s">
        <v>419</v>
      </c>
      <c r="L91">
        <v>1368</v>
      </c>
      <c r="N91">
        <v>1011</v>
      </c>
      <c r="O91" t="s">
        <v>84</v>
      </c>
      <c r="P91" t="s">
        <v>84</v>
      </c>
      <c r="Q91">
        <v>1</v>
      </c>
      <c r="X91">
        <v>0.5</v>
      </c>
      <c r="Y91">
        <v>0</v>
      </c>
      <c r="Z91">
        <v>531.41</v>
      </c>
      <c r="AA91">
        <v>373.56</v>
      </c>
      <c r="AB91">
        <v>0</v>
      </c>
      <c r="AC91">
        <v>0</v>
      </c>
      <c r="AD91">
        <v>1</v>
      </c>
      <c r="AE91">
        <v>0</v>
      </c>
      <c r="AF91" t="s">
        <v>3</v>
      </c>
      <c r="AG91">
        <v>0.5</v>
      </c>
      <c r="AH91">
        <v>2</v>
      </c>
      <c r="AI91">
        <v>52431603</v>
      </c>
      <c r="AJ91">
        <v>95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</row>
    <row r="92" spans="1:44" x14ac:dyDescent="0.2">
      <c r="A92">
        <f>ROW(Source!A100)</f>
        <v>100</v>
      </c>
      <c r="B92">
        <v>52431610</v>
      </c>
      <c r="C92">
        <v>52431601</v>
      </c>
      <c r="D92">
        <v>51865101</v>
      </c>
      <c r="E92">
        <v>1</v>
      </c>
      <c r="F92">
        <v>1</v>
      </c>
      <c r="G92">
        <v>27</v>
      </c>
      <c r="H92">
        <v>2</v>
      </c>
      <c r="I92" t="s">
        <v>426</v>
      </c>
      <c r="J92" t="s">
        <v>427</v>
      </c>
      <c r="K92" t="s">
        <v>428</v>
      </c>
      <c r="L92">
        <v>1368</v>
      </c>
      <c r="N92">
        <v>1011</v>
      </c>
      <c r="O92" t="s">
        <v>84</v>
      </c>
      <c r="P92" t="s">
        <v>84</v>
      </c>
      <c r="Q92">
        <v>1</v>
      </c>
      <c r="X92">
        <v>0.5</v>
      </c>
      <c r="Y92">
        <v>0</v>
      </c>
      <c r="Z92">
        <v>454.31</v>
      </c>
      <c r="AA92">
        <v>405.68</v>
      </c>
      <c r="AB92">
        <v>0</v>
      </c>
      <c r="AC92">
        <v>0</v>
      </c>
      <c r="AD92">
        <v>1</v>
      </c>
      <c r="AE92">
        <v>0</v>
      </c>
      <c r="AF92" t="s">
        <v>3</v>
      </c>
      <c r="AG92">
        <v>0.5</v>
      </c>
      <c r="AH92">
        <v>2</v>
      </c>
      <c r="AI92">
        <v>52431604</v>
      </c>
      <c r="AJ92">
        <v>96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</row>
    <row r="93" spans="1:44" x14ac:dyDescent="0.2">
      <c r="A93">
        <f>ROW(Source!A100)</f>
        <v>100</v>
      </c>
      <c r="B93">
        <v>52431611</v>
      </c>
      <c r="C93">
        <v>52431601</v>
      </c>
      <c r="D93">
        <v>51868230</v>
      </c>
      <c r="E93">
        <v>1</v>
      </c>
      <c r="F93">
        <v>1</v>
      </c>
      <c r="G93">
        <v>27</v>
      </c>
      <c r="H93">
        <v>3</v>
      </c>
      <c r="I93" t="s">
        <v>435</v>
      </c>
      <c r="J93" t="s">
        <v>436</v>
      </c>
      <c r="K93" t="s">
        <v>437</v>
      </c>
      <c r="L93">
        <v>1346</v>
      </c>
      <c r="N93">
        <v>1009</v>
      </c>
      <c r="O93" t="s">
        <v>438</v>
      </c>
      <c r="P93" t="s">
        <v>438</v>
      </c>
      <c r="Q93">
        <v>1</v>
      </c>
      <c r="X93">
        <v>147</v>
      </c>
      <c r="Y93">
        <v>17.77</v>
      </c>
      <c r="Z93">
        <v>0</v>
      </c>
      <c r="AA93">
        <v>0</v>
      </c>
      <c r="AB93">
        <v>0</v>
      </c>
      <c r="AC93">
        <v>0</v>
      </c>
      <c r="AD93">
        <v>1</v>
      </c>
      <c r="AE93">
        <v>0</v>
      </c>
      <c r="AF93" t="s">
        <v>3</v>
      </c>
      <c r="AG93">
        <v>147</v>
      </c>
      <c r="AH93">
        <v>2</v>
      </c>
      <c r="AI93">
        <v>52431605</v>
      </c>
      <c r="AJ93">
        <v>97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</row>
    <row r="94" spans="1:44" x14ac:dyDescent="0.2">
      <c r="A94">
        <f>ROW(Source!A100)</f>
        <v>100</v>
      </c>
      <c r="B94">
        <v>52431612</v>
      </c>
      <c r="C94">
        <v>52431601</v>
      </c>
      <c r="D94">
        <v>51868237</v>
      </c>
      <c r="E94">
        <v>1</v>
      </c>
      <c r="F94">
        <v>1</v>
      </c>
      <c r="G94">
        <v>27</v>
      </c>
      <c r="H94">
        <v>3</v>
      </c>
      <c r="I94" t="s">
        <v>439</v>
      </c>
      <c r="J94" t="s">
        <v>440</v>
      </c>
      <c r="K94" t="s">
        <v>441</v>
      </c>
      <c r="L94">
        <v>1346</v>
      </c>
      <c r="N94">
        <v>1009</v>
      </c>
      <c r="O94" t="s">
        <v>438</v>
      </c>
      <c r="P94" t="s">
        <v>438</v>
      </c>
      <c r="Q94">
        <v>1</v>
      </c>
      <c r="X94">
        <v>42</v>
      </c>
      <c r="Y94">
        <v>202.34</v>
      </c>
      <c r="Z94">
        <v>0</v>
      </c>
      <c r="AA94">
        <v>0</v>
      </c>
      <c r="AB94">
        <v>0</v>
      </c>
      <c r="AC94">
        <v>0</v>
      </c>
      <c r="AD94">
        <v>1</v>
      </c>
      <c r="AE94">
        <v>0</v>
      </c>
      <c r="AF94" t="s">
        <v>3</v>
      </c>
      <c r="AG94">
        <v>42</v>
      </c>
      <c r="AH94">
        <v>2</v>
      </c>
      <c r="AI94">
        <v>52431606</v>
      </c>
      <c r="AJ94">
        <v>98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</row>
    <row r="95" spans="1:44" x14ac:dyDescent="0.2">
      <c r="A95">
        <f>ROW(Source!A100)</f>
        <v>100</v>
      </c>
      <c r="B95">
        <v>52431613</v>
      </c>
      <c r="C95">
        <v>52431601</v>
      </c>
      <c r="D95">
        <v>51866204</v>
      </c>
      <c r="E95">
        <v>1</v>
      </c>
      <c r="F95">
        <v>1</v>
      </c>
      <c r="G95">
        <v>27</v>
      </c>
      <c r="H95">
        <v>3</v>
      </c>
      <c r="I95" t="s">
        <v>442</v>
      </c>
      <c r="J95" t="s">
        <v>443</v>
      </c>
      <c r="K95" t="s">
        <v>444</v>
      </c>
      <c r="L95">
        <v>1348</v>
      </c>
      <c r="N95">
        <v>1009</v>
      </c>
      <c r="O95" t="s">
        <v>101</v>
      </c>
      <c r="P95" t="s">
        <v>101</v>
      </c>
      <c r="Q95">
        <v>1000</v>
      </c>
      <c r="X95">
        <v>1.0500000000000001E-2</v>
      </c>
      <c r="Y95">
        <v>748299.67</v>
      </c>
      <c r="Z95">
        <v>0</v>
      </c>
      <c r="AA95">
        <v>0</v>
      </c>
      <c r="AB95">
        <v>0</v>
      </c>
      <c r="AC95">
        <v>0</v>
      </c>
      <c r="AD95">
        <v>1</v>
      </c>
      <c r="AE95">
        <v>0</v>
      </c>
      <c r="AF95" t="s">
        <v>3</v>
      </c>
      <c r="AG95">
        <v>1.0500000000000001E-2</v>
      </c>
      <c r="AH95">
        <v>2</v>
      </c>
      <c r="AI95">
        <v>52431607</v>
      </c>
      <c r="AJ95">
        <v>99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</row>
    <row r="96" spans="1:44" x14ac:dyDescent="0.2">
      <c r="A96">
        <f>ROW(Source!A101)</f>
        <v>101</v>
      </c>
      <c r="B96">
        <v>52431616</v>
      </c>
      <c r="C96">
        <v>52431614</v>
      </c>
      <c r="D96">
        <v>51848379</v>
      </c>
      <c r="E96">
        <v>27</v>
      </c>
      <c r="F96">
        <v>1</v>
      </c>
      <c r="G96">
        <v>27</v>
      </c>
      <c r="H96">
        <v>1</v>
      </c>
      <c r="I96" t="s">
        <v>378</v>
      </c>
      <c r="J96" t="s">
        <v>3</v>
      </c>
      <c r="K96" t="s">
        <v>379</v>
      </c>
      <c r="L96">
        <v>1191</v>
      </c>
      <c r="N96">
        <v>1013</v>
      </c>
      <c r="O96" t="s">
        <v>380</v>
      </c>
      <c r="P96" t="s">
        <v>380</v>
      </c>
      <c r="Q96">
        <v>1</v>
      </c>
      <c r="X96">
        <v>221.6</v>
      </c>
      <c r="Y96">
        <v>0</v>
      </c>
      <c r="Z96">
        <v>0</v>
      </c>
      <c r="AA96">
        <v>0</v>
      </c>
      <c r="AB96">
        <v>0</v>
      </c>
      <c r="AC96">
        <v>0</v>
      </c>
      <c r="AD96">
        <v>1</v>
      </c>
      <c r="AE96">
        <v>1</v>
      </c>
      <c r="AF96" t="s">
        <v>3</v>
      </c>
      <c r="AG96">
        <v>221.6</v>
      </c>
      <c r="AH96">
        <v>2</v>
      </c>
      <c r="AI96">
        <v>52431615</v>
      </c>
      <c r="AJ96">
        <v>100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</row>
    <row r="97" spans="1:44" x14ac:dyDescent="0.2">
      <c r="A97">
        <f>ROW(Source!A102)</f>
        <v>102</v>
      </c>
      <c r="B97">
        <v>52431626</v>
      </c>
      <c r="C97">
        <v>52431617</v>
      </c>
      <c r="D97">
        <v>51848379</v>
      </c>
      <c r="E97">
        <v>27</v>
      </c>
      <c r="F97">
        <v>1</v>
      </c>
      <c r="G97">
        <v>27</v>
      </c>
      <c r="H97">
        <v>1</v>
      </c>
      <c r="I97" t="s">
        <v>378</v>
      </c>
      <c r="J97" t="s">
        <v>3</v>
      </c>
      <c r="K97" t="s">
        <v>379</v>
      </c>
      <c r="L97">
        <v>1191</v>
      </c>
      <c r="N97">
        <v>1013</v>
      </c>
      <c r="O97" t="s">
        <v>380</v>
      </c>
      <c r="P97" t="s">
        <v>380</v>
      </c>
      <c r="Q97">
        <v>1</v>
      </c>
      <c r="X97">
        <v>16.559999999999999</v>
      </c>
      <c r="Y97">
        <v>0</v>
      </c>
      <c r="Z97">
        <v>0</v>
      </c>
      <c r="AA97">
        <v>0</v>
      </c>
      <c r="AB97">
        <v>0</v>
      </c>
      <c r="AC97">
        <v>0</v>
      </c>
      <c r="AD97">
        <v>1</v>
      </c>
      <c r="AE97">
        <v>1</v>
      </c>
      <c r="AF97" t="s">
        <v>3</v>
      </c>
      <c r="AG97">
        <v>16.559999999999999</v>
      </c>
      <c r="AH97">
        <v>2</v>
      </c>
      <c r="AI97">
        <v>52431618</v>
      </c>
      <c r="AJ97">
        <v>101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</row>
    <row r="98" spans="1:44" x14ac:dyDescent="0.2">
      <c r="A98">
        <f>ROW(Source!A102)</f>
        <v>102</v>
      </c>
      <c r="B98">
        <v>52431627</v>
      </c>
      <c r="C98">
        <v>52431617</v>
      </c>
      <c r="D98">
        <v>51864848</v>
      </c>
      <c r="E98">
        <v>1</v>
      </c>
      <c r="F98">
        <v>1</v>
      </c>
      <c r="G98">
        <v>27</v>
      </c>
      <c r="H98">
        <v>2</v>
      </c>
      <c r="I98" t="s">
        <v>387</v>
      </c>
      <c r="J98" t="s">
        <v>388</v>
      </c>
      <c r="K98" t="s">
        <v>389</v>
      </c>
      <c r="L98">
        <v>1368</v>
      </c>
      <c r="N98">
        <v>1011</v>
      </c>
      <c r="O98" t="s">
        <v>84</v>
      </c>
      <c r="P98" t="s">
        <v>84</v>
      </c>
      <c r="Q98">
        <v>1</v>
      </c>
      <c r="X98">
        <v>2.08</v>
      </c>
      <c r="Y98">
        <v>0</v>
      </c>
      <c r="Z98">
        <v>740.94</v>
      </c>
      <c r="AA98">
        <v>413.22</v>
      </c>
      <c r="AB98">
        <v>0</v>
      </c>
      <c r="AC98">
        <v>0</v>
      </c>
      <c r="AD98">
        <v>1</v>
      </c>
      <c r="AE98">
        <v>0</v>
      </c>
      <c r="AF98" t="s">
        <v>3</v>
      </c>
      <c r="AG98">
        <v>2.08</v>
      </c>
      <c r="AH98">
        <v>2</v>
      </c>
      <c r="AI98">
        <v>52431619</v>
      </c>
      <c r="AJ98">
        <v>102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</row>
    <row r="99" spans="1:44" x14ac:dyDescent="0.2">
      <c r="A99">
        <f>ROW(Source!A102)</f>
        <v>102</v>
      </c>
      <c r="B99">
        <v>52431628</v>
      </c>
      <c r="C99">
        <v>52431617</v>
      </c>
      <c r="D99">
        <v>51865003</v>
      </c>
      <c r="E99">
        <v>1</v>
      </c>
      <c r="F99">
        <v>1</v>
      </c>
      <c r="G99">
        <v>27</v>
      </c>
      <c r="H99">
        <v>2</v>
      </c>
      <c r="I99" t="s">
        <v>390</v>
      </c>
      <c r="J99" t="s">
        <v>391</v>
      </c>
      <c r="K99" t="s">
        <v>392</v>
      </c>
      <c r="L99">
        <v>1368</v>
      </c>
      <c r="N99">
        <v>1011</v>
      </c>
      <c r="O99" t="s">
        <v>84</v>
      </c>
      <c r="P99" t="s">
        <v>84</v>
      </c>
      <c r="Q99">
        <v>1</v>
      </c>
      <c r="X99">
        <v>2.08</v>
      </c>
      <c r="Y99">
        <v>0</v>
      </c>
      <c r="Z99">
        <v>430.32</v>
      </c>
      <c r="AA99">
        <v>215.31</v>
      </c>
      <c r="AB99">
        <v>0</v>
      </c>
      <c r="AC99">
        <v>0</v>
      </c>
      <c r="AD99">
        <v>1</v>
      </c>
      <c r="AE99">
        <v>0</v>
      </c>
      <c r="AF99" t="s">
        <v>3</v>
      </c>
      <c r="AG99">
        <v>2.08</v>
      </c>
      <c r="AH99">
        <v>2</v>
      </c>
      <c r="AI99">
        <v>52431620</v>
      </c>
      <c r="AJ99">
        <v>103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</row>
    <row r="100" spans="1:44" x14ac:dyDescent="0.2">
      <c r="A100">
        <f>ROW(Source!A102)</f>
        <v>102</v>
      </c>
      <c r="B100">
        <v>52431629</v>
      </c>
      <c r="C100">
        <v>52431617</v>
      </c>
      <c r="D100">
        <v>51865006</v>
      </c>
      <c r="E100">
        <v>1</v>
      </c>
      <c r="F100">
        <v>1</v>
      </c>
      <c r="G100">
        <v>27</v>
      </c>
      <c r="H100">
        <v>2</v>
      </c>
      <c r="I100" t="s">
        <v>393</v>
      </c>
      <c r="J100" t="s">
        <v>394</v>
      </c>
      <c r="K100" t="s">
        <v>395</v>
      </c>
      <c r="L100">
        <v>1368</v>
      </c>
      <c r="N100">
        <v>1011</v>
      </c>
      <c r="O100" t="s">
        <v>84</v>
      </c>
      <c r="P100" t="s">
        <v>84</v>
      </c>
      <c r="Q100">
        <v>1</v>
      </c>
      <c r="X100">
        <v>0.81</v>
      </c>
      <c r="Y100">
        <v>0</v>
      </c>
      <c r="Z100">
        <v>2020.59</v>
      </c>
      <c r="AA100">
        <v>458.56</v>
      </c>
      <c r="AB100">
        <v>0</v>
      </c>
      <c r="AC100">
        <v>0</v>
      </c>
      <c r="AD100">
        <v>1</v>
      </c>
      <c r="AE100">
        <v>0</v>
      </c>
      <c r="AF100" t="s">
        <v>3</v>
      </c>
      <c r="AG100">
        <v>0.81</v>
      </c>
      <c r="AH100">
        <v>2</v>
      </c>
      <c r="AI100">
        <v>52431621</v>
      </c>
      <c r="AJ100">
        <v>104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</row>
    <row r="101" spans="1:44" x14ac:dyDescent="0.2">
      <c r="A101">
        <f>ROW(Source!A102)</f>
        <v>102</v>
      </c>
      <c r="B101">
        <v>52431630</v>
      </c>
      <c r="C101">
        <v>52431617</v>
      </c>
      <c r="D101">
        <v>51865030</v>
      </c>
      <c r="E101">
        <v>1</v>
      </c>
      <c r="F101">
        <v>1</v>
      </c>
      <c r="G101">
        <v>27</v>
      </c>
      <c r="H101">
        <v>2</v>
      </c>
      <c r="I101" t="s">
        <v>396</v>
      </c>
      <c r="J101" t="s">
        <v>397</v>
      </c>
      <c r="K101" t="s">
        <v>398</v>
      </c>
      <c r="L101">
        <v>1368</v>
      </c>
      <c r="N101">
        <v>1011</v>
      </c>
      <c r="O101" t="s">
        <v>84</v>
      </c>
      <c r="P101" t="s">
        <v>84</v>
      </c>
      <c r="Q101">
        <v>1</v>
      </c>
      <c r="X101">
        <v>1.94</v>
      </c>
      <c r="Y101">
        <v>0</v>
      </c>
      <c r="Z101">
        <v>1412.71</v>
      </c>
      <c r="AA101">
        <v>641.32000000000005</v>
      </c>
      <c r="AB101">
        <v>0</v>
      </c>
      <c r="AC101">
        <v>0</v>
      </c>
      <c r="AD101">
        <v>1</v>
      </c>
      <c r="AE101">
        <v>0</v>
      </c>
      <c r="AF101" t="s">
        <v>3</v>
      </c>
      <c r="AG101">
        <v>1.94</v>
      </c>
      <c r="AH101">
        <v>2</v>
      </c>
      <c r="AI101">
        <v>52431622</v>
      </c>
      <c r="AJ101">
        <v>105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</row>
    <row r="102" spans="1:44" x14ac:dyDescent="0.2">
      <c r="A102">
        <f>ROW(Source!A102)</f>
        <v>102</v>
      </c>
      <c r="B102">
        <v>52431631</v>
      </c>
      <c r="C102">
        <v>52431617</v>
      </c>
      <c r="D102">
        <v>51864996</v>
      </c>
      <c r="E102">
        <v>1</v>
      </c>
      <c r="F102">
        <v>1</v>
      </c>
      <c r="G102">
        <v>27</v>
      </c>
      <c r="H102">
        <v>2</v>
      </c>
      <c r="I102" t="s">
        <v>399</v>
      </c>
      <c r="J102" t="s">
        <v>400</v>
      </c>
      <c r="K102" t="s">
        <v>401</v>
      </c>
      <c r="L102">
        <v>1368</v>
      </c>
      <c r="N102">
        <v>1011</v>
      </c>
      <c r="O102" t="s">
        <v>84</v>
      </c>
      <c r="P102" t="s">
        <v>84</v>
      </c>
      <c r="Q102">
        <v>1</v>
      </c>
      <c r="X102">
        <v>0.65</v>
      </c>
      <c r="Y102">
        <v>0</v>
      </c>
      <c r="Z102">
        <v>1213.3399999999999</v>
      </c>
      <c r="AA102">
        <v>461.6</v>
      </c>
      <c r="AB102">
        <v>0</v>
      </c>
      <c r="AC102">
        <v>0</v>
      </c>
      <c r="AD102">
        <v>1</v>
      </c>
      <c r="AE102">
        <v>0</v>
      </c>
      <c r="AF102" t="s">
        <v>3</v>
      </c>
      <c r="AG102">
        <v>0.65</v>
      </c>
      <c r="AH102">
        <v>2</v>
      </c>
      <c r="AI102">
        <v>52431623</v>
      </c>
      <c r="AJ102">
        <v>106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</row>
    <row r="103" spans="1:44" x14ac:dyDescent="0.2">
      <c r="A103">
        <f>ROW(Source!A102)</f>
        <v>102</v>
      </c>
      <c r="B103">
        <v>52431632</v>
      </c>
      <c r="C103">
        <v>52431617</v>
      </c>
      <c r="D103">
        <v>51866959</v>
      </c>
      <c r="E103">
        <v>1</v>
      </c>
      <c r="F103">
        <v>1</v>
      </c>
      <c r="G103">
        <v>27</v>
      </c>
      <c r="H103">
        <v>3</v>
      </c>
      <c r="I103" t="s">
        <v>402</v>
      </c>
      <c r="J103" t="s">
        <v>403</v>
      </c>
      <c r="K103" t="s">
        <v>404</v>
      </c>
      <c r="L103">
        <v>1339</v>
      </c>
      <c r="N103">
        <v>1007</v>
      </c>
      <c r="O103" t="s">
        <v>28</v>
      </c>
      <c r="P103" t="s">
        <v>28</v>
      </c>
      <c r="Q103">
        <v>1</v>
      </c>
      <c r="X103">
        <v>110</v>
      </c>
      <c r="Y103">
        <v>590.78</v>
      </c>
      <c r="Z103">
        <v>0</v>
      </c>
      <c r="AA103">
        <v>0</v>
      </c>
      <c r="AB103">
        <v>0</v>
      </c>
      <c r="AC103">
        <v>0</v>
      </c>
      <c r="AD103">
        <v>1</v>
      </c>
      <c r="AE103">
        <v>0</v>
      </c>
      <c r="AF103" t="s">
        <v>3</v>
      </c>
      <c r="AG103">
        <v>110</v>
      </c>
      <c r="AH103">
        <v>2</v>
      </c>
      <c r="AI103">
        <v>52431624</v>
      </c>
      <c r="AJ103">
        <v>107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</row>
    <row r="104" spans="1:44" x14ac:dyDescent="0.2">
      <c r="A104">
        <f>ROW(Source!A102)</f>
        <v>102</v>
      </c>
      <c r="B104">
        <v>52431633</v>
      </c>
      <c r="C104">
        <v>52431617</v>
      </c>
      <c r="D104">
        <v>51867705</v>
      </c>
      <c r="E104">
        <v>1</v>
      </c>
      <c r="F104">
        <v>1</v>
      </c>
      <c r="G104">
        <v>27</v>
      </c>
      <c r="H104">
        <v>3</v>
      </c>
      <c r="I104" t="s">
        <v>405</v>
      </c>
      <c r="J104" t="s">
        <v>406</v>
      </c>
      <c r="K104" t="s">
        <v>407</v>
      </c>
      <c r="L104">
        <v>1339</v>
      </c>
      <c r="N104">
        <v>1007</v>
      </c>
      <c r="O104" t="s">
        <v>28</v>
      </c>
      <c r="P104" t="s">
        <v>28</v>
      </c>
      <c r="Q104">
        <v>1</v>
      </c>
      <c r="X104">
        <v>5</v>
      </c>
      <c r="Y104">
        <v>35.25</v>
      </c>
      <c r="Z104">
        <v>0</v>
      </c>
      <c r="AA104">
        <v>0</v>
      </c>
      <c r="AB104">
        <v>0</v>
      </c>
      <c r="AC104">
        <v>0</v>
      </c>
      <c r="AD104">
        <v>1</v>
      </c>
      <c r="AE104">
        <v>0</v>
      </c>
      <c r="AF104" t="s">
        <v>3</v>
      </c>
      <c r="AG104">
        <v>5</v>
      </c>
      <c r="AH104">
        <v>2</v>
      </c>
      <c r="AI104">
        <v>52431625</v>
      </c>
      <c r="AJ104">
        <v>108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</row>
    <row r="105" spans="1:44" x14ac:dyDescent="0.2">
      <c r="A105">
        <f>ROW(Source!A103)</f>
        <v>103</v>
      </c>
      <c r="B105">
        <v>52431640</v>
      </c>
      <c r="C105">
        <v>52431634</v>
      </c>
      <c r="D105">
        <v>51848379</v>
      </c>
      <c r="E105">
        <v>27</v>
      </c>
      <c r="F105">
        <v>1</v>
      </c>
      <c r="G105">
        <v>27</v>
      </c>
      <c r="H105">
        <v>1</v>
      </c>
      <c r="I105" t="s">
        <v>378</v>
      </c>
      <c r="J105" t="s">
        <v>3</v>
      </c>
      <c r="K105" t="s">
        <v>379</v>
      </c>
      <c r="L105">
        <v>1191</v>
      </c>
      <c r="N105">
        <v>1013</v>
      </c>
      <c r="O105" t="s">
        <v>380</v>
      </c>
      <c r="P105" t="s">
        <v>380</v>
      </c>
      <c r="Q105">
        <v>1</v>
      </c>
      <c r="X105">
        <v>72.95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1</v>
      </c>
      <c r="AE105">
        <v>1</v>
      </c>
      <c r="AF105" t="s">
        <v>3</v>
      </c>
      <c r="AG105">
        <v>72.95</v>
      </c>
      <c r="AH105">
        <v>2</v>
      </c>
      <c r="AI105">
        <v>52431635</v>
      </c>
      <c r="AJ105">
        <v>109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</row>
    <row r="106" spans="1:44" x14ac:dyDescent="0.2">
      <c r="A106">
        <f>ROW(Source!A103)</f>
        <v>103</v>
      </c>
      <c r="B106">
        <v>52431641</v>
      </c>
      <c r="C106">
        <v>52431634</v>
      </c>
      <c r="D106">
        <v>51864920</v>
      </c>
      <c r="E106">
        <v>1</v>
      </c>
      <c r="F106">
        <v>1</v>
      </c>
      <c r="G106">
        <v>27</v>
      </c>
      <c r="H106">
        <v>2</v>
      </c>
      <c r="I106" t="s">
        <v>445</v>
      </c>
      <c r="J106" t="s">
        <v>446</v>
      </c>
      <c r="K106" t="s">
        <v>447</v>
      </c>
      <c r="L106">
        <v>1368</v>
      </c>
      <c r="N106">
        <v>1011</v>
      </c>
      <c r="O106" t="s">
        <v>84</v>
      </c>
      <c r="P106" t="s">
        <v>84</v>
      </c>
      <c r="Q106">
        <v>1</v>
      </c>
      <c r="X106">
        <v>0.26</v>
      </c>
      <c r="Y106">
        <v>0</v>
      </c>
      <c r="Z106">
        <v>683.9</v>
      </c>
      <c r="AA106">
        <v>371.27</v>
      </c>
      <c r="AB106">
        <v>0</v>
      </c>
      <c r="AC106">
        <v>0</v>
      </c>
      <c r="AD106">
        <v>1</v>
      </c>
      <c r="AE106">
        <v>0</v>
      </c>
      <c r="AF106" t="s">
        <v>3</v>
      </c>
      <c r="AG106">
        <v>0.26</v>
      </c>
      <c r="AH106">
        <v>2</v>
      </c>
      <c r="AI106">
        <v>52431636</v>
      </c>
      <c r="AJ106">
        <v>110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</row>
    <row r="107" spans="1:44" x14ac:dyDescent="0.2">
      <c r="A107">
        <f>ROW(Source!A103)</f>
        <v>103</v>
      </c>
      <c r="B107">
        <v>52431642</v>
      </c>
      <c r="C107">
        <v>52431634</v>
      </c>
      <c r="D107">
        <v>51868676</v>
      </c>
      <c r="E107">
        <v>1</v>
      </c>
      <c r="F107">
        <v>1</v>
      </c>
      <c r="G107">
        <v>27</v>
      </c>
      <c r="H107">
        <v>3</v>
      </c>
      <c r="I107" t="s">
        <v>448</v>
      </c>
      <c r="J107" t="s">
        <v>449</v>
      </c>
      <c r="K107" t="s">
        <v>450</v>
      </c>
      <c r="L107">
        <v>1339</v>
      </c>
      <c r="N107">
        <v>1007</v>
      </c>
      <c r="O107" t="s">
        <v>28</v>
      </c>
      <c r="P107" t="s">
        <v>28</v>
      </c>
      <c r="Q107">
        <v>1</v>
      </c>
      <c r="X107">
        <v>4.3</v>
      </c>
      <c r="Y107">
        <v>3714.73</v>
      </c>
      <c r="Z107">
        <v>0</v>
      </c>
      <c r="AA107">
        <v>0</v>
      </c>
      <c r="AB107">
        <v>0</v>
      </c>
      <c r="AC107">
        <v>0</v>
      </c>
      <c r="AD107">
        <v>1</v>
      </c>
      <c r="AE107">
        <v>0</v>
      </c>
      <c r="AF107" t="s">
        <v>3</v>
      </c>
      <c r="AG107">
        <v>4.3</v>
      </c>
      <c r="AH107">
        <v>2</v>
      </c>
      <c r="AI107">
        <v>52431637</v>
      </c>
      <c r="AJ107">
        <v>111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</row>
    <row r="108" spans="1:44" x14ac:dyDescent="0.2">
      <c r="A108">
        <f>ROW(Source!A103)</f>
        <v>103</v>
      </c>
      <c r="B108">
        <v>52431643</v>
      </c>
      <c r="C108">
        <v>52431634</v>
      </c>
      <c r="D108">
        <v>51868752</v>
      </c>
      <c r="E108">
        <v>1</v>
      </c>
      <c r="F108">
        <v>1</v>
      </c>
      <c r="G108">
        <v>27</v>
      </c>
      <c r="H108">
        <v>3</v>
      </c>
      <c r="I108" t="s">
        <v>451</v>
      </c>
      <c r="J108" t="s">
        <v>452</v>
      </c>
      <c r="K108" t="s">
        <v>453</v>
      </c>
      <c r="L108">
        <v>1339</v>
      </c>
      <c r="N108">
        <v>1007</v>
      </c>
      <c r="O108" t="s">
        <v>28</v>
      </c>
      <c r="P108" t="s">
        <v>28</v>
      </c>
      <c r="Q108">
        <v>1</v>
      </c>
      <c r="X108">
        <v>0.02</v>
      </c>
      <c r="Y108">
        <v>3392.59</v>
      </c>
      <c r="Z108">
        <v>0</v>
      </c>
      <c r="AA108">
        <v>0</v>
      </c>
      <c r="AB108">
        <v>0</v>
      </c>
      <c r="AC108">
        <v>0</v>
      </c>
      <c r="AD108">
        <v>1</v>
      </c>
      <c r="AE108">
        <v>0</v>
      </c>
      <c r="AF108" t="s">
        <v>3</v>
      </c>
      <c r="AG108">
        <v>0.02</v>
      </c>
      <c r="AH108">
        <v>2</v>
      </c>
      <c r="AI108">
        <v>52431638</v>
      </c>
      <c r="AJ108">
        <v>112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</row>
    <row r="109" spans="1:44" x14ac:dyDescent="0.2">
      <c r="A109">
        <f>ROW(Source!A103)</f>
        <v>103</v>
      </c>
      <c r="B109">
        <v>52431644</v>
      </c>
      <c r="C109">
        <v>52431634</v>
      </c>
      <c r="D109">
        <v>51869488</v>
      </c>
      <c r="E109">
        <v>1</v>
      </c>
      <c r="F109">
        <v>1</v>
      </c>
      <c r="G109">
        <v>27</v>
      </c>
      <c r="H109">
        <v>3</v>
      </c>
      <c r="I109" t="s">
        <v>454</v>
      </c>
      <c r="J109" t="s">
        <v>455</v>
      </c>
      <c r="K109" t="s">
        <v>456</v>
      </c>
      <c r="L109">
        <v>1339</v>
      </c>
      <c r="N109">
        <v>1007</v>
      </c>
      <c r="O109" t="s">
        <v>28</v>
      </c>
      <c r="P109" t="s">
        <v>28</v>
      </c>
      <c r="Q109">
        <v>1</v>
      </c>
      <c r="X109">
        <v>1.6</v>
      </c>
      <c r="Y109">
        <v>11566.57</v>
      </c>
      <c r="Z109">
        <v>0</v>
      </c>
      <c r="AA109">
        <v>0</v>
      </c>
      <c r="AB109">
        <v>0</v>
      </c>
      <c r="AC109">
        <v>0</v>
      </c>
      <c r="AD109">
        <v>1</v>
      </c>
      <c r="AE109">
        <v>0</v>
      </c>
      <c r="AF109" t="s">
        <v>3</v>
      </c>
      <c r="AG109">
        <v>1.6</v>
      </c>
      <c r="AH109">
        <v>2</v>
      </c>
      <c r="AI109">
        <v>52431639</v>
      </c>
      <c r="AJ109">
        <v>113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</row>
    <row r="110" spans="1:44" x14ac:dyDescent="0.2">
      <c r="A110">
        <f>ROW(Source!A104)</f>
        <v>104</v>
      </c>
      <c r="B110">
        <v>52431659</v>
      </c>
      <c r="C110">
        <v>52431645</v>
      </c>
      <c r="D110">
        <v>51848379</v>
      </c>
      <c r="E110">
        <v>27</v>
      </c>
      <c r="F110">
        <v>1</v>
      </c>
      <c r="G110">
        <v>27</v>
      </c>
      <c r="H110">
        <v>1</v>
      </c>
      <c r="I110" t="s">
        <v>378</v>
      </c>
      <c r="J110" t="s">
        <v>3</v>
      </c>
      <c r="K110" t="s">
        <v>379</v>
      </c>
      <c r="L110">
        <v>1191</v>
      </c>
      <c r="N110">
        <v>1013</v>
      </c>
      <c r="O110" t="s">
        <v>380</v>
      </c>
      <c r="P110" t="s">
        <v>380</v>
      </c>
      <c r="Q110">
        <v>1</v>
      </c>
      <c r="X110">
        <v>902.75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1</v>
      </c>
      <c r="AE110">
        <v>1</v>
      </c>
      <c r="AF110" t="s">
        <v>3</v>
      </c>
      <c r="AG110">
        <v>902.75</v>
      </c>
      <c r="AH110">
        <v>2</v>
      </c>
      <c r="AI110">
        <v>52431646</v>
      </c>
      <c r="AJ110">
        <v>114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</row>
    <row r="111" spans="1:44" x14ac:dyDescent="0.2">
      <c r="A111">
        <f>ROW(Source!A104)</f>
        <v>104</v>
      </c>
      <c r="B111">
        <v>52431660</v>
      </c>
      <c r="C111">
        <v>52431645</v>
      </c>
      <c r="D111">
        <v>51864800</v>
      </c>
      <c r="E111">
        <v>1</v>
      </c>
      <c r="F111">
        <v>1</v>
      </c>
      <c r="G111">
        <v>27</v>
      </c>
      <c r="H111">
        <v>2</v>
      </c>
      <c r="I111" t="s">
        <v>91</v>
      </c>
      <c r="J111" t="s">
        <v>93</v>
      </c>
      <c r="K111" t="s">
        <v>92</v>
      </c>
      <c r="L111">
        <v>1368</v>
      </c>
      <c r="N111">
        <v>1011</v>
      </c>
      <c r="O111" t="s">
        <v>84</v>
      </c>
      <c r="P111" t="s">
        <v>84</v>
      </c>
      <c r="Q111">
        <v>1</v>
      </c>
      <c r="X111">
        <v>0.09</v>
      </c>
      <c r="Y111">
        <v>0</v>
      </c>
      <c r="Z111">
        <v>1009.65</v>
      </c>
      <c r="AA111">
        <v>554.42999999999995</v>
      </c>
      <c r="AB111">
        <v>0</v>
      </c>
      <c r="AC111">
        <v>0</v>
      </c>
      <c r="AD111">
        <v>1</v>
      </c>
      <c r="AE111">
        <v>0</v>
      </c>
      <c r="AF111" t="s">
        <v>3</v>
      </c>
      <c r="AG111">
        <v>0.09</v>
      </c>
      <c r="AH111">
        <v>2</v>
      </c>
      <c r="AI111">
        <v>52431647</v>
      </c>
      <c r="AJ111">
        <v>115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</row>
    <row r="112" spans="1:44" x14ac:dyDescent="0.2">
      <c r="A112">
        <f>ROW(Source!A104)</f>
        <v>104</v>
      </c>
      <c r="B112">
        <v>52431661</v>
      </c>
      <c r="C112">
        <v>52431645</v>
      </c>
      <c r="D112">
        <v>51865257</v>
      </c>
      <c r="E112">
        <v>1</v>
      </c>
      <c r="F112">
        <v>1</v>
      </c>
      <c r="G112">
        <v>27</v>
      </c>
      <c r="H112">
        <v>2</v>
      </c>
      <c r="I112" t="s">
        <v>87</v>
      </c>
      <c r="J112" t="s">
        <v>89</v>
      </c>
      <c r="K112" t="s">
        <v>88</v>
      </c>
      <c r="L112">
        <v>1368</v>
      </c>
      <c r="N112">
        <v>1011</v>
      </c>
      <c r="O112" t="s">
        <v>84</v>
      </c>
      <c r="P112" t="s">
        <v>84</v>
      </c>
      <c r="Q112">
        <v>1</v>
      </c>
      <c r="X112">
        <v>14.5</v>
      </c>
      <c r="Y112">
        <v>0</v>
      </c>
      <c r="Z112">
        <v>27.21</v>
      </c>
      <c r="AA112">
        <v>0.13</v>
      </c>
      <c r="AB112">
        <v>0</v>
      </c>
      <c r="AC112">
        <v>0</v>
      </c>
      <c r="AD112">
        <v>1</v>
      </c>
      <c r="AE112">
        <v>0</v>
      </c>
      <c r="AF112" t="s">
        <v>3</v>
      </c>
      <c r="AG112">
        <v>14.5</v>
      </c>
      <c r="AH112">
        <v>2</v>
      </c>
      <c r="AI112">
        <v>52431648</v>
      </c>
      <c r="AJ112">
        <v>116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</row>
    <row r="113" spans="1:44" x14ac:dyDescent="0.2">
      <c r="A113">
        <f>ROW(Source!A104)</f>
        <v>104</v>
      </c>
      <c r="B113">
        <v>52431662</v>
      </c>
      <c r="C113">
        <v>52431645</v>
      </c>
      <c r="D113">
        <v>51865090</v>
      </c>
      <c r="E113">
        <v>1</v>
      </c>
      <c r="F113">
        <v>1</v>
      </c>
      <c r="G113">
        <v>27</v>
      </c>
      <c r="H113">
        <v>2</v>
      </c>
      <c r="I113" t="s">
        <v>82</v>
      </c>
      <c r="J113" t="s">
        <v>85</v>
      </c>
      <c r="K113" t="s">
        <v>83</v>
      </c>
      <c r="L113">
        <v>1368</v>
      </c>
      <c r="N113">
        <v>1011</v>
      </c>
      <c r="O113" t="s">
        <v>84</v>
      </c>
      <c r="P113" t="s">
        <v>84</v>
      </c>
      <c r="Q113">
        <v>1</v>
      </c>
      <c r="X113">
        <v>5.44</v>
      </c>
      <c r="Y113">
        <v>0</v>
      </c>
      <c r="Z113">
        <v>10.82</v>
      </c>
      <c r="AA113">
        <v>2.97</v>
      </c>
      <c r="AB113">
        <v>0</v>
      </c>
      <c r="AC113">
        <v>0</v>
      </c>
      <c r="AD113">
        <v>1</v>
      </c>
      <c r="AE113">
        <v>0</v>
      </c>
      <c r="AF113" t="s">
        <v>3</v>
      </c>
      <c r="AG113">
        <v>5.44</v>
      </c>
      <c r="AH113">
        <v>2</v>
      </c>
      <c r="AI113">
        <v>52431649</v>
      </c>
      <c r="AJ113">
        <v>117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</row>
    <row r="114" spans="1:44" x14ac:dyDescent="0.2">
      <c r="A114">
        <f>ROW(Source!A104)</f>
        <v>104</v>
      </c>
      <c r="B114">
        <v>52431663</v>
      </c>
      <c r="C114">
        <v>52431645</v>
      </c>
      <c r="D114">
        <v>51867612</v>
      </c>
      <c r="E114">
        <v>1</v>
      </c>
      <c r="F114">
        <v>1</v>
      </c>
      <c r="G114">
        <v>27</v>
      </c>
      <c r="H114">
        <v>3</v>
      </c>
      <c r="I114" t="s">
        <v>99</v>
      </c>
      <c r="J114" t="s">
        <v>102</v>
      </c>
      <c r="K114" t="s">
        <v>100</v>
      </c>
      <c r="L114">
        <v>1348</v>
      </c>
      <c r="N114">
        <v>1009</v>
      </c>
      <c r="O114" t="s">
        <v>101</v>
      </c>
      <c r="P114" t="s">
        <v>101</v>
      </c>
      <c r="Q114">
        <v>1000</v>
      </c>
      <c r="X114">
        <v>0.02</v>
      </c>
      <c r="Y114">
        <v>110781.14</v>
      </c>
      <c r="Z114">
        <v>0</v>
      </c>
      <c r="AA114">
        <v>0</v>
      </c>
      <c r="AB114">
        <v>0</v>
      </c>
      <c r="AC114">
        <v>0</v>
      </c>
      <c r="AD114">
        <v>1</v>
      </c>
      <c r="AE114">
        <v>0</v>
      </c>
      <c r="AF114" t="s">
        <v>3</v>
      </c>
      <c r="AG114">
        <v>0.02</v>
      </c>
      <c r="AH114">
        <v>2</v>
      </c>
      <c r="AI114">
        <v>52431650</v>
      </c>
      <c r="AJ114">
        <v>118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</row>
    <row r="115" spans="1:44" x14ac:dyDescent="0.2">
      <c r="A115">
        <f>ROW(Source!A104)</f>
        <v>104</v>
      </c>
      <c r="B115">
        <v>52431664</v>
      </c>
      <c r="C115">
        <v>52431645</v>
      </c>
      <c r="D115">
        <v>51866048</v>
      </c>
      <c r="E115">
        <v>1</v>
      </c>
      <c r="F115">
        <v>1</v>
      </c>
      <c r="G115">
        <v>27</v>
      </c>
      <c r="H115">
        <v>3</v>
      </c>
      <c r="I115" t="s">
        <v>77</v>
      </c>
      <c r="J115" t="s">
        <v>80</v>
      </c>
      <c r="K115" t="s">
        <v>78</v>
      </c>
      <c r="L115">
        <v>1356</v>
      </c>
      <c r="N115">
        <v>1010</v>
      </c>
      <c r="O115" t="s">
        <v>79</v>
      </c>
      <c r="P115" t="s">
        <v>79</v>
      </c>
      <c r="Q115">
        <v>1000</v>
      </c>
      <c r="X115">
        <v>3.6999999999999998E-2</v>
      </c>
      <c r="Y115">
        <v>10419.43</v>
      </c>
      <c r="Z115">
        <v>0</v>
      </c>
      <c r="AA115">
        <v>0</v>
      </c>
      <c r="AB115">
        <v>0</v>
      </c>
      <c r="AC115">
        <v>0</v>
      </c>
      <c r="AD115">
        <v>1</v>
      </c>
      <c r="AE115">
        <v>0</v>
      </c>
      <c r="AF115" t="s">
        <v>3</v>
      </c>
      <c r="AG115">
        <v>3.6999999999999998E-2</v>
      </c>
      <c r="AH115">
        <v>2</v>
      </c>
      <c r="AI115">
        <v>52431651</v>
      </c>
      <c r="AJ115">
        <v>119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</row>
    <row r="116" spans="1:44" x14ac:dyDescent="0.2">
      <c r="A116">
        <f>ROW(Source!A104)</f>
        <v>104</v>
      </c>
      <c r="B116">
        <v>52431665</v>
      </c>
      <c r="C116">
        <v>52431645</v>
      </c>
      <c r="D116">
        <v>51868609</v>
      </c>
      <c r="E116">
        <v>1</v>
      </c>
      <c r="F116">
        <v>1</v>
      </c>
      <c r="G116">
        <v>27</v>
      </c>
      <c r="H116">
        <v>3</v>
      </c>
      <c r="I116" t="s">
        <v>95</v>
      </c>
      <c r="J116" t="s">
        <v>97</v>
      </c>
      <c r="K116" t="s">
        <v>96</v>
      </c>
      <c r="L116">
        <v>1339</v>
      </c>
      <c r="N116">
        <v>1007</v>
      </c>
      <c r="O116" t="s">
        <v>28</v>
      </c>
      <c r="P116" t="s">
        <v>28</v>
      </c>
      <c r="Q116">
        <v>1</v>
      </c>
      <c r="X116">
        <v>5</v>
      </c>
      <c r="Y116">
        <v>3040.38</v>
      </c>
      <c r="Z116">
        <v>0</v>
      </c>
      <c r="AA116">
        <v>0</v>
      </c>
      <c r="AB116">
        <v>0</v>
      </c>
      <c r="AC116">
        <v>0</v>
      </c>
      <c r="AD116">
        <v>1</v>
      </c>
      <c r="AE116">
        <v>0</v>
      </c>
      <c r="AF116" t="s">
        <v>3</v>
      </c>
      <c r="AG116">
        <v>5</v>
      </c>
      <c r="AH116">
        <v>2</v>
      </c>
      <c r="AI116">
        <v>52431652</v>
      </c>
      <c r="AJ116">
        <v>120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</row>
    <row r="117" spans="1:44" x14ac:dyDescent="0.2">
      <c r="A117">
        <f>ROW(Source!A104)</f>
        <v>104</v>
      </c>
      <c r="B117">
        <v>52431666</v>
      </c>
      <c r="C117">
        <v>52431645</v>
      </c>
      <c r="D117">
        <v>51868749</v>
      </c>
      <c r="E117">
        <v>1</v>
      </c>
      <c r="F117">
        <v>1</v>
      </c>
      <c r="G117">
        <v>27</v>
      </c>
      <c r="H117">
        <v>3</v>
      </c>
      <c r="I117" t="s">
        <v>457</v>
      </c>
      <c r="J117" t="s">
        <v>458</v>
      </c>
      <c r="K117" t="s">
        <v>459</v>
      </c>
      <c r="L117">
        <v>1339</v>
      </c>
      <c r="N117">
        <v>1007</v>
      </c>
      <c r="O117" t="s">
        <v>28</v>
      </c>
      <c r="P117" t="s">
        <v>28</v>
      </c>
      <c r="Q117">
        <v>1</v>
      </c>
      <c r="X117">
        <v>1.4999999999999999E-2</v>
      </c>
      <c r="Y117">
        <v>3323.4</v>
      </c>
      <c r="Z117">
        <v>0</v>
      </c>
      <c r="AA117">
        <v>0</v>
      </c>
      <c r="AB117">
        <v>0</v>
      </c>
      <c r="AC117">
        <v>0</v>
      </c>
      <c r="AD117">
        <v>1</v>
      </c>
      <c r="AE117">
        <v>0</v>
      </c>
      <c r="AF117" t="s">
        <v>3</v>
      </c>
      <c r="AG117">
        <v>1.4999999999999999E-2</v>
      </c>
      <c r="AH117">
        <v>2</v>
      </c>
      <c r="AI117">
        <v>52431653</v>
      </c>
      <c r="AJ117">
        <v>121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</row>
    <row r="118" spans="1:44" x14ac:dyDescent="0.2">
      <c r="A118">
        <f>ROW(Source!A104)</f>
        <v>104</v>
      </c>
      <c r="B118">
        <v>52431667</v>
      </c>
      <c r="C118">
        <v>52431645</v>
      </c>
      <c r="D118">
        <v>51848520</v>
      </c>
      <c r="E118">
        <v>27</v>
      </c>
      <c r="F118">
        <v>1</v>
      </c>
      <c r="G118">
        <v>27</v>
      </c>
      <c r="H118">
        <v>3</v>
      </c>
      <c r="I118" t="s">
        <v>516</v>
      </c>
      <c r="J118" t="s">
        <v>3</v>
      </c>
      <c r="K118" t="s">
        <v>517</v>
      </c>
      <c r="L118">
        <v>1354</v>
      </c>
      <c r="N118">
        <v>1010</v>
      </c>
      <c r="O118" t="s">
        <v>106</v>
      </c>
      <c r="P118" t="s">
        <v>106</v>
      </c>
      <c r="Q118">
        <v>1</v>
      </c>
      <c r="X118">
        <v>100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 t="s">
        <v>3</v>
      </c>
      <c r="AG118">
        <v>100</v>
      </c>
      <c r="AH118">
        <v>3</v>
      </c>
      <c r="AI118">
        <v>-1</v>
      </c>
      <c r="AJ118" t="s">
        <v>3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</row>
    <row r="119" spans="1:44" x14ac:dyDescent="0.2">
      <c r="A119">
        <f>ROW(Source!A104)</f>
        <v>104</v>
      </c>
      <c r="B119">
        <v>52431668</v>
      </c>
      <c r="C119">
        <v>52431645</v>
      </c>
      <c r="D119">
        <v>51848525</v>
      </c>
      <c r="E119">
        <v>27</v>
      </c>
      <c r="F119">
        <v>1</v>
      </c>
      <c r="G119">
        <v>27</v>
      </c>
      <c r="H119">
        <v>3</v>
      </c>
      <c r="I119" t="s">
        <v>518</v>
      </c>
      <c r="J119" t="s">
        <v>3</v>
      </c>
      <c r="K119" t="s">
        <v>519</v>
      </c>
      <c r="L119">
        <v>1348</v>
      </c>
      <c r="N119">
        <v>1009</v>
      </c>
      <c r="O119" t="s">
        <v>101</v>
      </c>
      <c r="P119" t="s">
        <v>101</v>
      </c>
      <c r="Q119">
        <v>1000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 t="s">
        <v>3</v>
      </c>
      <c r="AG119">
        <v>0</v>
      </c>
      <c r="AH119">
        <v>3</v>
      </c>
      <c r="AI119">
        <v>-1</v>
      </c>
      <c r="AJ119" t="s">
        <v>3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</row>
    <row r="120" spans="1:44" x14ac:dyDescent="0.2">
      <c r="A120">
        <f>ROW(Source!A151)</f>
        <v>151</v>
      </c>
      <c r="B120">
        <v>52431682</v>
      </c>
      <c r="C120">
        <v>52431680</v>
      </c>
      <c r="D120">
        <v>51848379</v>
      </c>
      <c r="E120">
        <v>27</v>
      </c>
      <c r="F120">
        <v>1</v>
      </c>
      <c r="G120">
        <v>27</v>
      </c>
      <c r="H120">
        <v>1</v>
      </c>
      <c r="I120" t="s">
        <v>378</v>
      </c>
      <c r="J120" t="s">
        <v>3</v>
      </c>
      <c r="K120" t="s">
        <v>379</v>
      </c>
      <c r="L120">
        <v>1191</v>
      </c>
      <c r="N120">
        <v>1013</v>
      </c>
      <c r="O120" t="s">
        <v>380</v>
      </c>
      <c r="P120" t="s">
        <v>380</v>
      </c>
      <c r="Q120">
        <v>1</v>
      </c>
      <c r="X120">
        <v>2.66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1</v>
      </c>
      <c r="AE120">
        <v>1</v>
      </c>
      <c r="AF120" t="s">
        <v>3</v>
      </c>
      <c r="AG120">
        <v>2.66</v>
      </c>
      <c r="AH120">
        <v>2</v>
      </c>
      <c r="AI120">
        <v>52431681</v>
      </c>
      <c r="AJ120">
        <v>127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</row>
    <row r="121" spans="1:44" x14ac:dyDescent="0.2">
      <c r="A121">
        <f>ROW(Source!A152)</f>
        <v>152</v>
      </c>
      <c r="B121">
        <v>52431692</v>
      </c>
      <c r="C121">
        <v>52431683</v>
      </c>
      <c r="D121">
        <v>51848379</v>
      </c>
      <c r="E121">
        <v>27</v>
      </c>
      <c r="F121">
        <v>1</v>
      </c>
      <c r="G121">
        <v>27</v>
      </c>
      <c r="H121">
        <v>1</v>
      </c>
      <c r="I121" t="s">
        <v>378</v>
      </c>
      <c r="J121" t="s">
        <v>3</v>
      </c>
      <c r="K121" t="s">
        <v>379</v>
      </c>
      <c r="L121">
        <v>1191</v>
      </c>
      <c r="N121">
        <v>1013</v>
      </c>
      <c r="O121" t="s">
        <v>380</v>
      </c>
      <c r="P121" t="s">
        <v>380</v>
      </c>
      <c r="Q121">
        <v>1</v>
      </c>
      <c r="X121">
        <v>16.559999999999999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1</v>
      </c>
      <c r="AE121">
        <v>1</v>
      </c>
      <c r="AF121" t="s">
        <v>3</v>
      </c>
      <c r="AG121">
        <v>16.559999999999999</v>
      </c>
      <c r="AH121">
        <v>2</v>
      </c>
      <c r="AI121">
        <v>52431684</v>
      </c>
      <c r="AJ121">
        <v>128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</row>
    <row r="122" spans="1:44" x14ac:dyDescent="0.2">
      <c r="A122">
        <f>ROW(Source!A152)</f>
        <v>152</v>
      </c>
      <c r="B122">
        <v>52431693</v>
      </c>
      <c r="C122">
        <v>52431683</v>
      </c>
      <c r="D122">
        <v>51864848</v>
      </c>
      <c r="E122">
        <v>1</v>
      </c>
      <c r="F122">
        <v>1</v>
      </c>
      <c r="G122">
        <v>27</v>
      </c>
      <c r="H122">
        <v>2</v>
      </c>
      <c r="I122" t="s">
        <v>387</v>
      </c>
      <c r="J122" t="s">
        <v>388</v>
      </c>
      <c r="K122" t="s">
        <v>389</v>
      </c>
      <c r="L122">
        <v>1368</v>
      </c>
      <c r="N122">
        <v>1011</v>
      </c>
      <c r="O122" t="s">
        <v>84</v>
      </c>
      <c r="P122" t="s">
        <v>84</v>
      </c>
      <c r="Q122">
        <v>1</v>
      </c>
      <c r="X122">
        <v>2.08</v>
      </c>
      <c r="Y122">
        <v>0</v>
      </c>
      <c r="Z122">
        <v>740.94</v>
      </c>
      <c r="AA122">
        <v>413.22</v>
      </c>
      <c r="AB122">
        <v>0</v>
      </c>
      <c r="AC122">
        <v>0</v>
      </c>
      <c r="AD122">
        <v>1</v>
      </c>
      <c r="AE122">
        <v>0</v>
      </c>
      <c r="AF122" t="s">
        <v>3</v>
      </c>
      <c r="AG122">
        <v>2.08</v>
      </c>
      <c r="AH122">
        <v>2</v>
      </c>
      <c r="AI122">
        <v>52431685</v>
      </c>
      <c r="AJ122">
        <v>129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</row>
    <row r="123" spans="1:44" x14ac:dyDescent="0.2">
      <c r="A123">
        <f>ROW(Source!A152)</f>
        <v>152</v>
      </c>
      <c r="B123">
        <v>52431694</v>
      </c>
      <c r="C123">
        <v>52431683</v>
      </c>
      <c r="D123">
        <v>51865003</v>
      </c>
      <c r="E123">
        <v>1</v>
      </c>
      <c r="F123">
        <v>1</v>
      </c>
      <c r="G123">
        <v>27</v>
      </c>
      <c r="H123">
        <v>2</v>
      </c>
      <c r="I123" t="s">
        <v>390</v>
      </c>
      <c r="J123" t="s">
        <v>391</v>
      </c>
      <c r="K123" t="s">
        <v>392</v>
      </c>
      <c r="L123">
        <v>1368</v>
      </c>
      <c r="N123">
        <v>1011</v>
      </c>
      <c r="O123" t="s">
        <v>84</v>
      </c>
      <c r="P123" t="s">
        <v>84</v>
      </c>
      <c r="Q123">
        <v>1</v>
      </c>
      <c r="X123">
        <v>2.08</v>
      </c>
      <c r="Y123">
        <v>0</v>
      </c>
      <c r="Z123">
        <v>430.32</v>
      </c>
      <c r="AA123">
        <v>215.31</v>
      </c>
      <c r="AB123">
        <v>0</v>
      </c>
      <c r="AC123">
        <v>0</v>
      </c>
      <c r="AD123">
        <v>1</v>
      </c>
      <c r="AE123">
        <v>0</v>
      </c>
      <c r="AF123" t="s">
        <v>3</v>
      </c>
      <c r="AG123">
        <v>2.08</v>
      </c>
      <c r="AH123">
        <v>2</v>
      </c>
      <c r="AI123">
        <v>52431686</v>
      </c>
      <c r="AJ123">
        <v>130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</row>
    <row r="124" spans="1:44" x14ac:dyDescent="0.2">
      <c r="A124">
        <f>ROW(Source!A152)</f>
        <v>152</v>
      </c>
      <c r="B124">
        <v>52431695</v>
      </c>
      <c r="C124">
        <v>52431683</v>
      </c>
      <c r="D124">
        <v>51865006</v>
      </c>
      <c r="E124">
        <v>1</v>
      </c>
      <c r="F124">
        <v>1</v>
      </c>
      <c r="G124">
        <v>27</v>
      </c>
      <c r="H124">
        <v>2</v>
      </c>
      <c r="I124" t="s">
        <v>393</v>
      </c>
      <c r="J124" t="s">
        <v>394</v>
      </c>
      <c r="K124" t="s">
        <v>395</v>
      </c>
      <c r="L124">
        <v>1368</v>
      </c>
      <c r="N124">
        <v>1011</v>
      </c>
      <c r="O124" t="s">
        <v>84</v>
      </c>
      <c r="P124" t="s">
        <v>84</v>
      </c>
      <c r="Q124">
        <v>1</v>
      </c>
      <c r="X124">
        <v>0.81</v>
      </c>
      <c r="Y124">
        <v>0</v>
      </c>
      <c r="Z124">
        <v>2020.59</v>
      </c>
      <c r="AA124">
        <v>458.56</v>
      </c>
      <c r="AB124">
        <v>0</v>
      </c>
      <c r="AC124">
        <v>0</v>
      </c>
      <c r="AD124">
        <v>1</v>
      </c>
      <c r="AE124">
        <v>0</v>
      </c>
      <c r="AF124" t="s">
        <v>3</v>
      </c>
      <c r="AG124">
        <v>0.81</v>
      </c>
      <c r="AH124">
        <v>2</v>
      </c>
      <c r="AI124">
        <v>52431687</v>
      </c>
      <c r="AJ124">
        <v>131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</row>
    <row r="125" spans="1:44" x14ac:dyDescent="0.2">
      <c r="A125">
        <f>ROW(Source!A152)</f>
        <v>152</v>
      </c>
      <c r="B125">
        <v>52431696</v>
      </c>
      <c r="C125">
        <v>52431683</v>
      </c>
      <c r="D125">
        <v>51865030</v>
      </c>
      <c r="E125">
        <v>1</v>
      </c>
      <c r="F125">
        <v>1</v>
      </c>
      <c r="G125">
        <v>27</v>
      </c>
      <c r="H125">
        <v>2</v>
      </c>
      <c r="I125" t="s">
        <v>396</v>
      </c>
      <c r="J125" t="s">
        <v>397</v>
      </c>
      <c r="K125" t="s">
        <v>398</v>
      </c>
      <c r="L125">
        <v>1368</v>
      </c>
      <c r="N125">
        <v>1011</v>
      </c>
      <c r="O125" t="s">
        <v>84</v>
      </c>
      <c r="P125" t="s">
        <v>84</v>
      </c>
      <c r="Q125">
        <v>1</v>
      </c>
      <c r="X125">
        <v>1.94</v>
      </c>
      <c r="Y125">
        <v>0</v>
      </c>
      <c r="Z125">
        <v>1412.71</v>
      </c>
      <c r="AA125">
        <v>641.32000000000005</v>
      </c>
      <c r="AB125">
        <v>0</v>
      </c>
      <c r="AC125">
        <v>0</v>
      </c>
      <c r="AD125">
        <v>1</v>
      </c>
      <c r="AE125">
        <v>0</v>
      </c>
      <c r="AF125" t="s">
        <v>3</v>
      </c>
      <c r="AG125">
        <v>1.94</v>
      </c>
      <c r="AH125">
        <v>2</v>
      </c>
      <c r="AI125">
        <v>52431688</v>
      </c>
      <c r="AJ125">
        <v>132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</row>
    <row r="126" spans="1:44" x14ac:dyDescent="0.2">
      <c r="A126">
        <f>ROW(Source!A152)</f>
        <v>152</v>
      </c>
      <c r="B126">
        <v>52431697</v>
      </c>
      <c r="C126">
        <v>52431683</v>
      </c>
      <c r="D126">
        <v>51864996</v>
      </c>
      <c r="E126">
        <v>1</v>
      </c>
      <c r="F126">
        <v>1</v>
      </c>
      <c r="G126">
        <v>27</v>
      </c>
      <c r="H126">
        <v>2</v>
      </c>
      <c r="I126" t="s">
        <v>399</v>
      </c>
      <c r="J126" t="s">
        <v>400</v>
      </c>
      <c r="K126" t="s">
        <v>401</v>
      </c>
      <c r="L126">
        <v>1368</v>
      </c>
      <c r="N126">
        <v>1011</v>
      </c>
      <c r="O126" t="s">
        <v>84</v>
      </c>
      <c r="P126" t="s">
        <v>84</v>
      </c>
      <c r="Q126">
        <v>1</v>
      </c>
      <c r="X126">
        <v>0.65</v>
      </c>
      <c r="Y126">
        <v>0</v>
      </c>
      <c r="Z126">
        <v>1213.3399999999999</v>
      </c>
      <c r="AA126">
        <v>461.6</v>
      </c>
      <c r="AB126">
        <v>0</v>
      </c>
      <c r="AC126">
        <v>0</v>
      </c>
      <c r="AD126">
        <v>1</v>
      </c>
      <c r="AE126">
        <v>0</v>
      </c>
      <c r="AF126" t="s">
        <v>3</v>
      </c>
      <c r="AG126">
        <v>0.65</v>
      </c>
      <c r="AH126">
        <v>2</v>
      </c>
      <c r="AI126">
        <v>52431689</v>
      </c>
      <c r="AJ126">
        <v>133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</row>
    <row r="127" spans="1:44" x14ac:dyDescent="0.2">
      <c r="A127">
        <f>ROW(Source!A152)</f>
        <v>152</v>
      </c>
      <c r="B127">
        <v>52431698</v>
      </c>
      <c r="C127">
        <v>52431683</v>
      </c>
      <c r="D127">
        <v>51866959</v>
      </c>
      <c r="E127">
        <v>1</v>
      </c>
      <c r="F127">
        <v>1</v>
      </c>
      <c r="G127">
        <v>27</v>
      </c>
      <c r="H127">
        <v>3</v>
      </c>
      <c r="I127" t="s">
        <v>402</v>
      </c>
      <c r="J127" t="s">
        <v>403</v>
      </c>
      <c r="K127" t="s">
        <v>404</v>
      </c>
      <c r="L127">
        <v>1339</v>
      </c>
      <c r="N127">
        <v>1007</v>
      </c>
      <c r="O127" t="s">
        <v>28</v>
      </c>
      <c r="P127" t="s">
        <v>28</v>
      </c>
      <c r="Q127">
        <v>1</v>
      </c>
      <c r="X127">
        <v>110</v>
      </c>
      <c r="Y127">
        <v>590.78</v>
      </c>
      <c r="Z127">
        <v>0</v>
      </c>
      <c r="AA127">
        <v>0</v>
      </c>
      <c r="AB127">
        <v>0</v>
      </c>
      <c r="AC127">
        <v>0</v>
      </c>
      <c r="AD127">
        <v>1</v>
      </c>
      <c r="AE127">
        <v>0</v>
      </c>
      <c r="AF127" t="s">
        <v>3</v>
      </c>
      <c r="AG127">
        <v>110</v>
      </c>
      <c r="AH127">
        <v>2</v>
      </c>
      <c r="AI127">
        <v>52431690</v>
      </c>
      <c r="AJ127">
        <v>134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</row>
    <row r="128" spans="1:44" x14ac:dyDescent="0.2">
      <c r="A128">
        <f>ROW(Source!A152)</f>
        <v>152</v>
      </c>
      <c r="B128">
        <v>52431699</v>
      </c>
      <c r="C128">
        <v>52431683</v>
      </c>
      <c r="D128">
        <v>51867705</v>
      </c>
      <c r="E128">
        <v>1</v>
      </c>
      <c r="F128">
        <v>1</v>
      </c>
      <c r="G128">
        <v>27</v>
      </c>
      <c r="H128">
        <v>3</v>
      </c>
      <c r="I128" t="s">
        <v>405</v>
      </c>
      <c r="J128" t="s">
        <v>406</v>
      </c>
      <c r="K128" t="s">
        <v>407</v>
      </c>
      <c r="L128">
        <v>1339</v>
      </c>
      <c r="N128">
        <v>1007</v>
      </c>
      <c r="O128" t="s">
        <v>28</v>
      </c>
      <c r="P128" t="s">
        <v>28</v>
      </c>
      <c r="Q128">
        <v>1</v>
      </c>
      <c r="X128">
        <v>5</v>
      </c>
      <c r="Y128">
        <v>35.25</v>
      </c>
      <c r="Z128">
        <v>0</v>
      </c>
      <c r="AA128">
        <v>0</v>
      </c>
      <c r="AB128">
        <v>0</v>
      </c>
      <c r="AC128">
        <v>0</v>
      </c>
      <c r="AD128">
        <v>1</v>
      </c>
      <c r="AE128">
        <v>0</v>
      </c>
      <c r="AF128" t="s">
        <v>3</v>
      </c>
      <c r="AG128">
        <v>5</v>
      </c>
      <c r="AH128">
        <v>2</v>
      </c>
      <c r="AI128">
        <v>52431691</v>
      </c>
      <c r="AJ128">
        <v>135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</row>
    <row r="129" spans="1:44" x14ac:dyDescent="0.2">
      <c r="A129">
        <f>ROW(Source!A153)</f>
        <v>153</v>
      </c>
      <c r="B129">
        <v>52431707</v>
      </c>
      <c r="C129">
        <v>52431700</v>
      </c>
      <c r="D129">
        <v>51848379</v>
      </c>
      <c r="E129">
        <v>27</v>
      </c>
      <c r="F129">
        <v>1</v>
      </c>
      <c r="G129">
        <v>27</v>
      </c>
      <c r="H129">
        <v>1</v>
      </c>
      <c r="I129" t="s">
        <v>378</v>
      </c>
      <c r="J129" t="s">
        <v>3</v>
      </c>
      <c r="K129" t="s">
        <v>379</v>
      </c>
      <c r="L129">
        <v>1191</v>
      </c>
      <c r="N129">
        <v>1013</v>
      </c>
      <c r="O129" t="s">
        <v>380</v>
      </c>
      <c r="P129" t="s">
        <v>380</v>
      </c>
      <c r="Q129">
        <v>1</v>
      </c>
      <c r="X129">
        <v>27.94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1</v>
      </c>
      <c r="AE129">
        <v>1</v>
      </c>
      <c r="AF129" t="s">
        <v>3</v>
      </c>
      <c r="AG129">
        <v>27.94</v>
      </c>
      <c r="AH129">
        <v>2</v>
      </c>
      <c r="AI129">
        <v>52431701</v>
      </c>
      <c r="AJ129">
        <v>136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</row>
    <row r="130" spans="1:44" x14ac:dyDescent="0.2">
      <c r="A130">
        <f>ROW(Source!A153)</f>
        <v>153</v>
      </c>
      <c r="B130">
        <v>52431708</v>
      </c>
      <c r="C130">
        <v>52431700</v>
      </c>
      <c r="D130">
        <v>51865006</v>
      </c>
      <c r="E130">
        <v>1</v>
      </c>
      <c r="F130">
        <v>1</v>
      </c>
      <c r="G130">
        <v>27</v>
      </c>
      <c r="H130">
        <v>2</v>
      </c>
      <c r="I130" t="s">
        <v>393</v>
      </c>
      <c r="J130" t="s">
        <v>394</v>
      </c>
      <c r="K130" t="s">
        <v>395</v>
      </c>
      <c r="L130">
        <v>1368</v>
      </c>
      <c r="N130">
        <v>1011</v>
      </c>
      <c r="O130" t="s">
        <v>84</v>
      </c>
      <c r="P130" t="s">
        <v>84</v>
      </c>
      <c r="Q130">
        <v>1</v>
      </c>
      <c r="X130">
        <v>0.59</v>
      </c>
      <c r="Y130">
        <v>0</v>
      </c>
      <c r="Z130">
        <v>2020.59</v>
      </c>
      <c r="AA130">
        <v>458.56</v>
      </c>
      <c r="AB130">
        <v>0</v>
      </c>
      <c r="AC130">
        <v>0</v>
      </c>
      <c r="AD130">
        <v>1</v>
      </c>
      <c r="AE130">
        <v>0</v>
      </c>
      <c r="AF130" t="s">
        <v>3</v>
      </c>
      <c r="AG130">
        <v>0.59</v>
      </c>
      <c r="AH130">
        <v>2</v>
      </c>
      <c r="AI130">
        <v>52431702</v>
      </c>
      <c r="AJ130">
        <v>137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</row>
    <row r="131" spans="1:44" x14ac:dyDescent="0.2">
      <c r="A131">
        <f>ROW(Source!A153)</f>
        <v>153</v>
      </c>
      <c r="B131">
        <v>52431709</v>
      </c>
      <c r="C131">
        <v>52431700</v>
      </c>
      <c r="D131">
        <v>51864991</v>
      </c>
      <c r="E131">
        <v>1</v>
      </c>
      <c r="F131">
        <v>1</v>
      </c>
      <c r="G131">
        <v>27</v>
      </c>
      <c r="H131">
        <v>2</v>
      </c>
      <c r="I131" t="s">
        <v>408</v>
      </c>
      <c r="J131" t="s">
        <v>409</v>
      </c>
      <c r="K131" t="s">
        <v>410</v>
      </c>
      <c r="L131">
        <v>1368</v>
      </c>
      <c r="N131">
        <v>1011</v>
      </c>
      <c r="O131" t="s">
        <v>84</v>
      </c>
      <c r="P131" t="s">
        <v>84</v>
      </c>
      <c r="Q131">
        <v>1</v>
      </c>
      <c r="X131">
        <v>1.62</v>
      </c>
      <c r="Y131">
        <v>0</v>
      </c>
      <c r="Z131">
        <v>1261.8699999999999</v>
      </c>
      <c r="AA131">
        <v>530.02</v>
      </c>
      <c r="AB131">
        <v>0</v>
      </c>
      <c r="AC131">
        <v>0</v>
      </c>
      <c r="AD131">
        <v>1</v>
      </c>
      <c r="AE131">
        <v>0</v>
      </c>
      <c r="AF131" t="s">
        <v>3</v>
      </c>
      <c r="AG131">
        <v>1.62</v>
      </c>
      <c r="AH131">
        <v>2</v>
      </c>
      <c r="AI131">
        <v>52431703</v>
      </c>
      <c r="AJ131">
        <v>138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</row>
    <row r="132" spans="1:44" x14ac:dyDescent="0.2">
      <c r="A132">
        <f>ROW(Source!A153)</f>
        <v>153</v>
      </c>
      <c r="B132">
        <v>52431710</v>
      </c>
      <c r="C132">
        <v>52431700</v>
      </c>
      <c r="D132">
        <v>51866999</v>
      </c>
      <c r="E132">
        <v>1</v>
      </c>
      <c r="F132">
        <v>1</v>
      </c>
      <c r="G132">
        <v>27</v>
      </c>
      <c r="H132">
        <v>3</v>
      </c>
      <c r="I132" t="s">
        <v>45</v>
      </c>
      <c r="J132" t="s">
        <v>47</v>
      </c>
      <c r="K132" t="s">
        <v>46</v>
      </c>
      <c r="L132">
        <v>1339</v>
      </c>
      <c r="N132">
        <v>1007</v>
      </c>
      <c r="O132" t="s">
        <v>28</v>
      </c>
      <c r="P132" t="s">
        <v>28</v>
      </c>
      <c r="Q132">
        <v>1</v>
      </c>
      <c r="X132">
        <v>17.399999999999999</v>
      </c>
      <c r="Y132">
        <v>1436.5</v>
      </c>
      <c r="Z132">
        <v>0</v>
      </c>
      <c r="AA132">
        <v>0</v>
      </c>
      <c r="AB132">
        <v>0</v>
      </c>
      <c r="AC132">
        <v>0</v>
      </c>
      <c r="AD132">
        <v>1</v>
      </c>
      <c r="AE132">
        <v>0</v>
      </c>
      <c r="AF132" t="s">
        <v>3</v>
      </c>
      <c r="AG132">
        <v>17.399999999999999</v>
      </c>
      <c r="AH132">
        <v>2</v>
      </c>
      <c r="AI132">
        <v>52431705</v>
      </c>
      <c r="AJ132">
        <v>140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</row>
    <row r="133" spans="1:44" x14ac:dyDescent="0.2">
      <c r="A133">
        <f>ROW(Source!A153)</f>
        <v>153</v>
      </c>
      <c r="B133">
        <v>52431711</v>
      </c>
      <c r="C133">
        <v>52431700</v>
      </c>
      <c r="D133">
        <v>51867705</v>
      </c>
      <c r="E133">
        <v>1</v>
      </c>
      <c r="F133">
        <v>1</v>
      </c>
      <c r="G133">
        <v>27</v>
      </c>
      <c r="H133">
        <v>3</v>
      </c>
      <c r="I133" t="s">
        <v>405</v>
      </c>
      <c r="J133" t="s">
        <v>406</v>
      </c>
      <c r="K133" t="s">
        <v>407</v>
      </c>
      <c r="L133">
        <v>1339</v>
      </c>
      <c r="N133">
        <v>1007</v>
      </c>
      <c r="O133" t="s">
        <v>28</v>
      </c>
      <c r="P133" t="s">
        <v>28</v>
      </c>
      <c r="Q133">
        <v>1</v>
      </c>
      <c r="X133">
        <v>2</v>
      </c>
      <c r="Y133">
        <v>35.25</v>
      </c>
      <c r="Z133">
        <v>0</v>
      </c>
      <c r="AA133">
        <v>0</v>
      </c>
      <c r="AB133">
        <v>0</v>
      </c>
      <c r="AC133">
        <v>0</v>
      </c>
      <c r="AD133">
        <v>1</v>
      </c>
      <c r="AE133">
        <v>0</v>
      </c>
      <c r="AF133" t="s">
        <v>3</v>
      </c>
      <c r="AG133">
        <v>2</v>
      </c>
      <c r="AH133">
        <v>2</v>
      </c>
      <c r="AI133">
        <v>52431706</v>
      </c>
      <c r="AJ133">
        <v>141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</row>
    <row r="134" spans="1:44" x14ac:dyDescent="0.2">
      <c r="A134">
        <f>ROW(Source!A156)</f>
        <v>156</v>
      </c>
      <c r="B134">
        <v>52431719</v>
      </c>
      <c r="C134">
        <v>52431714</v>
      </c>
      <c r="D134">
        <v>51848379</v>
      </c>
      <c r="E134">
        <v>27</v>
      </c>
      <c r="F134">
        <v>1</v>
      </c>
      <c r="G134">
        <v>27</v>
      </c>
      <c r="H134">
        <v>1</v>
      </c>
      <c r="I134" t="s">
        <v>378</v>
      </c>
      <c r="J134" t="s">
        <v>3</v>
      </c>
      <c r="K134" t="s">
        <v>379</v>
      </c>
      <c r="L134">
        <v>1191</v>
      </c>
      <c r="N134">
        <v>1013</v>
      </c>
      <c r="O134" t="s">
        <v>380</v>
      </c>
      <c r="P134" t="s">
        <v>380</v>
      </c>
      <c r="Q134">
        <v>1</v>
      </c>
      <c r="X134">
        <v>10.3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1</v>
      </c>
      <c r="AE134">
        <v>1</v>
      </c>
      <c r="AF134" t="s">
        <v>3</v>
      </c>
      <c r="AG134">
        <v>10.3</v>
      </c>
      <c r="AH134">
        <v>2</v>
      </c>
      <c r="AI134">
        <v>52431715</v>
      </c>
      <c r="AJ134">
        <v>142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</row>
    <row r="135" spans="1:44" x14ac:dyDescent="0.2">
      <c r="A135">
        <f>ROW(Source!A156)</f>
        <v>156</v>
      </c>
      <c r="B135">
        <v>52431720</v>
      </c>
      <c r="C135">
        <v>52431714</v>
      </c>
      <c r="D135">
        <v>51864991</v>
      </c>
      <c r="E135">
        <v>1</v>
      </c>
      <c r="F135">
        <v>1</v>
      </c>
      <c r="G135">
        <v>27</v>
      </c>
      <c r="H135">
        <v>2</v>
      </c>
      <c r="I135" t="s">
        <v>408</v>
      </c>
      <c r="J135" t="s">
        <v>409</v>
      </c>
      <c r="K135" t="s">
        <v>410</v>
      </c>
      <c r="L135">
        <v>1368</v>
      </c>
      <c r="N135">
        <v>1011</v>
      </c>
      <c r="O135" t="s">
        <v>84</v>
      </c>
      <c r="P135" t="s">
        <v>84</v>
      </c>
      <c r="Q135">
        <v>1</v>
      </c>
      <c r="X135">
        <v>0.89</v>
      </c>
      <c r="Y135">
        <v>0</v>
      </c>
      <c r="Z135">
        <v>1261.8699999999999</v>
      </c>
      <c r="AA135">
        <v>530.02</v>
      </c>
      <c r="AB135">
        <v>0</v>
      </c>
      <c r="AC135">
        <v>0</v>
      </c>
      <c r="AD135">
        <v>1</v>
      </c>
      <c r="AE135">
        <v>0</v>
      </c>
      <c r="AF135" t="s">
        <v>3</v>
      </c>
      <c r="AG135">
        <v>0.89</v>
      </c>
      <c r="AH135">
        <v>2</v>
      </c>
      <c r="AI135">
        <v>52431716</v>
      </c>
      <c r="AJ135">
        <v>143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</row>
    <row r="136" spans="1:44" x14ac:dyDescent="0.2">
      <c r="A136">
        <f>ROW(Source!A156)</f>
        <v>156</v>
      </c>
      <c r="B136">
        <v>52431721</v>
      </c>
      <c r="C136">
        <v>52431714</v>
      </c>
      <c r="D136">
        <v>51865798</v>
      </c>
      <c r="E136">
        <v>1</v>
      </c>
      <c r="F136">
        <v>1</v>
      </c>
      <c r="G136">
        <v>27</v>
      </c>
      <c r="H136">
        <v>3</v>
      </c>
      <c r="I136" t="s">
        <v>411</v>
      </c>
      <c r="J136" t="s">
        <v>412</v>
      </c>
      <c r="K136" t="s">
        <v>413</v>
      </c>
      <c r="L136">
        <v>1348</v>
      </c>
      <c r="N136">
        <v>1009</v>
      </c>
      <c r="O136" t="s">
        <v>101</v>
      </c>
      <c r="P136" t="s">
        <v>101</v>
      </c>
      <c r="Q136">
        <v>1000</v>
      </c>
      <c r="X136">
        <v>0.06</v>
      </c>
      <c r="Y136">
        <v>25888.1</v>
      </c>
      <c r="Z136">
        <v>0</v>
      </c>
      <c r="AA136">
        <v>0</v>
      </c>
      <c r="AB136">
        <v>0</v>
      </c>
      <c r="AC136">
        <v>0</v>
      </c>
      <c r="AD136">
        <v>1</v>
      </c>
      <c r="AE136">
        <v>0</v>
      </c>
      <c r="AF136" t="s">
        <v>3</v>
      </c>
      <c r="AG136">
        <v>0.06</v>
      </c>
      <c r="AH136">
        <v>2</v>
      </c>
      <c r="AI136">
        <v>52431717</v>
      </c>
      <c r="AJ136">
        <v>144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</row>
    <row r="137" spans="1:44" x14ac:dyDescent="0.2">
      <c r="A137">
        <f>ROW(Source!A156)</f>
        <v>156</v>
      </c>
      <c r="B137">
        <v>52431722</v>
      </c>
      <c r="C137">
        <v>52431714</v>
      </c>
      <c r="D137">
        <v>51868905</v>
      </c>
      <c r="E137">
        <v>1</v>
      </c>
      <c r="F137">
        <v>1</v>
      </c>
      <c r="G137">
        <v>27</v>
      </c>
      <c r="H137">
        <v>3</v>
      </c>
      <c r="I137" t="s">
        <v>414</v>
      </c>
      <c r="J137" t="s">
        <v>415</v>
      </c>
      <c r="K137" t="s">
        <v>416</v>
      </c>
      <c r="L137">
        <v>1348</v>
      </c>
      <c r="N137">
        <v>1009</v>
      </c>
      <c r="O137" t="s">
        <v>101</v>
      </c>
      <c r="P137" t="s">
        <v>101</v>
      </c>
      <c r="Q137">
        <v>1000</v>
      </c>
      <c r="X137">
        <v>7.14</v>
      </c>
      <c r="Y137">
        <v>2652.04</v>
      </c>
      <c r="Z137">
        <v>0</v>
      </c>
      <c r="AA137">
        <v>0</v>
      </c>
      <c r="AB137">
        <v>0</v>
      </c>
      <c r="AC137">
        <v>0</v>
      </c>
      <c r="AD137">
        <v>1</v>
      </c>
      <c r="AE137">
        <v>0</v>
      </c>
      <c r="AF137" t="s">
        <v>3</v>
      </c>
      <c r="AG137">
        <v>7.14</v>
      </c>
      <c r="AH137">
        <v>2</v>
      </c>
      <c r="AI137">
        <v>52431718</v>
      </c>
      <c r="AJ137">
        <v>145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</row>
    <row r="138" spans="1:44" x14ac:dyDescent="0.2">
      <c r="A138">
        <f>ROW(Source!A157)</f>
        <v>157</v>
      </c>
      <c r="B138">
        <v>52431734</v>
      </c>
      <c r="C138">
        <v>52431723</v>
      </c>
      <c r="D138">
        <v>51848379</v>
      </c>
      <c r="E138">
        <v>27</v>
      </c>
      <c r="F138">
        <v>1</v>
      </c>
      <c r="G138">
        <v>27</v>
      </c>
      <c r="H138">
        <v>1</v>
      </c>
      <c r="I138" t="s">
        <v>378</v>
      </c>
      <c r="J138" t="s">
        <v>3</v>
      </c>
      <c r="K138" t="s">
        <v>379</v>
      </c>
      <c r="L138">
        <v>1191</v>
      </c>
      <c r="N138">
        <v>1013</v>
      </c>
      <c r="O138" t="s">
        <v>380</v>
      </c>
      <c r="P138" t="s">
        <v>380</v>
      </c>
      <c r="Q138">
        <v>1</v>
      </c>
      <c r="X138">
        <v>18.440000000000001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1</v>
      </c>
      <c r="AE138">
        <v>1</v>
      </c>
      <c r="AF138" t="s">
        <v>3</v>
      </c>
      <c r="AG138">
        <v>18.440000000000001</v>
      </c>
      <c r="AH138">
        <v>2</v>
      </c>
      <c r="AI138">
        <v>52431724</v>
      </c>
      <c r="AJ138">
        <v>146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</row>
    <row r="139" spans="1:44" x14ac:dyDescent="0.2">
      <c r="A139">
        <f>ROW(Source!A157)</f>
        <v>157</v>
      </c>
      <c r="B139">
        <v>52431735</v>
      </c>
      <c r="C139">
        <v>52431723</v>
      </c>
      <c r="D139">
        <v>51865492</v>
      </c>
      <c r="E139">
        <v>1</v>
      </c>
      <c r="F139">
        <v>1</v>
      </c>
      <c r="G139">
        <v>27</v>
      </c>
      <c r="H139">
        <v>2</v>
      </c>
      <c r="I139" t="s">
        <v>417</v>
      </c>
      <c r="J139" t="s">
        <v>418</v>
      </c>
      <c r="K139" t="s">
        <v>419</v>
      </c>
      <c r="L139">
        <v>1368</v>
      </c>
      <c r="N139">
        <v>1011</v>
      </c>
      <c r="O139" t="s">
        <v>84</v>
      </c>
      <c r="P139" t="s">
        <v>84</v>
      </c>
      <c r="Q139">
        <v>1</v>
      </c>
      <c r="X139">
        <v>2.64</v>
      </c>
      <c r="Y139">
        <v>0</v>
      </c>
      <c r="Z139">
        <v>531.41</v>
      </c>
      <c r="AA139">
        <v>373.56</v>
      </c>
      <c r="AB139">
        <v>0</v>
      </c>
      <c r="AC139">
        <v>0</v>
      </c>
      <c r="AD139">
        <v>1</v>
      </c>
      <c r="AE139">
        <v>0</v>
      </c>
      <c r="AF139" t="s">
        <v>3</v>
      </c>
      <c r="AG139">
        <v>2.64</v>
      </c>
      <c r="AH139">
        <v>2</v>
      </c>
      <c r="AI139">
        <v>52431725</v>
      </c>
      <c r="AJ139">
        <v>147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</row>
    <row r="140" spans="1:44" x14ac:dyDescent="0.2">
      <c r="A140">
        <f>ROW(Source!A157)</f>
        <v>157</v>
      </c>
      <c r="B140">
        <v>52431736</v>
      </c>
      <c r="C140">
        <v>52431723</v>
      </c>
      <c r="D140">
        <v>51865715</v>
      </c>
      <c r="E140">
        <v>1</v>
      </c>
      <c r="F140">
        <v>1</v>
      </c>
      <c r="G140">
        <v>27</v>
      </c>
      <c r="H140">
        <v>2</v>
      </c>
      <c r="I140" t="s">
        <v>420</v>
      </c>
      <c r="J140" t="s">
        <v>421</v>
      </c>
      <c r="K140" t="s">
        <v>422</v>
      </c>
      <c r="L140">
        <v>1368</v>
      </c>
      <c r="N140">
        <v>1011</v>
      </c>
      <c r="O140" t="s">
        <v>84</v>
      </c>
      <c r="P140" t="s">
        <v>84</v>
      </c>
      <c r="Q140">
        <v>1</v>
      </c>
      <c r="X140">
        <v>1.18</v>
      </c>
      <c r="Y140">
        <v>0</v>
      </c>
      <c r="Z140">
        <v>7.44</v>
      </c>
      <c r="AA140">
        <v>0.98</v>
      </c>
      <c r="AB140">
        <v>0</v>
      </c>
      <c r="AC140">
        <v>0</v>
      </c>
      <c r="AD140">
        <v>1</v>
      </c>
      <c r="AE140">
        <v>0</v>
      </c>
      <c r="AF140" t="s">
        <v>3</v>
      </c>
      <c r="AG140">
        <v>1.18</v>
      </c>
      <c r="AH140">
        <v>2</v>
      </c>
      <c r="AI140">
        <v>52431726</v>
      </c>
      <c r="AJ140">
        <v>148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</row>
    <row r="141" spans="1:44" x14ac:dyDescent="0.2">
      <c r="A141">
        <f>ROW(Source!A157)</f>
        <v>157</v>
      </c>
      <c r="B141">
        <v>52431737</v>
      </c>
      <c r="C141">
        <v>52431723</v>
      </c>
      <c r="D141">
        <v>51864917</v>
      </c>
      <c r="E141">
        <v>1</v>
      </c>
      <c r="F141">
        <v>1</v>
      </c>
      <c r="G141">
        <v>27</v>
      </c>
      <c r="H141">
        <v>2</v>
      </c>
      <c r="I141" t="s">
        <v>423</v>
      </c>
      <c r="J141" t="s">
        <v>424</v>
      </c>
      <c r="K141" t="s">
        <v>425</v>
      </c>
      <c r="L141">
        <v>1368</v>
      </c>
      <c r="N141">
        <v>1011</v>
      </c>
      <c r="O141" t="s">
        <v>84</v>
      </c>
      <c r="P141" t="s">
        <v>84</v>
      </c>
      <c r="Q141">
        <v>1</v>
      </c>
      <c r="X141">
        <v>0.01</v>
      </c>
      <c r="Y141">
        <v>0</v>
      </c>
      <c r="Z141">
        <v>616.73</v>
      </c>
      <c r="AA141">
        <v>511.29</v>
      </c>
      <c r="AB141">
        <v>0</v>
      </c>
      <c r="AC141">
        <v>0</v>
      </c>
      <c r="AD141">
        <v>1</v>
      </c>
      <c r="AE141">
        <v>0</v>
      </c>
      <c r="AF141" t="s">
        <v>3</v>
      </c>
      <c r="AG141">
        <v>0.01</v>
      </c>
      <c r="AH141">
        <v>2</v>
      </c>
      <c r="AI141">
        <v>52431727</v>
      </c>
      <c r="AJ141">
        <v>149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</row>
    <row r="142" spans="1:44" x14ac:dyDescent="0.2">
      <c r="A142">
        <f>ROW(Source!A157)</f>
        <v>157</v>
      </c>
      <c r="B142">
        <v>52431738</v>
      </c>
      <c r="C142">
        <v>52431723</v>
      </c>
      <c r="D142">
        <v>51865101</v>
      </c>
      <c r="E142">
        <v>1</v>
      </c>
      <c r="F142">
        <v>1</v>
      </c>
      <c r="G142">
        <v>27</v>
      </c>
      <c r="H142">
        <v>2</v>
      </c>
      <c r="I142" t="s">
        <v>426</v>
      </c>
      <c r="J142" t="s">
        <v>427</v>
      </c>
      <c r="K142" t="s">
        <v>428</v>
      </c>
      <c r="L142">
        <v>1368</v>
      </c>
      <c r="N142">
        <v>1011</v>
      </c>
      <c r="O142" t="s">
        <v>84</v>
      </c>
      <c r="P142" t="s">
        <v>84</v>
      </c>
      <c r="Q142">
        <v>1</v>
      </c>
      <c r="X142">
        <v>2.64</v>
      </c>
      <c r="Y142">
        <v>0</v>
      </c>
      <c r="Z142">
        <v>454.31</v>
      </c>
      <c r="AA142">
        <v>405.68</v>
      </c>
      <c r="AB142">
        <v>0</v>
      </c>
      <c r="AC142">
        <v>0</v>
      </c>
      <c r="AD142">
        <v>1</v>
      </c>
      <c r="AE142">
        <v>0</v>
      </c>
      <c r="AF142" t="s">
        <v>3</v>
      </c>
      <c r="AG142">
        <v>2.64</v>
      </c>
      <c r="AH142">
        <v>2</v>
      </c>
      <c r="AI142">
        <v>52431728</v>
      </c>
      <c r="AJ142">
        <v>150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</row>
    <row r="143" spans="1:44" x14ac:dyDescent="0.2">
      <c r="A143">
        <f>ROW(Source!A157)</f>
        <v>157</v>
      </c>
      <c r="B143">
        <v>52431739</v>
      </c>
      <c r="C143">
        <v>52431723</v>
      </c>
      <c r="D143">
        <v>51867926</v>
      </c>
      <c r="E143">
        <v>1</v>
      </c>
      <c r="F143">
        <v>1</v>
      </c>
      <c r="G143">
        <v>27</v>
      </c>
      <c r="H143">
        <v>3</v>
      </c>
      <c r="I143" t="s">
        <v>429</v>
      </c>
      <c r="J143" t="s">
        <v>430</v>
      </c>
      <c r="K143" t="s">
        <v>431</v>
      </c>
      <c r="L143">
        <v>1327</v>
      </c>
      <c r="N143">
        <v>1005</v>
      </c>
      <c r="O143" t="s">
        <v>298</v>
      </c>
      <c r="P143" t="s">
        <v>298</v>
      </c>
      <c r="Q143">
        <v>1</v>
      </c>
      <c r="X143">
        <v>5.6</v>
      </c>
      <c r="Y143">
        <v>12.02</v>
      </c>
      <c r="Z143">
        <v>0</v>
      </c>
      <c r="AA143">
        <v>0</v>
      </c>
      <c r="AB143">
        <v>0</v>
      </c>
      <c r="AC143">
        <v>0</v>
      </c>
      <c r="AD143">
        <v>1</v>
      </c>
      <c r="AE143">
        <v>0</v>
      </c>
      <c r="AF143" t="s">
        <v>3</v>
      </c>
      <c r="AG143">
        <v>5.6</v>
      </c>
      <c r="AH143">
        <v>2</v>
      </c>
      <c r="AI143">
        <v>52431729</v>
      </c>
      <c r="AJ143">
        <v>151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</row>
    <row r="144" spans="1:44" x14ac:dyDescent="0.2">
      <c r="A144">
        <f>ROW(Source!A157)</f>
        <v>157</v>
      </c>
      <c r="B144">
        <v>52431740</v>
      </c>
      <c r="C144">
        <v>52431723</v>
      </c>
      <c r="D144">
        <v>51868013</v>
      </c>
      <c r="E144">
        <v>1</v>
      </c>
      <c r="F144">
        <v>1</v>
      </c>
      <c r="G144">
        <v>27</v>
      </c>
      <c r="H144">
        <v>3</v>
      </c>
      <c r="I144" t="s">
        <v>432</v>
      </c>
      <c r="J144" t="s">
        <v>433</v>
      </c>
      <c r="K144" t="s">
        <v>434</v>
      </c>
      <c r="L144">
        <v>1348</v>
      </c>
      <c r="N144">
        <v>1009</v>
      </c>
      <c r="O144" t="s">
        <v>101</v>
      </c>
      <c r="P144" t="s">
        <v>101</v>
      </c>
      <c r="Q144">
        <v>1000</v>
      </c>
      <c r="X144">
        <v>3.15E-3</v>
      </c>
      <c r="Y144">
        <v>343020.03</v>
      </c>
      <c r="Z144">
        <v>0</v>
      </c>
      <c r="AA144">
        <v>0</v>
      </c>
      <c r="AB144">
        <v>0</v>
      </c>
      <c r="AC144">
        <v>0</v>
      </c>
      <c r="AD144">
        <v>1</v>
      </c>
      <c r="AE144">
        <v>0</v>
      </c>
      <c r="AF144" t="s">
        <v>3</v>
      </c>
      <c r="AG144">
        <v>3.15E-3</v>
      </c>
      <c r="AH144">
        <v>2</v>
      </c>
      <c r="AI144">
        <v>52431730</v>
      </c>
      <c r="AJ144">
        <v>152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</row>
    <row r="145" spans="1:44" x14ac:dyDescent="0.2">
      <c r="A145">
        <f>ROW(Source!A157)</f>
        <v>157</v>
      </c>
      <c r="B145">
        <v>52431741</v>
      </c>
      <c r="C145">
        <v>52431723</v>
      </c>
      <c r="D145">
        <v>51868230</v>
      </c>
      <c r="E145">
        <v>1</v>
      </c>
      <c r="F145">
        <v>1</v>
      </c>
      <c r="G145">
        <v>27</v>
      </c>
      <c r="H145">
        <v>3</v>
      </c>
      <c r="I145" t="s">
        <v>435</v>
      </c>
      <c r="J145" t="s">
        <v>436</v>
      </c>
      <c r="K145" t="s">
        <v>437</v>
      </c>
      <c r="L145">
        <v>1346</v>
      </c>
      <c r="N145">
        <v>1009</v>
      </c>
      <c r="O145" t="s">
        <v>438</v>
      </c>
      <c r="P145" t="s">
        <v>438</v>
      </c>
      <c r="Q145">
        <v>1</v>
      </c>
      <c r="X145">
        <v>735</v>
      </c>
      <c r="Y145">
        <v>17.77</v>
      </c>
      <c r="Z145">
        <v>0</v>
      </c>
      <c r="AA145">
        <v>0</v>
      </c>
      <c r="AB145">
        <v>0</v>
      </c>
      <c r="AC145">
        <v>0</v>
      </c>
      <c r="AD145">
        <v>1</v>
      </c>
      <c r="AE145">
        <v>0</v>
      </c>
      <c r="AF145" t="s">
        <v>3</v>
      </c>
      <c r="AG145">
        <v>735</v>
      </c>
      <c r="AH145">
        <v>2</v>
      </c>
      <c r="AI145">
        <v>52431731</v>
      </c>
      <c r="AJ145">
        <v>153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</row>
    <row r="146" spans="1:44" x14ac:dyDescent="0.2">
      <c r="A146">
        <f>ROW(Source!A157)</f>
        <v>157</v>
      </c>
      <c r="B146">
        <v>52431742</v>
      </c>
      <c r="C146">
        <v>52431723</v>
      </c>
      <c r="D146">
        <v>51868237</v>
      </c>
      <c r="E146">
        <v>1</v>
      </c>
      <c r="F146">
        <v>1</v>
      </c>
      <c r="G146">
        <v>27</v>
      </c>
      <c r="H146">
        <v>3</v>
      </c>
      <c r="I146" t="s">
        <v>439</v>
      </c>
      <c r="J146" t="s">
        <v>440</v>
      </c>
      <c r="K146" t="s">
        <v>441</v>
      </c>
      <c r="L146">
        <v>1346</v>
      </c>
      <c r="N146">
        <v>1009</v>
      </c>
      <c r="O146" t="s">
        <v>438</v>
      </c>
      <c r="P146" t="s">
        <v>438</v>
      </c>
      <c r="Q146">
        <v>1</v>
      </c>
      <c r="X146">
        <v>241.5</v>
      </c>
      <c r="Y146">
        <v>202.34</v>
      </c>
      <c r="Z146">
        <v>0</v>
      </c>
      <c r="AA146">
        <v>0</v>
      </c>
      <c r="AB146">
        <v>0</v>
      </c>
      <c r="AC146">
        <v>0</v>
      </c>
      <c r="AD146">
        <v>1</v>
      </c>
      <c r="AE146">
        <v>0</v>
      </c>
      <c r="AF146" t="s">
        <v>3</v>
      </c>
      <c r="AG146">
        <v>241.5</v>
      </c>
      <c r="AH146">
        <v>2</v>
      </c>
      <c r="AI146">
        <v>52431732</v>
      </c>
      <c r="AJ146">
        <v>154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</row>
    <row r="147" spans="1:44" x14ac:dyDescent="0.2">
      <c r="A147">
        <f>ROW(Source!A157)</f>
        <v>157</v>
      </c>
      <c r="B147">
        <v>52431743</v>
      </c>
      <c r="C147">
        <v>52431723</v>
      </c>
      <c r="D147">
        <v>51866204</v>
      </c>
      <c r="E147">
        <v>1</v>
      </c>
      <c r="F147">
        <v>1</v>
      </c>
      <c r="G147">
        <v>27</v>
      </c>
      <c r="H147">
        <v>3</v>
      </c>
      <c r="I147" t="s">
        <v>442</v>
      </c>
      <c r="J147" t="s">
        <v>443</v>
      </c>
      <c r="K147" t="s">
        <v>444</v>
      </c>
      <c r="L147">
        <v>1348</v>
      </c>
      <c r="N147">
        <v>1009</v>
      </c>
      <c r="O147" t="s">
        <v>101</v>
      </c>
      <c r="P147" t="s">
        <v>101</v>
      </c>
      <c r="Q147">
        <v>1000</v>
      </c>
      <c r="X147">
        <v>5.2499999999999998E-2</v>
      </c>
      <c r="Y147">
        <v>748299.67</v>
      </c>
      <c r="Z147">
        <v>0</v>
      </c>
      <c r="AA147">
        <v>0</v>
      </c>
      <c r="AB147">
        <v>0</v>
      </c>
      <c r="AC147">
        <v>0</v>
      </c>
      <c r="AD147">
        <v>1</v>
      </c>
      <c r="AE147">
        <v>0</v>
      </c>
      <c r="AF147" t="s">
        <v>3</v>
      </c>
      <c r="AG147">
        <v>5.2499999999999998E-2</v>
      </c>
      <c r="AH147">
        <v>2</v>
      </c>
      <c r="AI147">
        <v>52431733</v>
      </c>
      <c r="AJ147">
        <v>155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</row>
    <row r="148" spans="1:44" x14ac:dyDescent="0.2">
      <c r="A148">
        <f>ROW(Source!A158)</f>
        <v>158</v>
      </c>
      <c r="B148">
        <v>52431751</v>
      </c>
      <c r="C148">
        <v>52431744</v>
      </c>
      <c r="D148">
        <v>51848379</v>
      </c>
      <c r="E148">
        <v>27</v>
      </c>
      <c r="F148">
        <v>1</v>
      </c>
      <c r="G148">
        <v>27</v>
      </c>
      <c r="H148">
        <v>1</v>
      </c>
      <c r="I148" t="s">
        <v>378</v>
      </c>
      <c r="J148" t="s">
        <v>3</v>
      </c>
      <c r="K148" t="s">
        <v>379</v>
      </c>
      <c r="L148">
        <v>1191</v>
      </c>
      <c r="N148">
        <v>1013</v>
      </c>
      <c r="O148" t="s">
        <v>380</v>
      </c>
      <c r="P148" t="s">
        <v>380</v>
      </c>
      <c r="Q148">
        <v>1</v>
      </c>
      <c r="X148">
        <v>2.65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1</v>
      </c>
      <c r="AE148">
        <v>1</v>
      </c>
      <c r="AF148" t="s">
        <v>3</v>
      </c>
      <c r="AG148">
        <v>2.65</v>
      </c>
      <c r="AH148">
        <v>2</v>
      </c>
      <c r="AI148">
        <v>52431745</v>
      </c>
      <c r="AJ148">
        <v>156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</row>
    <row r="149" spans="1:44" x14ac:dyDescent="0.2">
      <c r="A149">
        <f>ROW(Source!A158)</f>
        <v>158</v>
      </c>
      <c r="B149">
        <v>52431752</v>
      </c>
      <c r="C149">
        <v>52431744</v>
      </c>
      <c r="D149">
        <v>51865492</v>
      </c>
      <c r="E149">
        <v>1</v>
      </c>
      <c r="F149">
        <v>1</v>
      </c>
      <c r="G149">
        <v>27</v>
      </c>
      <c r="H149">
        <v>2</v>
      </c>
      <c r="I149" t="s">
        <v>417</v>
      </c>
      <c r="J149" t="s">
        <v>418</v>
      </c>
      <c r="K149" t="s">
        <v>419</v>
      </c>
      <c r="L149">
        <v>1368</v>
      </c>
      <c r="N149">
        <v>1011</v>
      </c>
      <c r="O149" t="s">
        <v>84</v>
      </c>
      <c r="P149" t="s">
        <v>84</v>
      </c>
      <c r="Q149">
        <v>1</v>
      </c>
      <c r="X149">
        <v>0.5</v>
      </c>
      <c r="Y149">
        <v>0</v>
      </c>
      <c r="Z149">
        <v>531.41</v>
      </c>
      <c r="AA149">
        <v>373.56</v>
      </c>
      <c r="AB149">
        <v>0</v>
      </c>
      <c r="AC149">
        <v>0</v>
      </c>
      <c r="AD149">
        <v>1</v>
      </c>
      <c r="AE149">
        <v>0</v>
      </c>
      <c r="AF149" t="s">
        <v>3</v>
      </c>
      <c r="AG149">
        <v>0.5</v>
      </c>
      <c r="AH149">
        <v>2</v>
      </c>
      <c r="AI149">
        <v>52431746</v>
      </c>
      <c r="AJ149">
        <v>157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</row>
    <row r="150" spans="1:44" x14ac:dyDescent="0.2">
      <c r="A150">
        <f>ROW(Source!A158)</f>
        <v>158</v>
      </c>
      <c r="B150">
        <v>52431753</v>
      </c>
      <c r="C150">
        <v>52431744</v>
      </c>
      <c r="D150">
        <v>51865101</v>
      </c>
      <c r="E150">
        <v>1</v>
      </c>
      <c r="F150">
        <v>1</v>
      </c>
      <c r="G150">
        <v>27</v>
      </c>
      <c r="H150">
        <v>2</v>
      </c>
      <c r="I150" t="s">
        <v>426</v>
      </c>
      <c r="J150" t="s">
        <v>427</v>
      </c>
      <c r="K150" t="s">
        <v>428</v>
      </c>
      <c r="L150">
        <v>1368</v>
      </c>
      <c r="N150">
        <v>1011</v>
      </c>
      <c r="O150" t="s">
        <v>84</v>
      </c>
      <c r="P150" t="s">
        <v>84</v>
      </c>
      <c r="Q150">
        <v>1</v>
      </c>
      <c r="X150">
        <v>0.5</v>
      </c>
      <c r="Y150">
        <v>0</v>
      </c>
      <c r="Z150">
        <v>454.31</v>
      </c>
      <c r="AA150">
        <v>405.68</v>
      </c>
      <c r="AB150">
        <v>0</v>
      </c>
      <c r="AC150">
        <v>0</v>
      </c>
      <c r="AD150">
        <v>1</v>
      </c>
      <c r="AE150">
        <v>0</v>
      </c>
      <c r="AF150" t="s">
        <v>3</v>
      </c>
      <c r="AG150">
        <v>0.5</v>
      </c>
      <c r="AH150">
        <v>2</v>
      </c>
      <c r="AI150">
        <v>52431747</v>
      </c>
      <c r="AJ150">
        <v>158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</row>
    <row r="151" spans="1:44" x14ac:dyDescent="0.2">
      <c r="A151">
        <f>ROW(Source!A158)</f>
        <v>158</v>
      </c>
      <c r="B151">
        <v>52431754</v>
      </c>
      <c r="C151">
        <v>52431744</v>
      </c>
      <c r="D151">
        <v>51868230</v>
      </c>
      <c r="E151">
        <v>1</v>
      </c>
      <c r="F151">
        <v>1</v>
      </c>
      <c r="G151">
        <v>27</v>
      </c>
      <c r="H151">
        <v>3</v>
      </c>
      <c r="I151" t="s">
        <v>435</v>
      </c>
      <c r="J151" t="s">
        <v>436</v>
      </c>
      <c r="K151" t="s">
        <v>437</v>
      </c>
      <c r="L151">
        <v>1346</v>
      </c>
      <c r="N151">
        <v>1009</v>
      </c>
      <c r="O151" t="s">
        <v>438</v>
      </c>
      <c r="P151" t="s">
        <v>438</v>
      </c>
      <c r="Q151">
        <v>1</v>
      </c>
      <c r="X151">
        <v>147</v>
      </c>
      <c r="Y151">
        <v>17.77</v>
      </c>
      <c r="Z151">
        <v>0</v>
      </c>
      <c r="AA151">
        <v>0</v>
      </c>
      <c r="AB151">
        <v>0</v>
      </c>
      <c r="AC151">
        <v>0</v>
      </c>
      <c r="AD151">
        <v>1</v>
      </c>
      <c r="AE151">
        <v>0</v>
      </c>
      <c r="AF151" t="s">
        <v>3</v>
      </c>
      <c r="AG151">
        <v>147</v>
      </c>
      <c r="AH151">
        <v>2</v>
      </c>
      <c r="AI151">
        <v>52431748</v>
      </c>
      <c r="AJ151">
        <v>159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</row>
    <row r="152" spans="1:44" x14ac:dyDescent="0.2">
      <c r="A152">
        <f>ROW(Source!A158)</f>
        <v>158</v>
      </c>
      <c r="B152">
        <v>52431755</v>
      </c>
      <c r="C152">
        <v>52431744</v>
      </c>
      <c r="D152">
        <v>51868237</v>
      </c>
      <c r="E152">
        <v>1</v>
      </c>
      <c r="F152">
        <v>1</v>
      </c>
      <c r="G152">
        <v>27</v>
      </c>
      <c r="H152">
        <v>3</v>
      </c>
      <c r="I152" t="s">
        <v>439</v>
      </c>
      <c r="J152" t="s">
        <v>440</v>
      </c>
      <c r="K152" t="s">
        <v>441</v>
      </c>
      <c r="L152">
        <v>1346</v>
      </c>
      <c r="N152">
        <v>1009</v>
      </c>
      <c r="O152" t="s">
        <v>438</v>
      </c>
      <c r="P152" t="s">
        <v>438</v>
      </c>
      <c r="Q152">
        <v>1</v>
      </c>
      <c r="X152">
        <v>42</v>
      </c>
      <c r="Y152">
        <v>202.34</v>
      </c>
      <c r="Z152">
        <v>0</v>
      </c>
      <c r="AA152">
        <v>0</v>
      </c>
      <c r="AB152">
        <v>0</v>
      </c>
      <c r="AC152">
        <v>0</v>
      </c>
      <c r="AD152">
        <v>1</v>
      </c>
      <c r="AE152">
        <v>0</v>
      </c>
      <c r="AF152" t="s">
        <v>3</v>
      </c>
      <c r="AG152">
        <v>42</v>
      </c>
      <c r="AH152">
        <v>2</v>
      </c>
      <c r="AI152">
        <v>52431749</v>
      </c>
      <c r="AJ152">
        <v>160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</row>
    <row r="153" spans="1:44" x14ac:dyDescent="0.2">
      <c r="A153">
        <f>ROW(Source!A158)</f>
        <v>158</v>
      </c>
      <c r="B153">
        <v>52431756</v>
      </c>
      <c r="C153">
        <v>52431744</v>
      </c>
      <c r="D153">
        <v>51866204</v>
      </c>
      <c r="E153">
        <v>1</v>
      </c>
      <c r="F153">
        <v>1</v>
      </c>
      <c r="G153">
        <v>27</v>
      </c>
      <c r="H153">
        <v>3</v>
      </c>
      <c r="I153" t="s">
        <v>442</v>
      </c>
      <c r="J153" t="s">
        <v>443</v>
      </c>
      <c r="K153" t="s">
        <v>444</v>
      </c>
      <c r="L153">
        <v>1348</v>
      </c>
      <c r="N153">
        <v>1009</v>
      </c>
      <c r="O153" t="s">
        <v>101</v>
      </c>
      <c r="P153" t="s">
        <v>101</v>
      </c>
      <c r="Q153">
        <v>1000</v>
      </c>
      <c r="X153">
        <v>1.0500000000000001E-2</v>
      </c>
      <c r="Y153">
        <v>748299.67</v>
      </c>
      <c r="Z153">
        <v>0</v>
      </c>
      <c r="AA153">
        <v>0</v>
      </c>
      <c r="AB153">
        <v>0</v>
      </c>
      <c r="AC153">
        <v>0</v>
      </c>
      <c r="AD153">
        <v>1</v>
      </c>
      <c r="AE153">
        <v>0</v>
      </c>
      <c r="AF153" t="s">
        <v>3</v>
      </c>
      <c r="AG153">
        <v>1.0500000000000001E-2</v>
      </c>
      <c r="AH153">
        <v>2</v>
      </c>
      <c r="AI153">
        <v>52431750</v>
      </c>
      <c r="AJ153">
        <v>161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</row>
    <row r="154" spans="1:44" x14ac:dyDescent="0.2">
      <c r="A154">
        <f>ROW(Source!A159)</f>
        <v>159</v>
      </c>
      <c r="B154">
        <v>52431759</v>
      </c>
      <c r="C154">
        <v>52431757</v>
      </c>
      <c r="D154">
        <v>51848379</v>
      </c>
      <c r="E154">
        <v>27</v>
      </c>
      <c r="F154">
        <v>1</v>
      </c>
      <c r="G154">
        <v>27</v>
      </c>
      <c r="H154">
        <v>1</v>
      </c>
      <c r="I154" t="s">
        <v>378</v>
      </c>
      <c r="J154" t="s">
        <v>3</v>
      </c>
      <c r="K154" t="s">
        <v>379</v>
      </c>
      <c r="L154">
        <v>1191</v>
      </c>
      <c r="N154">
        <v>1013</v>
      </c>
      <c r="O154" t="s">
        <v>380</v>
      </c>
      <c r="P154" t="s">
        <v>380</v>
      </c>
      <c r="Q154">
        <v>1</v>
      </c>
      <c r="X154">
        <v>221.6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1</v>
      </c>
      <c r="AE154">
        <v>1</v>
      </c>
      <c r="AF154" t="s">
        <v>3</v>
      </c>
      <c r="AG154">
        <v>221.6</v>
      </c>
      <c r="AH154">
        <v>2</v>
      </c>
      <c r="AI154">
        <v>52431758</v>
      </c>
      <c r="AJ154">
        <v>162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</row>
    <row r="155" spans="1:44" x14ac:dyDescent="0.2">
      <c r="A155">
        <f>ROW(Source!A160)</f>
        <v>160</v>
      </c>
      <c r="B155">
        <v>52431769</v>
      </c>
      <c r="C155">
        <v>52431760</v>
      </c>
      <c r="D155">
        <v>51848379</v>
      </c>
      <c r="E155">
        <v>27</v>
      </c>
      <c r="F155">
        <v>1</v>
      </c>
      <c r="G155">
        <v>27</v>
      </c>
      <c r="H155">
        <v>1</v>
      </c>
      <c r="I155" t="s">
        <v>378</v>
      </c>
      <c r="J155" t="s">
        <v>3</v>
      </c>
      <c r="K155" t="s">
        <v>379</v>
      </c>
      <c r="L155">
        <v>1191</v>
      </c>
      <c r="N155">
        <v>1013</v>
      </c>
      <c r="O155" t="s">
        <v>380</v>
      </c>
      <c r="P155" t="s">
        <v>380</v>
      </c>
      <c r="Q155">
        <v>1</v>
      </c>
      <c r="X155">
        <v>16.559999999999999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1</v>
      </c>
      <c r="AE155">
        <v>1</v>
      </c>
      <c r="AF155" t="s">
        <v>3</v>
      </c>
      <c r="AG155">
        <v>16.559999999999999</v>
      </c>
      <c r="AH155">
        <v>2</v>
      </c>
      <c r="AI155">
        <v>52431761</v>
      </c>
      <c r="AJ155">
        <v>163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</row>
    <row r="156" spans="1:44" x14ac:dyDescent="0.2">
      <c r="A156">
        <f>ROW(Source!A160)</f>
        <v>160</v>
      </c>
      <c r="B156">
        <v>52431770</v>
      </c>
      <c r="C156">
        <v>52431760</v>
      </c>
      <c r="D156">
        <v>51864848</v>
      </c>
      <c r="E156">
        <v>1</v>
      </c>
      <c r="F156">
        <v>1</v>
      </c>
      <c r="G156">
        <v>27</v>
      </c>
      <c r="H156">
        <v>2</v>
      </c>
      <c r="I156" t="s">
        <v>387</v>
      </c>
      <c r="J156" t="s">
        <v>388</v>
      </c>
      <c r="K156" t="s">
        <v>389</v>
      </c>
      <c r="L156">
        <v>1368</v>
      </c>
      <c r="N156">
        <v>1011</v>
      </c>
      <c r="O156" t="s">
        <v>84</v>
      </c>
      <c r="P156" t="s">
        <v>84</v>
      </c>
      <c r="Q156">
        <v>1</v>
      </c>
      <c r="X156">
        <v>2.08</v>
      </c>
      <c r="Y156">
        <v>0</v>
      </c>
      <c r="Z156">
        <v>740.94</v>
      </c>
      <c r="AA156">
        <v>413.22</v>
      </c>
      <c r="AB156">
        <v>0</v>
      </c>
      <c r="AC156">
        <v>0</v>
      </c>
      <c r="AD156">
        <v>1</v>
      </c>
      <c r="AE156">
        <v>0</v>
      </c>
      <c r="AF156" t="s">
        <v>3</v>
      </c>
      <c r="AG156">
        <v>2.08</v>
      </c>
      <c r="AH156">
        <v>2</v>
      </c>
      <c r="AI156">
        <v>52431762</v>
      </c>
      <c r="AJ156">
        <v>164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</row>
    <row r="157" spans="1:44" x14ac:dyDescent="0.2">
      <c r="A157">
        <f>ROW(Source!A160)</f>
        <v>160</v>
      </c>
      <c r="B157">
        <v>52431771</v>
      </c>
      <c r="C157">
        <v>52431760</v>
      </c>
      <c r="D157">
        <v>51865003</v>
      </c>
      <c r="E157">
        <v>1</v>
      </c>
      <c r="F157">
        <v>1</v>
      </c>
      <c r="G157">
        <v>27</v>
      </c>
      <c r="H157">
        <v>2</v>
      </c>
      <c r="I157" t="s">
        <v>390</v>
      </c>
      <c r="J157" t="s">
        <v>391</v>
      </c>
      <c r="K157" t="s">
        <v>392</v>
      </c>
      <c r="L157">
        <v>1368</v>
      </c>
      <c r="N157">
        <v>1011</v>
      </c>
      <c r="O157" t="s">
        <v>84</v>
      </c>
      <c r="P157" t="s">
        <v>84</v>
      </c>
      <c r="Q157">
        <v>1</v>
      </c>
      <c r="X157">
        <v>2.08</v>
      </c>
      <c r="Y157">
        <v>0</v>
      </c>
      <c r="Z157">
        <v>430.32</v>
      </c>
      <c r="AA157">
        <v>215.31</v>
      </c>
      <c r="AB157">
        <v>0</v>
      </c>
      <c r="AC157">
        <v>0</v>
      </c>
      <c r="AD157">
        <v>1</v>
      </c>
      <c r="AE157">
        <v>0</v>
      </c>
      <c r="AF157" t="s">
        <v>3</v>
      </c>
      <c r="AG157">
        <v>2.08</v>
      </c>
      <c r="AH157">
        <v>2</v>
      </c>
      <c r="AI157">
        <v>52431763</v>
      </c>
      <c r="AJ157">
        <v>165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</row>
    <row r="158" spans="1:44" x14ac:dyDescent="0.2">
      <c r="A158">
        <f>ROW(Source!A160)</f>
        <v>160</v>
      </c>
      <c r="B158">
        <v>52431772</v>
      </c>
      <c r="C158">
        <v>52431760</v>
      </c>
      <c r="D158">
        <v>51865006</v>
      </c>
      <c r="E158">
        <v>1</v>
      </c>
      <c r="F158">
        <v>1</v>
      </c>
      <c r="G158">
        <v>27</v>
      </c>
      <c r="H158">
        <v>2</v>
      </c>
      <c r="I158" t="s">
        <v>393</v>
      </c>
      <c r="J158" t="s">
        <v>394</v>
      </c>
      <c r="K158" t="s">
        <v>395</v>
      </c>
      <c r="L158">
        <v>1368</v>
      </c>
      <c r="N158">
        <v>1011</v>
      </c>
      <c r="O158" t="s">
        <v>84</v>
      </c>
      <c r="P158" t="s">
        <v>84</v>
      </c>
      <c r="Q158">
        <v>1</v>
      </c>
      <c r="X158">
        <v>0.81</v>
      </c>
      <c r="Y158">
        <v>0</v>
      </c>
      <c r="Z158">
        <v>2020.59</v>
      </c>
      <c r="AA158">
        <v>458.56</v>
      </c>
      <c r="AB158">
        <v>0</v>
      </c>
      <c r="AC158">
        <v>0</v>
      </c>
      <c r="AD158">
        <v>1</v>
      </c>
      <c r="AE158">
        <v>0</v>
      </c>
      <c r="AF158" t="s">
        <v>3</v>
      </c>
      <c r="AG158">
        <v>0.81</v>
      </c>
      <c r="AH158">
        <v>2</v>
      </c>
      <c r="AI158">
        <v>52431764</v>
      </c>
      <c r="AJ158">
        <v>166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</row>
    <row r="159" spans="1:44" x14ac:dyDescent="0.2">
      <c r="A159">
        <f>ROW(Source!A160)</f>
        <v>160</v>
      </c>
      <c r="B159">
        <v>52431773</v>
      </c>
      <c r="C159">
        <v>52431760</v>
      </c>
      <c r="D159">
        <v>51865030</v>
      </c>
      <c r="E159">
        <v>1</v>
      </c>
      <c r="F159">
        <v>1</v>
      </c>
      <c r="G159">
        <v>27</v>
      </c>
      <c r="H159">
        <v>2</v>
      </c>
      <c r="I159" t="s">
        <v>396</v>
      </c>
      <c r="J159" t="s">
        <v>397</v>
      </c>
      <c r="K159" t="s">
        <v>398</v>
      </c>
      <c r="L159">
        <v>1368</v>
      </c>
      <c r="N159">
        <v>1011</v>
      </c>
      <c r="O159" t="s">
        <v>84</v>
      </c>
      <c r="P159" t="s">
        <v>84</v>
      </c>
      <c r="Q159">
        <v>1</v>
      </c>
      <c r="X159">
        <v>1.94</v>
      </c>
      <c r="Y159">
        <v>0</v>
      </c>
      <c r="Z159">
        <v>1412.71</v>
      </c>
      <c r="AA159">
        <v>641.32000000000005</v>
      </c>
      <c r="AB159">
        <v>0</v>
      </c>
      <c r="AC159">
        <v>0</v>
      </c>
      <c r="AD159">
        <v>1</v>
      </c>
      <c r="AE159">
        <v>0</v>
      </c>
      <c r="AF159" t="s">
        <v>3</v>
      </c>
      <c r="AG159">
        <v>1.94</v>
      </c>
      <c r="AH159">
        <v>2</v>
      </c>
      <c r="AI159">
        <v>52431765</v>
      </c>
      <c r="AJ159">
        <v>167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</row>
    <row r="160" spans="1:44" x14ac:dyDescent="0.2">
      <c r="A160">
        <f>ROW(Source!A160)</f>
        <v>160</v>
      </c>
      <c r="B160">
        <v>52431774</v>
      </c>
      <c r="C160">
        <v>52431760</v>
      </c>
      <c r="D160">
        <v>51864996</v>
      </c>
      <c r="E160">
        <v>1</v>
      </c>
      <c r="F160">
        <v>1</v>
      </c>
      <c r="G160">
        <v>27</v>
      </c>
      <c r="H160">
        <v>2</v>
      </c>
      <c r="I160" t="s">
        <v>399</v>
      </c>
      <c r="J160" t="s">
        <v>400</v>
      </c>
      <c r="K160" t="s">
        <v>401</v>
      </c>
      <c r="L160">
        <v>1368</v>
      </c>
      <c r="N160">
        <v>1011</v>
      </c>
      <c r="O160" t="s">
        <v>84</v>
      </c>
      <c r="P160" t="s">
        <v>84</v>
      </c>
      <c r="Q160">
        <v>1</v>
      </c>
      <c r="X160">
        <v>0.65</v>
      </c>
      <c r="Y160">
        <v>0</v>
      </c>
      <c r="Z160">
        <v>1213.3399999999999</v>
      </c>
      <c r="AA160">
        <v>461.6</v>
      </c>
      <c r="AB160">
        <v>0</v>
      </c>
      <c r="AC160">
        <v>0</v>
      </c>
      <c r="AD160">
        <v>1</v>
      </c>
      <c r="AE160">
        <v>0</v>
      </c>
      <c r="AF160" t="s">
        <v>3</v>
      </c>
      <c r="AG160">
        <v>0.65</v>
      </c>
      <c r="AH160">
        <v>2</v>
      </c>
      <c r="AI160">
        <v>52431766</v>
      </c>
      <c r="AJ160">
        <v>168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</row>
    <row r="161" spans="1:44" x14ac:dyDescent="0.2">
      <c r="A161">
        <f>ROW(Source!A160)</f>
        <v>160</v>
      </c>
      <c r="B161">
        <v>52431775</v>
      </c>
      <c r="C161">
        <v>52431760</v>
      </c>
      <c r="D161">
        <v>51866959</v>
      </c>
      <c r="E161">
        <v>1</v>
      </c>
      <c r="F161">
        <v>1</v>
      </c>
      <c r="G161">
        <v>27</v>
      </c>
      <c r="H161">
        <v>3</v>
      </c>
      <c r="I161" t="s">
        <v>402</v>
      </c>
      <c r="J161" t="s">
        <v>403</v>
      </c>
      <c r="K161" t="s">
        <v>404</v>
      </c>
      <c r="L161">
        <v>1339</v>
      </c>
      <c r="N161">
        <v>1007</v>
      </c>
      <c r="O161" t="s">
        <v>28</v>
      </c>
      <c r="P161" t="s">
        <v>28</v>
      </c>
      <c r="Q161">
        <v>1</v>
      </c>
      <c r="X161">
        <v>110</v>
      </c>
      <c r="Y161">
        <v>590.78</v>
      </c>
      <c r="Z161">
        <v>0</v>
      </c>
      <c r="AA161">
        <v>0</v>
      </c>
      <c r="AB161">
        <v>0</v>
      </c>
      <c r="AC161">
        <v>0</v>
      </c>
      <c r="AD161">
        <v>1</v>
      </c>
      <c r="AE161">
        <v>0</v>
      </c>
      <c r="AF161" t="s">
        <v>3</v>
      </c>
      <c r="AG161">
        <v>110</v>
      </c>
      <c r="AH161">
        <v>2</v>
      </c>
      <c r="AI161">
        <v>52431767</v>
      </c>
      <c r="AJ161">
        <v>169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</row>
    <row r="162" spans="1:44" x14ac:dyDescent="0.2">
      <c r="A162">
        <f>ROW(Source!A160)</f>
        <v>160</v>
      </c>
      <c r="B162">
        <v>52431776</v>
      </c>
      <c r="C162">
        <v>52431760</v>
      </c>
      <c r="D162">
        <v>51867705</v>
      </c>
      <c r="E162">
        <v>1</v>
      </c>
      <c r="F162">
        <v>1</v>
      </c>
      <c r="G162">
        <v>27</v>
      </c>
      <c r="H162">
        <v>3</v>
      </c>
      <c r="I162" t="s">
        <v>405</v>
      </c>
      <c r="J162" t="s">
        <v>406</v>
      </c>
      <c r="K162" t="s">
        <v>407</v>
      </c>
      <c r="L162">
        <v>1339</v>
      </c>
      <c r="N162">
        <v>1007</v>
      </c>
      <c r="O162" t="s">
        <v>28</v>
      </c>
      <c r="P162" t="s">
        <v>28</v>
      </c>
      <c r="Q162">
        <v>1</v>
      </c>
      <c r="X162">
        <v>5</v>
      </c>
      <c r="Y162">
        <v>35.25</v>
      </c>
      <c r="Z162">
        <v>0</v>
      </c>
      <c r="AA162">
        <v>0</v>
      </c>
      <c r="AB162">
        <v>0</v>
      </c>
      <c r="AC162">
        <v>0</v>
      </c>
      <c r="AD162">
        <v>1</v>
      </c>
      <c r="AE162">
        <v>0</v>
      </c>
      <c r="AF162" t="s">
        <v>3</v>
      </c>
      <c r="AG162">
        <v>5</v>
      </c>
      <c r="AH162">
        <v>2</v>
      </c>
      <c r="AI162">
        <v>52431768</v>
      </c>
      <c r="AJ162">
        <v>170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</row>
    <row r="163" spans="1:44" x14ac:dyDescent="0.2">
      <c r="A163">
        <f>ROW(Source!A161)</f>
        <v>161</v>
      </c>
      <c r="B163">
        <v>52431783</v>
      </c>
      <c r="C163">
        <v>52431777</v>
      </c>
      <c r="D163">
        <v>51848379</v>
      </c>
      <c r="E163">
        <v>27</v>
      </c>
      <c r="F163">
        <v>1</v>
      </c>
      <c r="G163">
        <v>27</v>
      </c>
      <c r="H163">
        <v>1</v>
      </c>
      <c r="I163" t="s">
        <v>378</v>
      </c>
      <c r="J163" t="s">
        <v>3</v>
      </c>
      <c r="K163" t="s">
        <v>379</v>
      </c>
      <c r="L163">
        <v>1191</v>
      </c>
      <c r="N163">
        <v>1013</v>
      </c>
      <c r="O163" t="s">
        <v>380</v>
      </c>
      <c r="P163" t="s">
        <v>380</v>
      </c>
      <c r="Q163">
        <v>1</v>
      </c>
      <c r="X163">
        <v>72.95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1</v>
      </c>
      <c r="AE163">
        <v>1</v>
      </c>
      <c r="AF163" t="s">
        <v>3</v>
      </c>
      <c r="AG163">
        <v>72.95</v>
      </c>
      <c r="AH163">
        <v>2</v>
      </c>
      <c r="AI163">
        <v>52431778</v>
      </c>
      <c r="AJ163">
        <v>171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</row>
    <row r="164" spans="1:44" x14ac:dyDescent="0.2">
      <c r="A164">
        <f>ROW(Source!A161)</f>
        <v>161</v>
      </c>
      <c r="B164">
        <v>52431784</v>
      </c>
      <c r="C164">
        <v>52431777</v>
      </c>
      <c r="D164">
        <v>51864920</v>
      </c>
      <c r="E164">
        <v>1</v>
      </c>
      <c r="F164">
        <v>1</v>
      </c>
      <c r="G164">
        <v>27</v>
      </c>
      <c r="H164">
        <v>2</v>
      </c>
      <c r="I164" t="s">
        <v>445</v>
      </c>
      <c r="J164" t="s">
        <v>446</v>
      </c>
      <c r="K164" t="s">
        <v>447</v>
      </c>
      <c r="L164">
        <v>1368</v>
      </c>
      <c r="N164">
        <v>1011</v>
      </c>
      <c r="O164" t="s">
        <v>84</v>
      </c>
      <c r="P164" t="s">
        <v>84</v>
      </c>
      <c r="Q164">
        <v>1</v>
      </c>
      <c r="X164">
        <v>0.26</v>
      </c>
      <c r="Y164">
        <v>0</v>
      </c>
      <c r="Z164">
        <v>683.9</v>
      </c>
      <c r="AA164">
        <v>371.27</v>
      </c>
      <c r="AB164">
        <v>0</v>
      </c>
      <c r="AC164">
        <v>0</v>
      </c>
      <c r="AD164">
        <v>1</v>
      </c>
      <c r="AE164">
        <v>0</v>
      </c>
      <c r="AF164" t="s">
        <v>3</v>
      </c>
      <c r="AG164">
        <v>0.26</v>
      </c>
      <c r="AH164">
        <v>2</v>
      </c>
      <c r="AI164">
        <v>52431779</v>
      </c>
      <c r="AJ164">
        <v>172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</row>
    <row r="165" spans="1:44" x14ac:dyDescent="0.2">
      <c r="A165">
        <f>ROW(Source!A161)</f>
        <v>161</v>
      </c>
      <c r="B165">
        <v>52431785</v>
      </c>
      <c r="C165">
        <v>52431777</v>
      </c>
      <c r="D165">
        <v>51868676</v>
      </c>
      <c r="E165">
        <v>1</v>
      </c>
      <c r="F165">
        <v>1</v>
      </c>
      <c r="G165">
        <v>27</v>
      </c>
      <c r="H165">
        <v>3</v>
      </c>
      <c r="I165" t="s">
        <v>448</v>
      </c>
      <c r="J165" t="s">
        <v>449</v>
      </c>
      <c r="K165" t="s">
        <v>450</v>
      </c>
      <c r="L165">
        <v>1339</v>
      </c>
      <c r="N165">
        <v>1007</v>
      </c>
      <c r="O165" t="s">
        <v>28</v>
      </c>
      <c r="P165" t="s">
        <v>28</v>
      </c>
      <c r="Q165">
        <v>1</v>
      </c>
      <c r="X165">
        <v>4.3</v>
      </c>
      <c r="Y165">
        <v>3714.73</v>
      </c>
      <c r="Z165">
        <v>0</v>
      </c>
      <c r="AA165">
        <v>0</v>
      </c>
      <c r="AB165">
        <v>0</v>
      </c>
      <c r="AC165">
        <v>0</v>
      </c>
      <c r="AD165">
        <v>1</v>
      </c>
      <c r="AE165">
        <v>0</v>
      </c>
      <c r="AF165" t="s">
        <v>3</v>
      </c>
      <c r="AG165">
        <v>4.3</v>
      </c>
      <c r="AH165">
        <v>2</v>
      </c>
      <c r="AI165">
        <v>52431780</v>
      </c>
      <c r="AJ165">
        <v>173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</row>
    <row r="166" spans="1:44" x14ac:dyDescent="0.2">
      <c r="A166">
        <f>ROW(Source!A161)</f>
        <v>161</v>
      </c>
      <c r="B166">
        <v>52431786</v>
      </c>
      <c r="C166">
        <v>52431777</v>
      </c>
      <c r="D166">
        <v>51868752</v>
      </c>
      <c r="E166">
        <v>1</v>
      </c>
      <c r="F166">
        <v>1</v>
      </c>
      <c r="G166">
        <v>27</v>
      </c>
      <c r="H166">
        <v>3</v>
      </c>
      <c r="I166" t="s">
        <v>451</v>
      </c>
      <c r="J166" t="s">
        <v>452</v>
      </c>
      <c r="K166" t="s">
        <v>453</v>
      </c>
      <c r="L166">
        <v>1339</v>
      </c>
      <c r="N166">
        <v>1007</v>
      </c>
      <c r="O166" t="s">
        <v>28</v>
      </c>
      <c r="P166" t="s">
        <v>28</v>
      </c>
      <c r="Q166">
        <v>1</v>
      </c>
      <c r="X166">
        <v>0.02</v>
      </c>
      <c r="Y166">
        <v>3392.59</v>
      </c>
      <c r="Z166">
        <v>0</v>
      </c>
      <c r="AA166">
        <v>0</v>
      </c>
      <c r="AB166">
        <v>0</v>
      </c>
      <c r="AC166">
        <v>0</v>
      </c>
      <c r="AD166">
        <v>1</v>
      </c>
      <c r="AE166">
        <v>0</v>
      </c>
      <c r="AF166" t="s">
        <v>3</v>
      </c>
      <c r="AG166">
        <v>0.02</v>
      </c>
      <c r="AH166">
        <v>2</v>
      </c>
      <c r="AI166">
        <v>52431781</v>
      </c>
      <c r="AJ166">
        <v>174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</row>
    <row r="167" spans="1:44" x14ac:dyDescent="0.2">
      <c r="A167">
        <f>ROW(Source!A161)</f>
        <v>161</v>
      </c>
      <c r="B167">
        <v>52431787</v>
      </c>
      <c r="C167">
        <v>52431777</v>
      </c>
      <c r="D167">
        <v>51869488</v>
      </c>
      <c r="E167">
        <v>1</v>
      </c>
      <c r="F167">
        <v>1</v>
      </c>
      <c r="G167">
        <v>27</v>
      </c>
      <c r="H167">
        <v>3</v>
      </c>
      <c r="I167" t="s">
        <v>454</v>
      </c>
      <c r="J167" t="s">
        <v>455</v>
      </c>
      <c r="K167" t="s">
        <v>456</v>
      </c>
      <c r="L167">
        <v>1339</v>
      </c>
      <c r="N167">
        <v>1007</v>
      </c>
      <c r="O167" t="s">
        <v>28</v>
      </c>
      <c r="P167" t="s">
        <v>28</v>
      </c>
      <c r="Q167">
        <v>1</v>
      </c>
      <c r="X167">
        <v>1.6</v>
      </c>
      <c r="Y167">
        <v>11566.57</v>
      </c>
      <c r="Z167">
        <v>0</v>
      </c>
      <c r="AA167">
        <v>0</v>
      </c>
      <c r="AB167">
        <v>0</v>
      </c>
      <c r="AC167">
        <v>0</v>
      </c>
      <c r="AD167">
        <v>1</v>
      </c>
      <c r="AE167">
        <v>0</v>
      </c>
      <c r="AF167" t="s">
        <v>3</v>
      </c>
      <c r="AG167">
        <v>1.6</v>
      </c>
      <c r="AH167">
        <v>2</v>
      </c>
      <c r="AI167">
        <v>52431782</v>
      </c>
      <c r="AJ167">
        <v>175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</row>
    <row r="168" spans="1:44" x14ac:dyDescent="0.2">
      <c r="A168">
        <f>ROW(Source!A162)</f>
        <v>162</v>
      </c>
      <c r="B168">
        <v>52431800</v>
      </c>
      <c r="C168">
        <v>52431788</v>
      </c>
      <c r="D168">
        <v>51848379</v>
      </c>
      <c r="E168">
        <v>27</v>
      </c>
      <c r="F168">
        <v>1</v>
      </c>
      <c r="G168">
        <v>27</v>
      </c>
      <c r="H168">
        <v>1</v>
      </c>
      <c r="I168" t="s">
        <v>378</v>
      </c>
      <c r="J168" t="s">
        <v>3</v>
      </c>
      <c r="K168" t="s">
        <v>379</v>
      </c>
      <c r="L168">
        <v>1191</v>
      </c>
      <c r="N168">
        <v>1013</v>
      </c>
      <c r="O168" t="s">
        <v>380</v>
      </c>
      <c r="P168" t="s">
        <v>380</v>
      </c>
      <c r="Q168">
        <v>1</v>
      </c>
      <c r="X168">
        <v>902.75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1</v>
      </c>
      <c r="AE168">
        <v>1</v>
      </c>
      <c r="AF168" t="s">
        <v>3</v>
      </c>
      <c r="AG168">
        <v>902.75</v>
      </c>
      <c r="AH168">
        <v>2</v>
      </c>
      <c r="AI168">
        <v>52431789</v>
      </c>
      <c r="AJ168">
        <v>176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</row>
    <row r="169" spans="1:44" x14ac:dyDescent="0.2">
      <c r="A169">
        <f>ROW(Source!A162)</f>
        <v>162</v>
      </c>
      <c r="B169">
        <v>52431801</v>
      </c>
      <c r="C169">
        <v>52431788</v>
      </c>
      <c r="D169">
        <v>51864800</v>
      </c>
      <c r="E169">
        <v>1</v>
      </c>
      <c r="F169">
        <v>1</v>
      </c>
      <c r="G169">
        <v>27</v>
      </c>
      <c r="H169">
        <v>2</v>
      </c>
      <c r="I169" t="s">
        <v>91</v>
      </c>
      <c r="J169" t="s">
        <v>93</v>
      </c>
      <c r="K169" t="s">
        <v>92</v>
      </c>
      <c r="L169">
        <v>1368</v>
      </c>
      <c r="N169">
        <v>1011</v>
      </c>
      <c r="O169" t="s">
        <v>84</v>
      </c>
      <c r="P169" t="s">
        <v>84</v>
      </c>
      <c r="Q169">
        <v>1</v>
      </c>
      <c r="X169">
        <v>0.09</v>
      </c>
      <c r="Y169">
        <v>0</v>
      </c>
      <c r="Z169">
        <v>1009.65</v>
      </c>
      <c r="AA169">
        <v>554.42999999999995</v>
      </c>
      <c r="AB169">
        <v>0</v>
      </c>
      <c r="AC169">
        <v>0</v>
      </c>
      <c r="AD169">
        <v>1</v>
      </c>
      <c r="AE169">
        <v>0</v>
      </c>
      <c r="AF169" t="s">
        <v>3</v>
      </c>
      <c r="AG169">
        <v>0.09</v>
      </c>
      <c r="AH169">
        <v>2</v>
      </c>
      <c r="AI169">
        <v>52431790</v>
      </c>
      <c r="AJ169">
        <v>177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</row>
    <row r="170" spans="1:44" x14ac:dyDescent="0.2">
      <c r="A170">
        <f>ROW(Source!A162)</f>
        <v>162</v>
      </c>
      <c r="B170">
        <v>52431802</v>
      </c>
      <c r="C170">
        <v>52431788</v>
      </c>
      <c r="D170">
        <v>51865257</v>
      </c>
      <c r="E170">
        <v>1</v>
      </c>
      <c r="F170">
        <v>1</v>
      </c>
      <c r="G170">
        <v>27</v>
      </c>
      <c r="H170">
        <v>2</v>
      </c>
      <c r="I170" t="s">
        <v>87</v>
      </c>
      <c r="J170" t="s">
        <v>89</v>
      </c>
      <c r="K170" t="s">
        <v>88</v>
      </c>
      <c r="L170">
        <v>1368</v>
      </c>
      <c r="N170">
        <v>1011</v>
      </c>
      <c r="O170" t="s">
        <v>84</v>
      </c>
      <c r="P170" t="s">
        <v>84</v>
      </c>
      <c r="Q170">
        <v>1</v>
      </c>
      <c r="X170">
        <v>14.5</v>
      </c>
      <c r="Y170">
        <v>0</v>
      </c>
      <c r="Z170">
        <v>27.21</v>
      </c>
      <c r="AA170">
        <v>0.13</v>
      </c>
      <c r="AB170">
        <v>0</v>
      </c>
      <c r="AC170">
        <v>0</v>
      </c>
      <c r="AD170">
        <v>1</v>
      </c>
      <c r="AE170">
        <v>0</v>
      </c>
      <c r="AF170" t="s">
        <v>3</v>
      </c>
      <c r="AG170">
        <v>14.5</v>
      </c>
      <c r="AH170">
        <v>2</v>
      </c>
      <c r="AI170">
        <v>52431791</v>
      </c>
      <c r="AJ170">
        <v>178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</row>
    <row r="171" spans="1:44" x14ac:dyDescent="0.2">
      <c r="A171">
        <f>ROW(Source!A162)</f>
        <v>162</v>
      </c>
      <c r="B171">
        <v>52431803</v>
      </c>
      <c r="C171">
        <v>52431788</v>
      </c>
      <c r="D171">
        <v>51865090</v>
      </c>
      <c r="E171">
        <v>1</v>
      </c>
      <c r="F171">
        <v>1</v>
      </c>
      <c r="G171">
        <v>27</v>
      </c>
      <c r="H171">
        <v>2</v>
      </c>
      <c r="I171" t="s">
        <v>82</v>
      </c>
      <c r="J171" t="s">
        <v>85</v>
      </c>
      <c r="K171" t="s">
        <v>83</v>
      </c>
      <c r="L171">
        <v>1368</v>
      </c>
      <c r="N171">
        <v>1011</v>
      </c>
      <c r="O171" t="s">
        <v>84</v>
      </c>
      <c r="P171" t="s">
        <v>84</v>
      </c>
      <c r="Q171">
        <v>1</v>
      </c>
      <c r="X171">
        <v>5.44</v>
      </c>
      <c r="Y171">
        <v>0</v>
      </c>
      <c r="Z171">
        <v>10.82</v>
      </c>
      <c r="AA171">
        <v>2.97</v>
      </c>
      <c r="AB171">
        <v>0</v>
      </c>
      <c r="AC171">
        <v>0</v>
      </c>
      <c r="AD171">
        <v>1</v>
      </c>
      <c r="AE171">
        <v>0</v>
      </c>
      <c r="AF171" t="s">
        <v>3</v>
      </c>
      <c r="AG171">
        <v>5.44</v>
      </c>
      <c r="AH171">
        <v>2</v>
      </c>
      <c r="AI171">
        <v>52431792</v>
      </c>
      <c r="AJ171">
        <v>179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</row>
    <row r="172" spans="1:44" x14ac:dyDescent="0.2">
      <c r="A172">
        <f>ROW(Source!A162)</f>
        <v>162</v>
      </c>
      <c r="B172">
        <v>52431804</v>
      </c>
      <c r="C172">
        <v>52431788</v>
      </c>
      <c r="D172">
        <v>51867612</v>
      </c>
      <c r="E172">
        <v>1</v>
      </c>
      <c r="F172">
        <v>1</v>
      </c>
      <c r="G172">
        <v>27</v>
      </c>
      <c r="H172">
        <v>3</v>
      </c>
      <c r="I172" t="s">
        <v>99</v>
      </c>
      <c r="J172" t="s">
        <v>102</v>
      </c>
      <c r="K172" t="s">
        <v>100</v>
      </c>
      <c r="L172">
        <v>1348</v>
      </c>
      <c r="N172">
        <v>1009</v>
      </c>
      <c r="O172" t="s">
        <v>101</v>
      </c>
      <c r="P172" t="s">
        <v>101</v>
      </c>
      <c r="Q172">
        <v>1000</v>
      </c>
      <c r="X172">
        <v>0.02</v>
      </c>
      <c r="Y172">
        <v>110781.14</v>
      </c>
      <c r="Z172">
        <v>0</v>
      </c>
      <c r="AA172">
        <v>0</v>
      </c>
      <c r="AB172">
        <v>0</v>
      </c>
      <c r="AC172">
        <v>0</v>
      </c>
      <c r="AD172">
        <v>1</v>
      </c>
      <c r="AE172">
        <v>0</v>
      </c>
      <c r="AF172" t="s">
        <v>3</v>
      </c>
      <c r="AG172">
        <v>0.02</v>
      </c>
      <c r="AH172">
        <v>2</v>
      </c>
      <c r="AI172">
        <v>52431793</v>
      </c>
      <c r="AJ172">
        <v>180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</row>
    <row r="173" spans="1:44" x14ac:dyDescent="0.2">
      <c r="A173">
        <f>ROW(Source!A162)</f>
        <v>162</v>
      </c>
      <c r="B173">
        <v>52431805</v>
      </c>
      <c r="C173">
        <v>52431788</v>
      </c>
      <c r="D173">
        <v>51866048</v>
      </c>
      <c r="E173">
        <v>1</v>
      </c>
      <c r="F173">
        <v>1</v>
      </c>
      <c r="G173">
        <v>27</v>
      </c>
      <c r="H173">
        <v>3</v>
      </c>
      <c r="I173" t="s">
        <v>77</v>
      </c>
      <c r="J173" t="s">
        <v>80</v>
      </c>
      <c r="K173" t="s">
        <v>78</v>
      </c>
      <c r="L173">
        <v>1356</v>
      </c>
      <c r="N173">
        <v>1010</v>
      </c>
      <c r="O173" t="s">
        <v>79</v>
      </c>
      <c r="P173" t="s">
        <v>79</v>
      </c>
      <c r="Q173">
        <v>1000</v>
      </c>
      <c r="X173">
        <v>3.6999999999999998E-2</v>
      </c>
      <c r="Y173">
        <v>10419.43</v>
      </c>
      <c r="Z173">
        <v>0</v>
      </c>
      <c r="AA173">
        <v>0</v>
      </c>
      <c r="AB173">
        <v>0</v>
      </c>
      <c r="AC173">
        <v>0</v>
      </c>
      <c r="AD173">
        <v>1</v>
      </c>
      <c r="AE173">
        <v>0</v>
      </c>
      <c r="AF173" t="s">
        <v>3</v>
      </c>
      <c r="AG173">
        <v>3.6999999999999998E-2</v>
      </c>
      <c r="AH173">
        <v>2</v>
      </c>
      <c r="AI173">
        <v>52431794</v>
      </c>
      <c r="AJ173">
        <v>181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</row>
    <row r="174" spans="1:44" x14ac:dyDescent="0.2">
      <c r="A174">
        <f>ROW(Source!A162)</f>
        <v>162</v>
      </c>
      <c r="B174">
        <v>52431806</v>
      </c>
      <c r="C174">
        <v>52431788</v>
      </c>
      <c r="D174">
        <v>51868609</v>
      </c>
      <c r="E174">
        <v>1</v>
      </c>
      <c r="F174">
        <v>1</v>
      </c>
      <c r="G174">
        <v>27</v>
      </c>
      <c r="H174">
        <v>3</v>
      </c>
      <c r="I174" t="s">
        <v>95</v>
      </c>
      <c r="J174" t="s">
        <v>97</v>
      </c>
      <c r="K174" t="s">
        <v>96</v>
      </c>
      <c r="L174">
        <v>1339</v>
      </c>
      <c r="N174">
        <v>1007</v>
      </c>
      <c r="O174" t="s">
        <v>28</v>
      </c>
      <c r="P174" t="s">
        <v>28</v>
      </c>
      <c r="Q174">
        <v>1</v>
      </c>
      <c r="X174">
        <v>5</v>
      </c>
      <c r="Y174">
        <v>3040.38</v>
      </c>
      <c r="Z174">
        <v>0</v>
      </c>
      <c r="AA174">
        <v>0</v>
      </c>
      <c r="AB174">
        <v>0</v>
      </c>
      <c r="AC174">
        <v>0</v>
      </c>
      <c r="AD174">
        <v>1</v>
      </c>
      <c r="AE174">
        <v>0</v>
      </c>
      <c r="AF174" t="s">
        <v>3</v>
      </c>
      <c r="AG174">
        <v>5</v>
      </c>
      <c r="AH174">
        <v>2</v>
      </c>
      <c r="AI174">
        <v>52431795</v>
      </c>
      <c r="AJ174">
        <v>182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</row>
    <row r="175" spans="1:44" x14ac:dyDescent="0.2">
      <c r="A175">
        <f>ROW(Source!A162)</f>
        <v>162</v>
      </c>
      <c r="B175">
        <v>52431807</v>
      </c>
      <c r="C175">
        <v>52431788</v>
      </c>
      <c r="D175">
        <v>51868749</v>
      </c>
      <c r="E175">
        <v>1</v>
      </c>
      <c r="F175">
        <v>1</v>
      </c>
      <c r="G175">
        <v>27</v>
      </c>
      <c r="H175">
        <v>3</v>
      </c>
      <c r="I175" t="s">
        <v>457</v>
      </c>
      <c r="J175" t="s">
        <v>458</v>
      </c>
      <c r="K175" t="s">
        <v>459</v>
      </c>
      <c r="L175">
        <v>1339</v>
      </c>
      <c r="N175">
        <v>1007</v>
      </c>
      <c r="O175" t="s">
        <v>28</v>
      </c>
      <c r="P175" t="s">
        <v>28</v>
      </c>
      <c r="Q175">
        <v>1</v>
      </c>
      <c r="X175">
        <v>1.4999999999999999E-2</v>
      </c>
      <c r="Y175">
        <v>3323.4</v>
      </c>
      <c r="Z175">
        <v>0</v>
      </c>
      <c r="AA175">
        <v>0</v>
      </c>
      <c r="AB175">
        <v>0</v>
      </c>
      <c r="AC175">
        <v>0</v>
      </c>
      <c r="AD175">
        <v>1</v>
      </c>
      <c r="AE175">
        <v>0</v>
      </c>
      <c r="AF175" t="s">
        <v>3</v>
      </c>
      <c r="AG175">
        <v>1.4999999999999999E-2</v>
      </c>
      <c r="AH175">
        <v>2</v>
      </c>
      <c r="AI175">
        <v>52431796</v>
      </c>
      <c r="AJ175">
        <v>183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</row>
    <row r="176" spans="1:44" x14ac:dyDescent="0.2">
      <c r="A176">
        <f>ROW(Source!A162)</f>
        <v>162</v>
      </c>
      <c r="B176">
        <v>52431808</v>
      </c>
      <c r="C176">
        <v>52431788</v>
      </c>
      <c r="D176">
        <v>51848520</v>
      </c>
      <c r="E176">
        <v>27</v>
      </c>
      <c r="F176">
        <v>1</v>
      </c>
      <c r="G176">
        <v>27</v>
      </c>
      <c r="H176">
        <v>3</v>
      </c>
      <c r="I176" t="s">
        <v>516</v>
      </c>
      <c r="J176" t="s">
        <v>3</v>
      </c>
      <c r="K176" t="s">
        <v>517</v>
      </c>
      <c r="L176">
        <v>1354</v>
      </c>
      <c r="N176">
        <v>1010</v>
      </c>
      <c r="O176" t="s">
        <v>106</v>
      </c>
      <c r="P176" t="s">
        <v>106</v>
      </c>
      <c r="Q176">
        <v>1</v>
      </c>
      <c r="X176">
        <v>100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 t="s">
        <v>3</v>
      </c>
      <c r="AG176">
        <v>100</v>
      </c>
      <c r="AH176">
        <v>3</v>
      </c>
      <c r="AI176">
        <v>-1</v>
      </c>
      <c r="AJ176" t="s">
        <v>3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</row>
    <row r="177" spans="1:44" x14ac:dyDescent="0.2">
      <c r="A177">
        <f>ROW(Source!A162)</f>
        <v>162</v>
      </c>
      <c r="B177">
        <v>52431809</v>
      </c>
      <c r="C177">
        <v>52431788</v>
      </c>
      <c r="D177">
        <v>51848525</v>
      </c>
      <c r="E177">
        <v>27</v>
      </c>
      <c r="F177">
        <v>1</v>
      </c>
      <c r="G177">
        <v>27</v>
      </c>
      <c r="H177">
        <v>3</v>
      </c>
      <c r="I177" t="s">
        <v>518</v>
      </c>
      <c r="J177" t="s">
        <v>3</v>
      </c>
      <c r="K177" t="s">
        <v>519</v>
      </c>
      <c r="L177">
        <v>1348</v>
      </c>
      <c r="N177">
        <v>1009</v>
      </c>
      <c r="O177" t="s">
        <v>101</v>
      </c>
      <c r="P177" t="s">
        <v>101</v>
      </c>
      <c r="Q177">
        <v>1000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 t="s">
        <v>3</v>
      </c>
      <c r="AG177">
        <v>0</v>
      </c>
      <c r="AH177">
        <v>3</v>
      </c>
      <c r="AI177">
        <v>-1</v>
      </c>
      <c r="AJ177" t="s">
        <v>3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</row>
    <row r="178" spans="1:44" x14ac:dyDescent="0.2">
      <c r="A178">
        <f>ROW(Source!A207)</f>
        <v>207</v>
      </c>
      <c r="B178">
        <v>52431821</v>
      </c>
      <c r="C178">
        <v>52431819</v>
      </c>
      <c r="D178">
        <v>51848379</v>
      </c>
      <c r="E178">
        <v>27</v>
      </c>
      <c r="F178">
        <v>1</v>
      </c>
      <c r="G178">
        <v>27</v>
      </c>
      <c r="H178">
        <v>1</v>
      </c>
      <c r="I178" t="s">
        <v>378</v>
      </c>
      <c r="J178" t="s">
        <v>3</v>
      </c>
      <c r="K178" t="s">
        <v>379</v>
      </c>
      <c r="L178">
        <v>1191</v>
      </c>
      <c r="N178">
        <v>1013</v>
      </c>
      <c r="O178" t="s">
        <v>380</v>
      </c>
      <c r="P178" t="s">
        <v>380</v>
      </c>
      <c r="Q178">
        <v>1</v>
      </c>
      <c r="X178">
        <v>2.66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1</v>
      </c>
      <c r="AE178">
        <v>1</v>
      </c>
      <c r="AF178" t="s">
        <v>3</v>
      </c>
      <c r="AG178">
        <v>2.66</v>
      </c>
      <c r="AH178">
        <v>2</v>
      </c>
      <c r="AI178">
        <v>52431820</v>
      </c>
      <c r="AJ178">
        <v>187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</row>
    <row r="179" spans="1:44" x14ac:dyDescent="0.2">
      <c r="A179">
        <f>ROW(Source!A208)</f>
        <v>208</v>
      </c>
      <c r="B179">
        <v>52431831</v>
      </c>
      <c r="C179">
        <v>52431822</v>
      </c>
      <c r="D179">
        <v>51848379</v>
      </c>
      <c r="E179">
        <v>27</v>
      </c>
      <c r="F179">
        <v>1</v>
      </c>
      <c r="G179">
        <v>27</v>
      </c>
      <c r="H179">
        <v>1</v>
      </c>
      <c r="I179" t="s">
        <v>378</v>
      </c>
      <c r="J179" t="s">
        <v>3</v>
      </c>
      <c r="K179" t="s">
        <v>379</v>
      </c>
      <c r="L179">
        <v>1191</v>
      </c>
      <c r="N179">
        <v>1013</v>
      </c>
      <c r="O179" t="s">
        <v>380</v>
      </c>
      <c r="P179" t="s">
        <v>380</v>
      </c>
      <c r="Q179">
        <v>1</v>
      </c>
      <c r="X179">
        <v>16.559999999999999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1</v>
      </c>
      <c r="AE179">
        <v>1</v>
      </c>
      <c r="AF179" t="s">
        <v>3</v>
      </c>
      <c r="AG179">
        <v>16.559999999999999</v>
      </c>
      <c r="AH179">
        <v>2</v>
      </c>
      <c r="AI179">
        <v>52431823</v>
      </c>
      <c r="AJ179">
        <v>188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</row>
    <row r="180" spans="1:44" x14ac:dyDescent="0.2">
      <c r="A180">
        <f>ROW(Source!A208)</f>
        <v>208</v>
      </c>
      <c r="B180">
        <v>52431832</v>
      </c>
      <c r="C180">
        <v>52431822</v>
      </c>
      <c r="D180">
        <v>51864848</v>
      </c>
      <c r="E180">
        <v>1</v>
      </c>
      <c r="F180">
        <v>1</v>
      </c>
      <c r="G180">
        <v>27</v>
      </c>
      <c r="H180">
        <v>2</v>
      </c>
      <c r="I180" t="s">
        <v>387</v>
      </c>
      <c r="J180" t="s">
        <v>388</v>
      </c>
      <c r="K180" t="s">
        <v>389</v>
      </c>
      <c r="L180">
        <v>1368</v>
      </c>
      <c r="N180">
        <v>1011</v>
      </c>
      <c r="O180" t="s">
        <v>84</v>
      </c>
      <c r="P180" t="s">
        <v>84</v>
      </c>
      <c r="Q180">
        <v>1</v>
      </c>
      <c r="X180">
        <v>2.08</v>
      </c>
      <c r="Y180">
        <v>0</v>
      </c>
      <c r="Z180">
        <v>740.94</v>
      </c>
      <c r="AA180">
        <v>413.22</v>
      </c>
      <c r="AB180">
        <v>0</v>
      </c>
      <c r="AC180">
        <v>0</v>
      </c>
      <c r="AD180">
        <v>1</v>
      </c>
      <c r="AE180">
        <v>0</v>
      </c>
      <c r="AF180" t="s">
        <v>3</v>
      </c>
      <c r="AG180">
        <v>2.08</v>
      </c>
      <c r="AH180">
        <v>2</v>
      </c>
      <c r="AI180">
        <v>52431824</v>
      </c>
      <c r="AJ180">
        <v>189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</row>
    <row r="181" spans="1:44" x14ac:dyDescent="0.2">
      <c r="A181">
        <f>ROW(Source!A208)</f>
        <v>208</v>
      </c>
      <c r="B181">
        <v>52431833</v>
      </c>
      <c r="C181">
        <v>52431822</v>
      </c>
      <c r="D181">
        <v>51865003</v>
      </c>
      <c r="E181">
        <v>1</v>
      </c>
      <c r="F181">
        <v>1</v>
      </c>
      <c r="G181">
        <v>27</v>
      </c>
      <c r="H181">
        <v>2</v>
      </c>
      <c r="I181" t="s">
        <v>390</v>
      </c>
      <c r="J181" t="s">
        <v>391</v>
      </c>
      <c r="K181" t="s">
        <v>392</v>
      </c>
      <c r="L181">
        <v>1368</v>
      </c>
      <c r="N181">
        <v>1011</v>
      </c>
      <c r="O181" t="s">
        <v>84</v>
      </c>
      <c r="P181" t="s">
        <v>84</v>
      </c>
      <c r="Q181">
        <v>1</v>
      </c>
      <c r="X181">
        <v>2.08</v>
      </c>
      <c r="Y181">
        <v>0</v>
      </c>
      <c r="Z181">
        <v>430.32</v>
      </c>
      <c r="AA181">
        <v>215.31</v>
      </c>
      <c r="AB181">
        <v>0</v>
      </c>
      <c r="AC181">
        <v>0</v>
      </c>
      <c r="AD181">
        <v>1</v>
      </c>
      <c r="AE181">
        <v>0</v>
      </c>
      <c r="AF181" t="s">
        <v>3</v>
      </c>
      <c r="AG181">
        <v>2.08</v>
      </c>
      <c r="AH181">
        <v>2</v>
      </c>
      <c r="AI181">
        <v>52431825</v>
      </c>
      <c r="AJ181">
        <v>190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</row>
    <row r="182" spans="1:44" x14ac:dyDescent="0.2">
      <c r="A182">
        <f>ROW(Source!A208)</f>
        <v>208</v>
      </c>
      <c r="B182">
        <v>52431834</v>
      </c>
      <c r="C182">
        <v>52431822</v>
      </c>
      <c r="D182">
        <v>51865006</v>
      </c>
      <c r="E182">
        <v>1</v>
      </c>
      <c r="F182">
        <v>1</v>
      </c>
      <c r="G182">
        <v>27</v>
      </c>
      <c r="H182">
        <v>2</v>
      </c>
      <c r="I182" t="s">
        <v>393</v>
      </c>
      <c r="J182" t="s">
        <v>394</v>
      </c>
      <c r="K182" t="s">
        <v>395</v>
      </c>
      <c r="L182">
        <v>1368</v>
      </c>
      <c r="N182">
        <v>1011</v>
      </c>
      <c r="O182" t="s">
        <v>84</v>
      </c>
      <c r="P182" t="s">
        <v>84</v>
      </c>
      <c r="Q182">
        <v>1</v>
      </c>
      <c r="X182">
        <v>0.81</v>
      </c>
      <c r="Y182">
        <v>0</v>
      </c>
      <c r="Z182">
        <v>2020.59</v>
      </c>
      <c r="AA182">
        <v>458.56</v>
      </c>
      <c r="AB182">
        <v>0</v>
      </c>
      <c r="AC182">
        <v>0</v>
      </c>
      <c r="AD182">
        <v>1</v>
      </c>
      <c r="AE182">
        <v>0</v>
      </c>
      <c r="AF182" t="s">
        <v>3</v>
      </c>
      <c r="AG182">
        <v>0.81</v>
      </c>
      <c r="AH182">
        <v>2</v>
      </c>
      <c r="AI182">
        <v>52431826</v>
      </c>
      <c r="AJ182">
        <v>191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</row>
    <row r="183" spans="1:44" x14ac:dyDescent="0.2">
      <c r="A183">
        <f>ROW(Source!A208)</f>
        <v>208</v>
      </c>
      <c r="B183">
        <v>52431835</v>
      </c>
      <c r="C183">
        <v>52431822</v>
      </c>
      <c r="D183">
        <v>51865030</v>
      </c>
      <c r="E183">
        <v>1</v>
      </c>
      <c r="F183">
        <v>1</v>
      </c>
      <c r="G183">
        <v>27</v>
      </c>
      <c r="H183">
        <v>2</v>
      </c>
      <c r="I183" t="s">
        <v>396</v>
      </c>
      <c r="J183" t="s">
        <v>397</v>
      </c>
      <c r="K183" t="s">
        <v>398</v>
      </c>
      <c r="L183">
        <v>1368</v>
      </c>
      <c r="N183">
        <v>1011</v>
      </c>
      <c r="O183" t="s">
        <v>84</v>
      </c>
      <c r="P183" t="s">
        <v>84</v>
      </c>
      <c r="Q183">
        <v>1</v>
      </c>
      <c r="X183">
        <v>1.94</v>
      </c>
      <c r="Y183">
        <v>0</v>
      </c>
      <c r="Z183">
        <v>1412.71</v>
      </c>
      <c r="AA183">
        <v>641.32000000000005</v>
      </c>
      <c r="AB183">
        <v>0</v>
      </c>
      <c r="AC183">
        <v>0</v>
      </c>
      <c r="AD183">
        <v>1</v>
      </c>
      <c r="AE183">
        <v>0</v>
      </c>
      <c r="AF183" t="s">
        <v>3</v>
      </c>
      <c r="AG183">
        <v>1.94</v>
      </c>
      <c r="AH183">
        <v>2</v>
      </c>
      <c r="AI183">
        <v>52431827</v>
      </c>
      <c r="AJ183">
        <v>192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</row>
    <row r="184" spans="1:44" x14ac:dyDescent="0.2">
      <c r="A184">
        <f>ROW(Source!A208)</f>
        <v>208</v>
      </c>
      <c r="B184">
        <v>52431836</v>
      </c>
      <c r="C184">
        <v>52431822</v>
      </c>
      <c r="D184">
        <v>51864996</v>
      </c>
      <c r="E184">
        <v>1</v>
      </c>
      <c r="F184">
        <v>1</v>
      </c>
      <c r="G184">
        <v>27</v>
      </c>
      <c r="H184">
        <v>2</v>
      </c>
      <c r="I184" t="s">
        <v>399</v>
      </c>
      <c r="J184" t="s">
        <v>400</v>
      </c>
      <c r="K184" t="s">
        <v>401</v>
      </c>
      <c r="L184">
        <v>1368</v>
      </c>
      <c r="N184">
        <v>1011</v>
      </c>
      <c r="O184" t="s">
        <v>84</v>
      </c>
      <c r="P184" t="s">
        <v>84</v>
      </c>
      <c r="Q184">
        <v>1</v>
      </c>
      <c r="X184">
        <v>0.65</v>
      </c>
      <c r="Y184">
        <v>0</v>
      </c>
      <c r="Z184">
        <v>1213.3399999999999</v>
      </c>
      <c r="AA184">
        <v>461.6</v>
      </c>
      <c r="AB184">
        <v>0</v>
      </c>
      <c r="AC184">
        <v>0</v>
      </c>
      <c r="AD184">
        <v>1</v>
      </c>
      <c r="AE184">
        <v>0</v>
      </c>
      <c r="AF184" t="s">
        <v>3</v>
      </c>
      <c r="AG184">
        <v>0.65</v>
      </c>
      <c r="AH184">
        <v>2</v>
      </c>
      <c r="AI184">
        <v>52431828</v>
      </c>
      <c r="AJ184">
        <v>193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</row>
    <row r="185" spans="1:44" x14ac:dyDescent="0.2">
      <c r="A185">
        <f>ROW(Source!A208)</f>
        <v>208</v>
      </c>
      <c r="B185">
        <v>52431837</v>
      </c>
      <c r="C185">
        <v>52431822</v>
      </c>
      <c r="D185">
        <v>51866959</v>
      </c>
      <c r="E185">
        <v>1</v>
      </c>
      <c r="F185">
        <v>1</v>
      </c>
      <c r="G185">
        <v>27</v>
      </c>
      <c r="H185">
        <v>3</v>
      </c>
      <c r="I185" t="s">
        <v>402</v>
      </c>
      <c r="J185" t="s">
        <v>403</v>
      </c>
      <c r="K185" t="s">
        <v>404</v>
      </c>
      <c r="L185">
        <v>1339</v>
      </c>
      <c r="N185">
        <v>1007</v>
      </c>
      <c r="O185" t="s">
        <v>28</v>
      </c>
      <c r="P185" t="s">
        <v>28</v>
      </c>
      <c r="Q185">
        <v>1</v>
      </c>
      <c r="X185">
        <v>110</v>
      </c>
      <c r="Y185">
        <v>590.78</v>
      </c>
      <c r="Z185">
        <v>0</v>
      </c>
      <c r="AA185">
        <v>0</v>
      </c>
      <c r="AB185">
        <v>0</v>
      </c>
      <c r="AC185">
        <v>0</v>
      </c>
      <c r="AD185">
        <v>1</v>
      </c>
      <c r="AE185">
        <v>0</v>
      </c>
      <c r="AF185" t="s">
        <v>3</v>
      </c>
      <c r="AG185">
        <v>110</v>
      </c>
      <c r="AH185">
        <v>2</v>
      </c>
      <c r="AI185">
        <v>52431829</v>
      </c>
      <c r="AJ185">
        <v>194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</row>
    <row r="186" spans="1:44" x14ac:dyDescent="0.2">
      <c r="A186">
        <f>ROW(Source!A208)</f>
        <v>208</v>
      </c>
      <c r="B186">
        <v>52431838</v>
      </c>
      <c r="C186">
        <v>52431822</v>
      </c>
      <c r="D186">
        <v>51867705</v>
      </c>
      <c r="E186">
        <v>1</v>
      </c>
      <c r="F186">
        <v>1</v>
      </c>
      <c r="G186">
        <v>27</v>
      </c>
      <c r="H186">
        <v>3</v>
      </c>
      <c r="I186" t="s">
        <v>405</v>
      </c>
      <c r="J186" t="s">
        <v>406</v>
      </c>
      <c r="K186" t="s">
        <v>407</v>
      </c>
      <c r="L186">
        <v>1339</v>
      </c>
      <c r="N186">
        <v>1007</v>
      </c>
      <c r="O186" t="s">
        <v>28</v>
      </c>
      <c r="P186" t="s">
        <v>28</v>
      </c>
      <c r="Q186">
        <v>1</v>
      </c>
      <c r="X186">
        <v>5</v>
      </c>
      <c r="Y186">
        <v>35.25</v>
      </c>
      <c r="Z186">
        <v>0</v>
      </c>
      <c r="AA186">
        <v>0</v>
      </c>
      <c r="AB186">
        <v>0</v>
      </c>
      <c r="AC186">
        <v>0</v>
      </c>
      <c r="AD186">
        <v>1</v>
      </c>
      <c r="AE186">
        <v>0</v>
      </c>
      <c r="AF186" t="s">
        <v>3</v>
      </c>
      <c r="AG186">
        <v>5</v>
      </c>
      <c r="AH186">
        <v>2</v>
      </c>
      <c r="AI186">
        <v>52431830</v>
      </c>
      <c r="AJ186">
        <v>195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</row>
    <row r="187" spans="1:44" x14ac:dyDescent="0.2">
      <c r="A187">
        <f>ROW(Source!A209)</f>
        <v>209</v>
      </c>
      <c r="B187">
        <v>52431846</v>
      </c>
      <c r="C187">
        <v>52431839</v>
      </c>
      <c r="D187">
        <v>51848379</v>
      </c>
      <c r="E187">
        <v>27</v>
      </c>
      <c r="F187">
        <v>1</v>
      </c>
      <c r="G187">
        <v>27</v>
      </c>
      <c r="H187">
        <v>1</v>
      </c>
      <c r="I187" t="s">
        <v>378</v>
      </c>
      <c r="J187" t="s">
        <v>3</v>
      </c>
      <c r="K187" t="s">
        <v>379</v>
      </c>
      <c r="L187">
        <v>1191</v>
      </c>
      <c r="N187">
        <v>1013</v>
      </c>
      <c r="O187" t="s">
        <v>380</v>
      </c>
      <c r="P187" t="s">
        <v>380</v>
      </c>
      <c r="Q187">
        <v>1</v>
      </c>
      <c r="X187">
        <v>27.94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1</v>
      </c>
      <c r="AE187">
        <v>1</v>
      </c>
      <c r="AF187" t="s">
        <v>3</v>
      </c>
      <c r="AG187">
        <v>27.94</v>
      </c>
      <c r="AH187">
        <v>2</v>
      </c>
      <c r="AI187">
        <v>52431840</v>
      </c>
      <c r="AJ187">
        <v>196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</row>
    <row r="188" spans="1:44" x14ac:dyDescent="0.2">
      <c r="A188">
        <f>ROW(Source!A209)</f>
        <v>209</v>
      </c>
      <c r="B188">
        <v>52431847</v>
      </c>
      <c r="C188">
        <v>52431839</v>
      </c>
      <c r="D188">
        <v>51865006</v>
      </c>
      <c r="E188">
        <v>1</v>
      </c>
      <c r="F188">
        <v>1</v>
      </c>
      <c r="G188">
        <v>27</v>
      </c>
      <c r="H188">
        <v>2</v>
      </c>
      <c r="I188" t="s">
        <v>393</v>
      </c>
      <c r="J188" t="s">
        <v>394</v>
      </c>
      <c r="K188" t="s">
        <v>395</v>
      </c>
      <c r="L188">
        <v>1368</v>
      </c>
      <c r="N188">
        <v>1011</v>
      </c>
      <c r="O188" t="s">
        <v>84</v>
      </c>
      <c r="P188" t="s">
        <v>84</v>
      </c>
      <c r="Q188">
        <v>1</v>
      </c>
      <c r="X188">
        <v>0.59</v>
      </c>
      <c r="Y188">
        <v>0</v>
      </c>
      <c r="Z188">
        <v>2020.59</v>
      </c>
      <c r="AA188">
        <v>458.56</v>
      </c>
      <c r="AB188">
        <v>0</v>
      </c>
      <c r="AC188">
        <v>0</v>
      </c>
      <c r="AD188">
        <v>1</v>
      </c>
      <c r="AE188">
        <v>0</v>
      </c>
      <c r="AF188" t="s">
        <v>3</v>
      </c>
      <c r="AG188">
        <v>0.59</v>
      </c>
      <c r="AH188">
        <v>2</v>
      </c>
      <c r="AI188">
        <v>52431841</v>
      </c>
      <c r="AJ188">
        <v>197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</row>
    <row r="189" spans="1:44" x14ac:dyDescent="0.2">
      <c r="A189">
        <f>ROW(Source!A209)</f>
        <v>209</v>
      </c>
      <c r="B189">
        <v>52431848</v>
      </c>
      <c r="C189">
        <v>52431839</v>
      </c>
      <c r="D189">
        <v>51864991</v>
      </c>
      <c r="E189">
        <v>1</v>
      </c>
      <c r="F189">
        <v>1</v>
      </c>
      <c r="G189">
        <v>27</v>
      </c>
      <c r="H189">
        <v>2</v>
      </c>
      <c r="I189" t="s">
        <v>408</v>
      </c>
      <c r="J189" t="s">
        <v>409</v>
      </c>
      <c r="K189" t="s">
        <v>410</v>
      </c>
      <c r="L189">
        <v>1368</v>
      </c>
      <c r="N189">
        <v>1011</v>
      </c>
      <c r="O189" t="s">
        <v>84</v>
      </c>
      <c r="P189" t="s">
        <v>84</v>
      </c>
      <c r="Q189">
        <v>1</v>
      </c>
      <c r="X189">
        <v>1.62</v>
      </c>
      <c r="Y189">
        <v>0</v>
      </c>
      <c r="Z189">
        <v>1261.8699999999999</v>
      </c>
      <c r="AA189">
        <v>530.02</v>
      </c>
      <c r="AB189">
        <v>0</v>
      </c>
      <c r="AC189">
        <v>0</v>
      </c>
      <c r="AD189">
        <v>1</v>
      </c>
      <c r="AE189">
        <v>0</v>
      </c>
      <c r="AF189" t="s">
        <v>3</v>
      </c>
      <c r="AG189">
        <v>1.62</v>
      </c>
      <c r="AH189">
        <v>2</v>
      </c>
      <c r="AI189">
        <v>52431842</v>
      </c>
      <c r="AJ189">
        <v>198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</row>
    <row r="190" spans="1:44" x14ac:dyDescent="0.2">
      <c r="A190">
        <f>ROW(Source!A209)</f>
        <v>209</v>
      </c>
      <c r="B190">
        <v>52431849</v>
      </c>
      <c r="C190">
        <v>52431839</v>
      </c>
      <c r="D190">
        <v>51866999</v>
      </c>
      <c r="E190">
        <v>1</v>
      </c>
      <c r="F190">
        <v>1</v>
      </c>
      <c r="G190">
        <v>27</v>
      </c>
      <c r="H190">
        <v>3</v>
      </c>
      <c r="I190" t="s">
        <v>45</v>
      </c>
      <c r="J190" t="s">
        <v>47</v>
      </c>
      <c r="K190" t="s">
        <v>46</v>
      </c>
      <c r="L190">
        <v>1339</v>
      </c>
      <c r="N190">
        <v>1007</v>
      </c>
      <c r="O190" t="s">
        <v>28</v>
      </c>
      <c r="P190" t="s">
        <v>28</v>
      </c>
      <c r="Q190">
        <v>1</v>
      </c>
      <c r="X190">
        <v>17.399999999999999</v>
      </c>
      <c r="Y190">
        <v>1436.5</v>
      </c>
      <c r="Z190">
        <v>0</v>
      </c>
      <c r="AA190">
        <v>0</v>
      </c>
      <c r="AB190">
        <v>0</v>
      </c>
      <c r="AC190">
        <v>0</v>
      </c>
      <c r="AD190">
        <v>1</v>
      </c>
      <c r="AE190">
        <v>0</v>
      </c>
      <c r="AF190" t="s">
        <v>3</v>
      </c>
      <c r="AG190">
        <v>17.399999999999999</v>
      </c>
      <c r="AH190">
        <v>2</v>
      </c>
      <c r="AI190">
        <v>52431844</v>
      </c>
      <c r="AJ190">
        <v>200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</row>
    <row r="191" spans="1:44" x14ac:dyDescent="0.2">
      <c r="A191">
        <f>ROW(Source!A209)</f>
        <v>209</v>
      </c>
      <c r="B191">
        <v>52431850</v>
      </c>
      <c r="C191">
        <v>52431839</v>
      </c>
      <c r="D191">
        <v>51867705</v>
      </c>
      <c r="E191">
        <v>1</v>
      </c>
      <c r="F191">
        <v>1</v>
      </c>
      <c r="G191">
        <v>27</v>
      </c>
      <c r="H191">
        <v>3</v>
      </c>
      <c r="I191" t="s">
        <v>405</v>
      </c>
      <c r="J191" t="s">
        <v>406</v>
      </c>
      <c r="K191" t="s">
        <v>407</v>
      </c>
      <c r="L191">
        <v>1339</v>
      </c>
      <c r="N191">
        <v>1007</v>
      </c>
      <c r="O191" t="s">
        <v>28</v>
      </c>
      <c r="P191" t="s">
        <v>28</v>
      </c>
      <c r="Q191">
        <v>1</v>
      </c>
      <c r="X191">
        <v>2</v>
      </c>
      <c r="Y191">
        <v>35.25</v>
      </c>
      <c r="Z191">
        <v>0</v>
      </c>
      <c r="AA191">
        <v>0</v>
      </c>
      <c r="AB191">
        <v>0</v>
      </c>
      <c r="AC191">
        <v>0</v>
      </c>
      <c r="AD191">
        <v>1</v>
      </c>
      <c r="AE191">
        <v>0</v>
      </c>
      <c r="AF191" t="s">
        <v>3</v>
      </c>
      <c r="AG191">
        <v>2</v>
      </c>
      <c r="AH191">
        <v>2</v>
      </c>
      <c r="AI191">
        <v>52431845</v>
      </c>
      <c r="AJ191">
        <v>201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</row>
    <row r="192" spans="1:44" x14ac:dyDescent="0.2">
      <c r="A192">
        <f>ROW(Source!A212)</f>
        <v>212</v>
      </c>
      <c r="B192">
        <v>52431858</v>
      </c>
      <c r="C192">
        <v>52431853</v>
      </c>
      <c r="D192">
        <v>51848379</v>
      </c>
      <c r="E192">
        <v>27</v>
      </c>
      <c r="F192">
        <v>1</v>
      </c>
      <c r="G192">
        <v>27</v>
      </c>
      <c r="H192">
        <v>1</v>
      </c>
      <c r="I192" t="s">
        <v>378</v>
      </c>
      <c r="J192" t="s">
        <v>3</v>
      </c>
      <c r="K192" t="s">
        <v>379</v>
      </c>
      <c r="L192">
        <v>1191</v>
      </c>
      <c r="N192">
        <v>1013</v>
      </c>
      <c r="O192" t="s">
        <v>380</v>
      </c>
      <c r="P192" t="s">
        <v>380</v>
      </c>
      <c r="Q192">
        <v>1</v>
      </c>
      <c r="X192">
        <v>10.3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1</v>
      </c>
      <c r="AE192">
        <v>1</v>
      </c>
      <c r="AF192" t="s">
        <v>3</v>
      </c>
      <c r="AG192">
        <v>10.3</v>
      </c>
      <c r="AH192">
        <v>2</v>
      </c>
      <c r="AI192">
        <v>52431854</v>
      </c>
      <c r="AJ192">
        <v>202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</row>
    <row r="193" spans="1:44" x14ac:dyDescent="0.2">
      <c r="A193">
        <f>ROW(Source!A212)</f>
        <v>212</v>
      </c>
      <c r="B193">
        <v>52431859</v>
      </c>
      <c r="C193">
        <v>52431853</v>
      </c>
      <c r="D193">
        <v>51864991</v>
      </c>
      <c r="E193">
        <v>1</v>
      </c>
      <c r="F193">
        <v>1</v>
      </c>
      <c r="G193">
        <v>27</v>
      </c>
      <c r="H193">
        <v>2</v>
      </c>
      <c r="I193" t="s">
        <v>408</v>
      </c>
      <c r="J193" t="s">
        <v>409</v>
      </c>
      <c r="K193" t="s">
        <v>410</v>
      </c>
      <c r="L193">
        <v>1368</v>
      </c>
      <c r="N193">
        <v>1011</v>
      </c>
      <c r="O193" t="s">
        <v>84</v>
      </c>
      <c r="P193" t="s">
        <v>84</v>
      </c>
      <c r="Q193">
        <v>1</v>
      </c>
      <c r="X193">
        <v>0.89</v>
      </c>
      <c r="Y193">
        <v>0</v>
      </c>
      <c r="Z193">
        <v>1261.8699999999999</v>
      </c>
      <c r="AA193">
        <v>530.02</v>
      </c>
      <c r="AB193">
        <v>0</v>
      </c>
      <c r="AC193">
        <v>0</v>
      </c>
      <c r="AD193">
        <v>1</v>
      </c>
      <c r="AE193">
        <v>0</v>
      </c>
      <c r="AF193" t="s">
        <v>3</v>
      </c>
      <c r="AG193">
        <v>0.89</v>
      </c>
      <c r="AH193">
        <v>2</v>
      </c>
      <c r="AI193">
        <v>52431855</v>
      </c>
      <c r="AJ193">
        <v>203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</row>
    <row r="194" spans="1:44" x14ac:dyDescent="0.2">
      <c r="A194">
        <f>ROW(Source!A212)</f>
        <v>212</v>
      </c>
      <c r="B194">
        <v>52431860</v>
      </c>
      <c r="C194">
        <v>52431853</v>
      </c>
      <c r="D194">
        <v>51865798</v>
      </c>
      <c r="E194">
        <v>1</v>
      </c>
      <c r="F194">
        <v>1</v>
      </c>
      <c r="G194">
        <v>27</v>
      </c>
      <c r="H194">
        <v>3</v>
      </c>
      <c r="I194" t="s">
        <v>411</v>
      </c>
      <c r="J194" t="s">
        <v>412</v>
      </c>
      <c r="K194" t="s">
        <v>413</v>
      </c>
      <c r="L194">
        <v>1348</v>
      </c>
      <c r="N194">
        <v>1009</v>
      </c>
      <c r="O194" t="s">
        <v>101</v>
      </c>
      <c r="P194" t="s">
        <v>101</v>
      </c>
      <c r="Q194">
        <v>1000</v>
      </c>
      <c r="X194">
        <v>0.06</v>
      </c>
      <c r="Y194">
        <v>25888.1</v>
      </c>
      <c r="Z194">
        <v>0</v>
      </c>
      <c r="AA194">
        <v>0</v>
      </c>
      <c r="AB194">
        <v>0</v>
      </c>
      <c r="AC194">
        <v>0</v>
      </c>
      <c r="AD194">
        <v>1</v>
      </c>
      <c r="AE194">
        <v>0</v>
      </c>
      <c r="AF194" t="s">
        <v>3</v>
      </c>
      <c r="AG194">
        <v>0.06</v>
      </c>
      <c r="AH194">
        <v>2</v>
      </c>
      <c r="AI194">
        <v>52431856</v>
      </c>
      <c r="AJ194">
        <v>204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</row>
    <row r="195" spans="1:44" x14ac:dyDescent="0.2">
      <c r="A195">
        <f>ROW(Source!A212)</f>
        <v>212</v>
      </c>
      <c r="B195">
        <v>52431861</v>
      </c>
      <c r="C195">
        <v>52431853</v>
      </c>
      <c r="D195">
        <v>51868905</v>
      </c>
      <c r="E195">
        <v>1</v>
      </c>
      <c r="F195">
        <v>1</v>
      </c>
      <c r="G195">
        <v>27</v>
      </c>
      <c r="H195">
        <v>3</v>
      </c>
      <c r="I195" t="s">
        <v>414</v>
      </c>
      <c r="J195" t="s">
        <v>415</v>
      </c>
      <c r="K195" t="s">
        <v>416</v>
      </c>
      <c r="L195">
        <v>1348</v>
      </c>
      <c r="N195">
        <v>1009</v>
      </c>
      <c r="O195" t="s">
        <v>101</v>
      </c>
      <c r="P195" t="s">
        <v>101</v>
      </c>
      <c r="Q195">
        <v>1000</v>
      </c>
      <c r="X195">
        <v>7.14</v>
      </c>
      <c r="Y195">
        <v>2652.04</v>
      </c>
      <c r="Z195">
        <v>0</v>
      </c>
      <c r="AA195">
        <v>0</v>
      </c>
      <c r="AB195">
        <v>0</v>
      </c>
      <c r="AC195">
        <v>0</v>
      </c>
      <c r="AD195">
        <v>1</v>
      </c>
      <c r="AE195">
        <v>0</v>
      </c>
      <c r="AF195" t="s">
        <v>3</v>
      </c>
      <c r="AG195">
        <v>7.14</v>
      </c>
      <c r="AH195">
        <v>2</v>
      </c>
      <c r="AI195">
        <v>52431857</v>
      </c>
      <c r="AJ195">
        <v>205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</row>
    <row r="196" spans="1:44" x14ac:dyDescent="0.2">
      <c r="A196">
        <f>ROW(Source!A213)</f>
        <v>213</v>
      </c>
      <c r="B196">
        <v>52431873</v>
      </c>
      <c r="C196">
        <v>52431862</v>
      </c>
      <c r="D196">
        <v>51848379</v>
      </c>
      <c r="E196">
        <v>27</v>
      </c>
      <c r="F196">
        <v>1</v>
      </c>
      <c r="G196">
        <v>27</v>
      </c>
      <c r="H196">
        <v>1</v>
      </c>
      <c r="I196" t="s">
        <v>378</v>
      </c>
      <c r="J196" t="s">
        <v>3</v>
      </c>
      <c r="K196" t="s">
        <v>379</v>
      </c>
      <c r="L196">
        <v>1191</v>
      </c>
      <c r="N196">
        <v>1013</v>
      </c>
      <c r="O196" t="s">
        <v>380</v>
      </c>
      <c r="P196" t="s">
        <v>380</v>
      </c>
      <c r="Q196">
        <v>1</v>
      </c>
      <c r="X196">
        <v>18.440000000000001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1</v>
      </c>
      <c r="AE196">
        <v>1</v>
      </c>
      <c r="AF196" t="s">
        <v>3</v>
      </c>
      <c r="AG196">
        <v>18.440000000000001</v>
      </c>
      <c r="AH196">
        <v>2</v>
      </c>
      <c r="AI196">
        <v>52431863</v>
      </c>
      <c r="AJ196">
        <v>206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</row>
    <row r="197" spans="1:44" x14ac:dyDescent="0.2">
      <c r="A197">
        <f>ROW(Source!A213)</f>
        <v>213</v>
      </c>
      <c r="B197">
        <v>52431874</v>
      </c>
      <c r="C197">
        <v>52431862</v>
      </c>
      <c r="D197">
        <v>51865492</v>
      </c>
      <c r="E197">
        <v>1</v>
      </c>
      <c r="F197">
        <v>1</v>
      </c>
      <c r="G197">
        <v>27</v>
      </c>
      <c r="H197">
        <v>2</v>
      </c>
      <c r="I197" t="s">
        <v>417</v>
      </c>
      <c r="J197" t="s">
        <v>418</v>
      </c>
      <c r="K197" t="s">
        <v>419</v>
      </c>
      <c r="L197">
        <v>1368</v>
      </c>
      <c r="N197">
        <v>1011</v>
      </c>
      <c r="O197" t="s">
        <v>84</v>
      </c>
      <c r="P197" t="s">
        <v>84</v>
      </c>
      <c r="Q197">
        <v>1</v>
      </c>
      <c r="X197">
        <v>2.64</v>
      </c>
      <c r="Y197">
        <v>0</v>
      </c>
      <c r="Z197">
        <v>531.41</v>
      </c>
      <c r="AA197">
        <v>373.56</v>
      </c>
      <c r="AB197">
        <v>0</v>
      </c>
      <c r="AC197">
        <v>0</v>
      </c>
      <c r="AD197">
        <v>1</v>
      </c>
      <c r="AE197">
        <v>0</v>
      </c>
      <c r="AF197" t="s">
        <v>3</v>
      </c>
      <c r="AG197">
        <v>2.64</v>
      </c>
      <c r="AH197">
        <v>2</v>
      </c>
      <c r="AI197">
        <v>52431864</v>
      </c>
      <c r="AJ197">
        <v>207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</row>
    <row r="198" spans="1:44" x14ac:dyDescent="0.2">
      <c r="A198">
        <f>ROW(Source!A213)</f>
        <v>213</v>
      </c>
      <c r="B198">
        <v>52431875</v>
      </c>
      <c r="C198">
        <v>52431862</v>
      </c>
      <c r="D198">
        <v>51865715</v>
      </c>
      <c r="E198">
        <v>1</v>
      </c>
      <c r="F198">
        <v>1</v>
      </c>
      <c r="G198">
        <v>27</v>
      </c>
      <c r="H198">
        <v>2</v>
      </c>
      <c r="I198" t="s">
        <v>420</v>
      </c>
      <c r="J198" t="s">
        <v>421</v>
      </c>
      <c r="K198" t="s">
        <v>422</v>
      </c>
      <c r="L198">
        <v>1368</v>
      </c>
      <c r="N198">
        <v>1011</v>
      </c>
      <c r="O198" t="s">
        <v>84</v>
      </c>
      <c r="P198" t="s">
        <v>84</v>
      </c>
      <c r="Q198">
        <v>1</v>
      </c>
      <c r="X198">
        <v>1.18</v>
      </c>
      <c r="Y198">
        <v>0</v>
      </c>
      <c r="Z198">
        <v>7.44</v>
      </c>
      <c r="AA198">
        <v>0.98</v>
      </c>
      <c r="AB198">
        <v>0</v>
      </c>
      <c r="AC198">
        <v>0</v>
      </c>
      <c r="AD198">
        <v>1</v>
      </c>
      <c r="AE198">
        <v>0</v>
      </c>
      <c r="AF198" t="s">
        <v>3</v>
      </c>
      <c r="AG198">
        <v>1.18</v>
      </c>
      <c r="AH198">
        <v>2</v>
      </c>
      <c r="AI198">
        <v>52431865</v>
      </c>
      <c r="AJ198">
        <v>208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</row>
    <row r="199" spans="1:44" x14ac:dyDescent="0.2">
      <c r="A199">
        <f>ROW(Source!A213)</f>
        <v>213</v>
      </c>
      <c r="B199">
        <v>52431876</v>
      </c>
      <c r="C199">
        <v>52431862</v>
      </c>
      <c r="D199">
        <v>51864917</v>
      </c>
      <c r="E199">
        <v>1</v>
      </c>
      <c r="F199">
        <v>1</v>
      </c>
      <c r="G199">
        <v>27</v>
      </c>
      <c r="H199">
        <v>2</v>
      </c>
      <c r="I199" t="s">
        <v>423</v>
      </c>
      <c r="J199" t="s">
        <v>424</v>
      </c>
      <c r="K199" t="s">
        <v>425</v>
      </c>
      <c r="L199">
        <v>1368</v>
      </c>
      <c r="N199">
        <v>1011</v>
      </c>
      <c r="O199" t="s">
        <v>84</v>
      </c>
      <c r="P199" t="s">
        <v>84</v>
      </c>
      <c r="Q199">
        <v>1</v>
      </c>
      <c r="X199">
        <v>0.01</v>
      </c>
      <c r="Y199">
        <v>0</v>
      </c>
      <c r="Z199">
        <v>616.73</v>
      </c>
      <c r="AA199">
        <v>511.29</v>
      </c>
      <c r="AB199">
        <v>0</v>
      </c>
      <c r="AC199">
        <v>0</v>
      </c>
      <c r="AD199">
        <v>1</v>
      </c>
      <c r="AE199">
        <v>0</v>
      </c>
      <c r="AF199" t="s">
        <v>3</v>
      </c>
      <c r="AG199">
        <v>0.01</v>
      </c>
      <c r="AH199">
        <v>2</v>
      </c>
      <c r="AI199">
        <v>52431866</v>
      </c>
      <c r="AJ199">
        <v>209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</row>
    <row r="200" spans="1:44" x14ac:dyDescent="0.2">
      <c r="A200">
        <f>ROW(Source!A213)</f>
        <v>213</v>
      </c>
      <c r="B200">
        <v>52431877</v>
      </c>
      <c r="C200">
        <v>52431862</v>
      </c>
      <c r="D200">
        <v>51865101</v>
      </c>
      <c r="E200">
        <v>1</v>
      </c>
      <c r="F200">
        <v>1</v>
      </c>
      <c r="G200">
        <v>27</v>
      </c>
      <c r="H200">
        <v>2</v>
      </c>
      <c r="I200" t="s">
        <v>426</v>
      </c>
      <c r="J200" t="s">
        <v>427</v>
      </c>
      <c r="K200" t="s">
        <v>428</v>
      </c>
      <c r="L200">
        <v>1368</v>
      </c>
      <c r="N200">
        <v>1011</v>
      </c>
      <c r="O200" t="s">
        <v>84</v>
      </c>
      <c r="P200" t="s">
        <v>84</v>
      </c>
      <c r="Q200">
        <v>1</v>
      </c>
      <c r="X200">
        <v>2.64</v>
      </c>
      <c r="Y200">
        <v>0</v>
      </c>
      <c r="Z200">
        <v>454.31</v>
      </c>
      <c r="AA200">
        <v>405.68</v>
      </c>
      <c r="AB200">
        <v>0</v>
      </c>
      <c r="AC200">
        <v>0</v>
      </c>
      <c r="AD200">
        <v>1</v>
      </c>
      <c r="AE200">
        <v>0</v>
      </c>
      <c r="AF200" t="s">
        <v>3</v>
      </c>
      <c r="AG200">
        <v>2.64</v>
      </c>
      <c r="AH200">
        <v>2</v>
      </c>
      <c r="AI200">
        <v>52431867</v>
      </c>
      <c r="AJ200">
        <v>210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</row>
    <row r="201" spans="1:44" x14ac:dyDescent="0.2">
      <c r="A201">
        <f>ROW(Source!A213)</f>
        <v>213</v>
      </c>
      <c r="B201">
        <v>52431878</v>
      </c>
      <c r="C201">
        <v>52431862</v>
      </c>
      <c r="D201">
        <v>51867926</v>
      </c>
      <c r="E201">
        <v>1</v>
      </c>
      <c r="F201">
        <v>1</v>
      </c>
      <c r="G201">
        <v>27</v>
      </c>
      <c r="H201">
        <v>3</v>
      </c>
      <c r="I201" t="s">
        <v>429</v>
      </c>
      <c r="J201" t="s">
        <v>430</v>
      </c>
      <c r="K201" t="s">
        <v>431</v>
      </c>
      <c r="L201">
        <v>1327</v>
      </c>
      <c r="N201">
        <v>1005</v>
      </c>
      <c r="O201" t="s">
        <v>298</v>
      </c>
      <c r="P201" t="s">
        <v>298</v>
      </c>
      <c r="Q201">
        <v>1</v>
      </c>
      <c r="X201">
        <v>5.6</v>
      </c>
      <c r="Y201">
        <v>12.02</v>
      </c>
      <c r="Z201">
        <v>0</v>
      </c>
      <c r="AA201">
        <v>0</v>
      </c>
      <c r="AB201">
        <v>0</v>
      </c>
      <c r="AC201">
        <v>0</v>
      </c>
      <c r="AD201">
        <v>1</v>
      </c>
      <c r="AE201">
        <v>0</v>
      </c>
      <c r="AF201" t="s">
        <v>3</v>
      </c>
      <c r="AG201">
        <v>5.6</v>
      </c>
      <c r="AH201">
        <v>2</v>
      </c>
      <c r="AI201">
        <v>52431868</v>
      </c>
      <c r="AJ201">
        <v>211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</row>
    <row r="202" spans="1:44" x14ac:dyDescent="0.2">
      <c r="A202">
        <f>ROW(Source!A213)</f>
        <v>213</v>
      </c>
      <c r="B202">
        <v>52431879</v>
      </c>
      <c r="C202">
        <v>52431862</v>
      </c>
      <c r="D202">
        <v>51868013</v>
      </c>
      <c r="E202">
        <v>1</v>
      </c>
      <c r="F202">
        <v>1</v>
      </c>
      <c r="G202">
        <v>27</v>
      </c>
      <c r="H202">
        <v>3</v>
      </c>
      <c r="I202" t="s">
        <v>432</v>
      </c>
      <c r="J202" t="s">
        <v>433</v>
      </c>
      <c r="K202" t="s">
        <v>434</v>
      </c>
      <c r="L202">
        <v>1348</v>
      </c>
      <c r="N202">
        <v>1009</v>
      </c>
      <c r="O202" t="s">
        <v>101</v>
      </c>
      <c r="P202" t="s">
        <v>101</v>
      </c>
      <c r="Q202">
        <v>1000</v>
      </c>
      <c r="X202">
        <v>3.15E-3</v>
      </c>
      <c r="Y202">
        <v>343020.03</v>
      </c>
      <c r="Z202">
        <v>0</v>
      </c>
      <c r="AA202">
        <v>0</v>
      </c>
      <c r="AB202">
        <v>0</v>
      </c>
      <c r="AC202">
        <v>0</v>
      </c>
      <c r="AD202">
        <v>1</v>
      </c>
      <c r="AE202">
        <v>0</v>
      </c>
      <c r="AF202" t="s">
        <v>3</v>
      </c>
      <c r="AG202">
        <v>3.15E-3</v>
      </c>
      <c r="AH202">
        <v>2</v>
      </c>
      <c r="AI202">
        <v>52431869</v>
      </c>
      <c r="AJ202">
        <v>212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</row>
    <row r="203" spans="1:44" x14ac:dyDescent="0.2">
      <c r="A203">
        <f>ROW(Source!A213)</f>
        <v>213</v>
      </c>
      <c r="B203">
        <v>52431880</v>
      </c>
      <c r="C203">
        <v>52431862</v>
      </c>
      <c r="D203">
        <v>51868230</v>
      </c>
      <c r="E203">
        <v>1</v>
      </c>
      <c r="F203">
        <v>1</v>
      </c>
      <c r="G203">
        <v>27</v>
      </c>
      <c r="H203">
        <v>3</v>
      </c>
      <c r="I203" t="s">
        <v>435</v>
      </c>
      <c r="J203" t="s">
        <v>436</v>
      </c>
      <c r="K203" t="s">
        <v>437</v>
      </c>
      <c r="L203">
        <v>1346</v>
      </c>
      <c r="N203">
        <v>1009</v>
      </c>
      <c r="O203" t="s">
        <v>438</v>
      </c>
      <c r="P203" t="s">
        <v>438</v>
      </c>
      <c r="Q203">
        <v>1</v>
      </c>
      <c r="X203">
        <v>735</v>
      </c>
      <c r="Y203">
        <v>17.77</v>
      </c>
      <c r="Z203">
        <v>0</v>
      </c>
      <c r="AA203">
        <v>0</v>
      </c>
      <c r="AB203">
        <v>0</v>
      </c>
      <c r="AC203">
        <v>0</v>
      </c>
      <c r="AD203">
        <v>1</v>
      </c>
      <c r="AE203">
        <v>0</v>
      </c>
      <c r="AF203" t="s">
        <v>3</v>
      </c>
      <c r="AG203">
        <v>735</v>
      </c>
      <c r="AH203">
        <v>2</v>
      </c>
      <c r="AI203">
        <v>52431870</v>
      </c>
      <c r="AJ203">
        <v>213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</row>
    <row r="204" spans="1:44" x14ac:dyDescent="0.2">
      <c r="A204">
        <f>ROW(Source!A213)</f>
        <v>213</v>
      </c>
      <c r="B204">
        <v>52431881</v>
      </c>
      <c r="C204">
        <v>52431862</v>
      </c>
      <c r="D204">
        <v>51868237</v>
      </c>
      <c r="E204">
        <v>1</v>
      </c>
      <c r="F204">
        <v>1</v>
      </c>
      <c r="G204">
        <v>27</v>
      </c>
      <c r="H204">
        <v>3</v>
      </c>
      <c r="I204" t="s">
        <v>439</v>
      </c>
      <c r="J204" t="s">
        <v>440</v>
      </c>
      <c r="K204" t="s">
        <v>441</v>
      </c>
      <c r="L204">
        <v>1346</v>
      </c>
      <c r="N204">
        <v>1009</v>
      </c>
      <c r="O204" t="s">
        <v>438</v>
      </c>
      <c r="P204" t="s">
        <v>438</v>
      </c>
      <c r="Q204">
        <v>1</v>
      </c>
      <c r="X204">
        <v>241.5</v>
      </c>
      <c r="Y204">
        <v>202.34</v>
      </c>
      <c r="Z204">
        <v>0</v>
      </c>
      <c r="AA204">
        <v>0</v>
      </c>
      <c r="AB204">
        <v>0</v>
      </c>
      <c r="AC204">
        <v>0</v>
      </c>
      <c r="AD204">
        <v>1</v>
      </c>
      <c r="AE204">
        <v>0</v>
      </c>
      <c r="AF204" t="s">
        <v>3</v>
      </c>
      <c r="AG204">
        <v>241.5</v>
      </c>
      <c r="AH204">
        <v>2</v>
      </c>
      <c r="AI204">
        <v>52431871</v>
      </c>
      <c r="AJ204">
        <v>214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</row>
    <row r="205" spans="1:44" x14ac:dyDescent="0.2">
      <c r="A205">
        <f>ROW(Source!A213)</f>
        <v>213</v>
      </c>
      <c r="B205">
        <v>52431882</v>
      </c>
      <c r="C205">
        <v>52431862</v>
      </c>
      <c r="D205">
        <v>51866204</v>
      </c>
      <c r="E205">
        <v>1</v>
      </c>
      <c r="F205">
        <v>1</v>
      </c>
      <c r="G205">
        <v>27</v>
      </c>
      <c r="H205">
        <v>3</v>
      </c>
      <c r="I205" t="s">
        <v>442</v>
      </c>
      <c r="J205" t="s">
        <v>443</v>
      </c>
      <c r="K205" t="s">
        <v>444</v>
      </c>
      <c r="L205">
        <v>1348</v>
      </c>
      <c r="N205">
        <v>1009</v>
      </c>
      <c r="O205" t="s">
        <v>101</v>
      </c>
      <c r="P205" t="s">
        <v>101</v>
      </c>
      <c r="Q205">
        <v>1000</v>
      </c>
      <c r="X205">
        <v>5.2499999999999998E-2</v>
      </c>
      <c r="Y205">
        <v>748299.67</v>
      </c>
      <c r="Z205">
        <v>0</v>
      </c>
      <c r="AA205">
        <v>0</v>
      </c>
      <c r="AB205">
        <v>0</v>
      </c>
      <c r="AC205">
        <v>0</v>
      </c>
      <c r="AD205">
        <v>1</v>
      </c>
      <c r="AE205">
        <v>0</v>
      </c>
      <c r="AF205" t="s">
        <v>3</v>
      </c>
      <c r="AG205">
        <v>5.2499999999999998E-2</v>
      </c>
      <c r="AH205">
        <v>2</v>
      </c>
      <c r="AI205">
        <v>52431872</v>
      </c>
      <c r="AJ205">
        <v>215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</row>
    <row r="206" spans="1:44" x14ac:dyDescent="0.2">
      <c r="A206">
        <f>ROW(Source!A214)</f>
        <v>214</v>
      </c>
      <c r="B206">
        <v>52431890</v>
      </c>
      <c r="C206">
        <v>52431883</v>
      </c>
      <c r="D206">
        <v>51848379</v>
      </c>
      <c r="E206">
        <v>27</v>
      </c>
      <c r="F206">
        <v>1</v>
      </c>
      <c r="G206">
        <v>27</v>
      </c>
      <c r="H206">
        <v>1</v>
      </c>
      <c r="I206" t="s">
        <v>378</v>
      </c>
      <c r="J206" t="s">
        <v>3</v>
      </c>
      <c r="K206" t="s">
        <v>379</v>
      </c>
      <c r="L206">
        <v>1191</v>
      </c>
      <c r="N206">
        <v>1013</v>
      </c>
      <c r="O206" t="s">
        <v>380</v>
      </c>
      <c r="P206" t="s">
        <v>380</v>
      </c>
      <c r="Q206">
        <v>1</v>
      </c>
      <c r="X206">
        <v>2.65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1</v>
      </c>
      <c r="AE206">
        <v>1</v>
      </c>
      <c r="AF206" t="s">
        <v>3</v>
      </c>
      <c r="AG206">
        <v>2.65</v>
      </c>
      <c r="AH206">
        <v>2</v>
      </c>
      <c r="AI206">
        <v>52431884</v>
      </c>
      <c r="AJ206">
        <v>216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</row>
    <row r="207" spans="1:44" x14ac:dyDescent="0.2">
      <c r="A207">
        <f>ROW(Source!A214)</f>
        <v>214</v>
      </c>
      <c r="B207">
        <v>52431891</v>
      </c>
      <c r="C207">
        <v>52431883</v>
      </c>
      <c r="D207">
        <v>51865492</v>
      </c>
      <c r="E207">
        <v>1</v>
      </c>
      <c r="F207">
        <v>1</v>
      </c>
      <c r="G207">
        <v>27</v>
      </c>
      <c r="H207">
        <v>2</v>
      </c>
      <c r="I207" t="s">
        <v>417</v>
      </c>
      <c r="J207" t="s">
        <v>418</v>
      </c>
      <c r="K207" t="s">
        <v>419</v>
      </c>
      <c r="L207">
        <v>1368</v>
      </c>
      <c r="N207">
        <v>1011</v>
      </c>
      <c r="O207" t="s">
        <v>84</v>
      </c>
      <c r="P207" t="s">
        <v>84</v>
      </c>
      <c r="Q207">
        <v>1</v>
      </c>
      <c r="X207">
        <v>0.5</v>
      </c>
      <c r="Y207">
        <v>0</v>
      </c>
      <c r="Z207">
        <v>531.41</v>
      </c>
      <c r="AA207">
        <v>373.56</v>
      </c>
      <c r="AB207">
        <v>0</v>
      </c>
      <c r="AC207">
        <v>0</v>
      </c>
      <c r="AD207">
        <v>1</v>
      </c>
      <c r="AE207">
        <v>0</v>
      </c>
      <c r="AF207" t="s">
        <v>3</v>
      </c>
      <c r="AG207">
        <v>0.5</v>
      </c>
      <c r="AH207">
        <v>2</v>
      </c>
      <c r="AI207">
        <v>52431885</v>
      </c>
      <c r="AJ207">
        <v>217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</row>
    <row r="208" spans="1:44" x14ac:dyDescent="0.2">
      <c r="A208">
        <f>ROW(Source!A214)</f>
        <v>214</v>
      </c>
      <c r="B208">
        <v>52431892</v>
      </c>
      <c r="C208">
        <v>52431883</v>
      </c>
      <c r="D208">
        <v>51865101</v>
      </c>
      <c r="E208">
        <v>1</v>
      </c>
      <c r="F208">
        <v>1</v>
      </c>
      <c r="G208">
        <v>27</v>
      </c>
      <c r="H208">
        <v>2</v>
      </c>
      <c r="I208" t="s">
        <v>426</v>
      </c>
      <c r="J208" t="s">
        <v>427</v>
      </c>
      <c r="K208" t="s">
        <v>428</v>
      </c>
      <c r="L208">
        <v>1368</v>
      </c>
      <c r="N208">
        <v>1011</v>
      </c>
      <c r="O208" t="s">
        <v>84</v>
      </c>
      <c r="P208" t="s">
        <v>84</v>
      </c>
      <c r="Q208">
        <v>1</v>
      </c>
      <c r="X208">
        <v>0.5</v>
      </c>
      <c r="Y208">
        <v>0</v>
      </c>
      <c r="Z208">
        <v>454.31</v>
      </c>
      <c r="AA208">
        <v>405.68</v>
      </c>
      <c r="AB208">
        <v>0</v>
      </c>
      <c r="AC208">
        <v>0</v>
      </c>
      <c r="AD208">
        <v>1</v>
      </c>
      <c r="AE208">
        <v>0</v>
      </c>
      <c r="AF208" t="s">
        <v>3</v>
      </c>
      <c r="AG208">
        <v>0.5</v>
      </c>
      <c r="AH208">
        <v>2</v>
      </c>
      <c r="AI208">
        <v>52431886</v>
      </c>
      <c r="AJ208">
        <v>218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</row>
    <row r="209" spans="1:44" x14ac:dyDescent="0.2">
      <c r="A209">
        <f>ROW(Source!A214)</f>
        <v>214</v>
      </c>
      <c r="B209">
        <v>52431893</v>
      </c>
      <c r="C209">
        <v>52431883</v>
      </c>
      <c r="D209">
        <v>51868230</v>
      </c>
      <c r="E209">
        <v>1</v>
      </c>
      <c r="F209">
        <v>1</v>
      </c>
      <c r="G209">
        <v>27</v>
      </c>
      <c r="H209">
        <v>3</v>
      </c>
      <c r="I209" t="s">
        <v>435</v>
      </c>
      <c r="J209" t="s">
        <v>436</v>
      </c>
      <c r="K209" t="s">
        <v>437</v>
      </c>
      <c r="L209">
        <v>1346</v>
      </c>
      <c r="N209">
        <v>1009</v>
      </c>
      <c r="O209" t="s">
        <v>438</v>
      </c>
      <c r="P209" t="s">
        <v>438</v>
      </c>
      <c r="Q209">
        <v>1</v>
      </c>
      <c r="X209">
        <v>147</v>
      </c>
      <c r="Y209">
        <v>17.77</v>
      </c>
      <c r="Z209">
        <v>0</v>
      </c>
      <c r="AA209">
        <v>0</v>
      </c>
      <c r="AB209">
        <v>0</v>
      </c>
      <c r="AC209">
        <v>0</v>
      </c>
      <c r="AD209">
        <v>1</v>
      </c>
      <c r="AE209">
        <v>0</v>
      </c>
      <c r="AF209" t="s">
        <v>3</v>
      </c>
      <c r="AG209">
        <v>147</v>
      </c>
      <c r="AH209">
        <v>2</v>
      </c>
      <c r="AI209">
        <v>52431887</v>
      </c>
      <c r="AJ209">
        <v>219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</row>
    <row r="210" spans="1:44" x14ac:dyDescent="0.2">
      <c r="A210">
        <f>ROW(Source!A214)</f>
        <v>214</v>
      </c>
      <c r="B210">
        <v>52431894</v>
      </c>
      <c r="C210">
        <v>52431883</v>
      </c>
      <c r="D210">
        <v>51868237</v>
      </c>
      <c r="E210">
        <v>1</v>
      </c>
      <c r="F210">
        <v>1</v>
      </c>
      <c r="G210">
        <v>27</v>
      </c>
      <c r="H210">
        <v>3</v>
      </c>
      <c r="I210" t="s">
        <v>439</v>
      </c>
      <c r="J210" t="s">
        <v>440</v>
      </c>
      <c r="K210" t="s">
        <v>441</v>
      </c>
      <c r="L210">
        <v>1346</v>
      </c>
      <c r="N210">
        <v>1009</v>
      </c>
      <c r="O210" t="s">
        <v>438</v>
      </c>
      <c r="P210" t="s">
        <v>438</v>
      </c>
      <c r="Q210">
        <v>1</v>
      </c>
      <c r="X210">
        <v>42</v>
      </c>
      <c r="Y210">
        <v>202.34</v>
      </c>
      <c r="Z210">
        <v>0</v>
      </c>
      <c r="AA210">
        <v>0</v>
      </c>
      <c r="AB210">
        <v>0</v>
      </c>
      <c r="AC210">
        <v>0</v>
      </c>
      <c r="AD210">
        <v>1</v>
      </c>
      <c r="AE210">
        <v>0</v>
      </c>
      <c r="AF210" t="s">
        <v>3</v>
      </c>
      <c r="AG210">
        <v>42</v>
      </c>
      <c r="AH210">
        <v>2</v>
      </c>
      <c r="AI210">
        <v>52431888</v>
      </c>
      <c r="AJ210">
        <v>220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</row>
    <row r="211" spans="1:44" x14ac:dyDescent="0.2">
      <c r="A211">
        <f>ROW(Source!A214)</f>
        <v>214</v>
      </c>
      <c r="B211">
        <v>52431895</v>
      </c>
      <c r="C211">
        <v>52431883</v>
      </c>
      <c r="D211">
        <v>51866204</v>
      </c>
      <c r="E211">
        <v>1</v>
      </c>
      <c r="F211">
        <v>1</v>
      </c>
      <c r="G211">
        <v>27</v>
      </c>
      <c r="H211">
        <v>3</v>
      </c>
      <c r="I211" t="s">
        <v>442</v>
      </c>
      <c r="J211" t="s">
        <v>443</v>
      </c>
      <c r="K211" t="s">
        <v>444</v>
      </c>
      <c r="L211">
        <v>1348</v>
      </c>
      <c r="N211">
        <v>1009</v>
      </c>
      <c r="O211" t="s">
        <v>101</v>
      </c>
      <c r="P211" t="s">
        <v>101</v>
      </c>
      <c r="Q211">
        <v>1000</v>
      </c>
      <c r="X211">
        <v>1.0500000000000001E-2</v>
      </c>
      <c r="Y211">
        <v>748299.67</v>
      </c>
      <c r="Z211">
        <v>0</v>
      </c>
      <c r="AA211">
        <v>0</v>
      </c>
      <c r="AB211">
        <v>0</v>
      </c>
      <c r="AC211">
        <v>0</v>
      </c>
      <c r="AD211">
        <v>1</v>
      </c>
      <c r="AE211">
        <v>0</v>
      </c>
      <c r="AF211" t="s">
        <v>3</v>
      </c>
      <c r="AG211">
        <v>1.0500000000000001E-2</v>
      </c>
      <c r="AH211">
        <v>2</v>
      </c>
      <c r="AI211">
        <v>52431889</v>
      </c>
      <c r="AJ211">
        <v>221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</row>
    <row r="212" spans="1:44" x14ac:dyDescent="0.2">
      <c r="A212">
        <f>ROW(Source!A215)</f>
        <v>215</v>
      </c>
      <c r="B212">
        <v>52431898</v>
      </c>
      <c r="C212">
        <v>52431896</v>
      </c>
      <c r="D212">
        <v>51848379</v>
      </c>
      <c r="E212">
        <v>27</v>
      </c>
      <c r="F212">
        <v>1</v>
      </c>
      <c r="G212">
        <v>27</v>
      </c>
      <c r="H212">
        <v>1</v>
      </c>
      <c r="I212" t="s">
        <v>378</v>
      </c>
      <c r="J212" t="s">
        <v>3</v>
      </c>
      <c r="K212" t="s">
        <v>379</v>
      </c>
      <c r="L212">
        <v>1191</v>
      </c>
      <c r="N212">
        <v>1013</v>
      </c>
      <c r="O212" t="s">
        <v>380</v>
      </c>
      <c r="P212" t="s">
        <v>380</v>
      </c>
      <c r="Q212">
        <v>1</v>
      </c>
      <c r="X212">
        <v>221.6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1</v>
      </c>
      <c r="AE212">
        <v>1</v>
      </c>
      <c r="AF212" t="s">
        <v>3</v>
      </c>
      <c r="AG212">
        <v>221.6</v>
      </c>
      <c r="AH212">
        <v>2</v>
      </c>
      <c r="AI212">
        <v>52431897</v>
      </c>
      <c r="AJ212">
        <v>222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</row>
    <row r="213" spans="1:44" x14ac:dyDescent="0.2">
      <c r="A213">
        <f>ROW(Source!A216)</f>
        <v>216</v>
      </c>
      <c r="B213">
        <v>52431908</v>
      </c>
      <c r="C213">
        <v>52431899</v>
      </c>
      <c r="D213">
        <v>51848379</v>
      </c>
      <c r="E213">
        <v>27</v>
      </c>
      <c r="F213">
        <v>1</v>
      </c>
      <c r="G213">
        <v>27</v>
      </c>
      <c r="H213">
        <v>1</v>
      </c>
      <c r="I213" t="s">
        <v>378</v>
      </c>
      <c r="J213" t="s">
        <v>3</v>
      </c>
      <c r="K213" t="s">
        <v>379</v>
      </c>
      <c r="L213">
        <v>1191</v>
      </c>
      <c r="N213">
        <v>1013</v>
      </c>
      <c r="O213" t="s">
        <v>380</v>
      </c>
      <c r="P213" t="s">
        <v>380</v>
      </c>
      <c r="Q213">
        <v>1</v>
      </c>
      <c r="X213">
        <v>16.559999999999999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1</v>
      </c>
      <c r="AE213">
        <v>1</v>
      </c>
      <c r="AF213" t="s">
        <v>3</v>
      </c>
      <c r="AG213">
        <v>16.559999999999999</v>
      </c>
      <c r="AH213">
        <v>2</v>
      </c>
      <c r="AI213">
        <v>52431900</v>
      </c>
      <c r="AJ213">
        <v>223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</row>
    <row r="214" spans="1:44" x14ac:dyDescent="0.2">
      <c r="A214">
        <f>ROW(Source!A216)</f>
        <v>216</v>
      </c>
      <c r="B214">
        <v>52431909</v>
      </c>
      <c r="C214">
        <v>52431899</v>
      </c>
      <c r="D214">
        <v>51864848</v>
      </c>
      <c r="E214">
        <v>1</v>
      </c>
      <c r="F214">
        <v>1</v>
      </c>
      <c r="G214">
        <v>27</v>
      </c>
      <c r="H214">
        <v>2</v>
      </c>
      <c r="I214" t="s">
        <v>387</v>
      </c>
      <c r="J214" t="s">
        <v>388</v>
      </c>
      <c r="K214" t="s">
        <v>389</v>
      </c>
      <c r="L214">
        <v>1368</v>
      </c>
      <c r="N214">
        <v>1011</v>
      </c>
      <c r="O214" t="s">
        <v>84</v>
      </c>
      <c r="P214" t="s">
        <v>84</v>
      </c>
      <c r="Q214">
        <v>1</v>
      </c>
      <c r="X214">
        <v>2.08</v>
      </c>
      <c r="Y214">
        <v>0</v>
      </c>
      <c r="Z214">
        <v>740.94</v>
      </c>
      <c r="AA214">
        <v>413.22</v>
      </c>
      <c r="AB214">
        <v>0</v>
      </c>
      <c r="AC214">
        <v>0</v>
      </c>
      <c r="AD214">
        <v>1</v>
      </c>
      <c r="AE214">
        <v>0</v>
      </c>
      <c r="AF214" t="s">
        <v>3</v>
      </c>
      <c r="AG214">
        <v>2.08</v>
      </c>
      <c r="AH214">
        <v>2</v>
      </c>
      <c r="AI214">
        <v>52431901</v>
      </c>
      <c r="AJ214">
        <v>224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</row>
    <row r="215" spans="1:44" x14ac:dyDescent="0.2">
      <c r="A215">
        <f>ROW(Source!A216)</f>
        <v>216</v>
      </c>
      <c r="B215">
        <v>52431910</v>
      </c>
      <c r="C215">
        <v>52431899</v>
      </c>
      <c r="D215">
        <v>51865003</v>
      </c>
      <c r="E215">
        <v>1</v>
      </c>
      <c r="F215">
        <v>1</v>
      </c>
      <c r="G215">
        <v>27</v>
      </c>
      <c r="H215">
        <v>2</v>
      </c>
      <c r="I215" t="s">
        <v>390</v>
      </c>
      <c r="J215" t="s">
        <v>391</v>
      </c>
      <c r="K215" t="s">
        <v>392</v>
      </c>
      <c r="L215">
        <v>1368</v>
      </c>
      <c r="N215">
        <v>1011</v>
      </c>
      <c r="O215" t="s">
        <v>84</v>
      </c>
      <c r="P215" t="s">
        <v>84</v>
      </c>
      <c r="Q215">
        <v>1</v>
      </c>
      <c r="X215">
        <v>2.08</v>
      </c>
      <c r="Y215">
        <v>0</v>
      </c>
      <c r="Z215">
        <v>430.32</v>
      </c>
      <c r="AA215">
        <v>215.31</v>
      </c>
      <c r="AB215">
        <v>0</v>
      </c>
      <c r="AC215">
        <v>0</v>
      </c>
      <c r="AD215">
        <v>1</v>
      </c>
      <c r="AE215">
        <v>0</v>
      </c>
      <c r="AF215" t="s">
        <v>3</v>
      </c>
      <c r="AG215">
        <v>2.08</v>
      </c>
      <c r="AH215">
        <v>2</v>
      </c>
      <c r="AI215">
        <v>52431902</v>
      </c>
      <c r="AJ215">
        <v>225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</row>
    <row r="216" spans="1:44" x14ac:dyDescent="0.2">
      <c r="A216">
        <f>ROW(Source!A216)</f>
        <v>216</v>
      </c>
      <c r="B216">
        <v>52431911</v>
      </c>
      <c r="C216">
        <v>52431899</v>
      </c>
      <c r="D216">
        <v>51865006</v>
      </c>
      <c r="E216">
        <v>1</v>
      </c>
      <c r="F216">
        <v>1</v>
      </c>
      <c r="G216">
        <v>27</v>
      </c>
      <c r="H216">
        <v>2</v>
      </c>
      <c r="I216" t="s">
        <v>393</v>
      </c>
      <c r="J216" t="s">
        <v>394</v>
      </c>
      <c r="K216" t="s">
        <v>395</v>
      </c>
      <c r="L216">
        <v>1368</v>
      </c>
      <c r="N216">
        <v>1011</v>
      </c>
      <c r="O216" t="s">
        <v>84</v>
      </c>
      <c r="P216" t="s">
        <v>84</v>
      </c>
      <c r="Q216">
        <v>1</v>
      </c>
      <c r="X216">
        <v>0.81</v>
      </c>
      <c r="Y216">
        <v>0</v>
      </c>
      <c r="Z216">
        <v>2020.59</v>
      </c>
      <c r="AA216">
        <v>458.56</v>
      </c>
      <c r="AB216">
        <v>0</v>
      </c>
      <c r="AC216">
        <v>0</v>
      </c>
      <c r="AD216">
        <v>1</v>
      </c>
      <c r="AE216">
        <v>0</v>
      </c>
      <c r="AF216" t="s">
        <v>3</v>
      </c>
      <c r="AG216">
        <v>0.81</v>
      </c>
      <c r="AH216">
        <v>2</v>
      </c>
      <c r="AI216">
        <v>52431903</v>
      </c>
      <c r="AJ216">
        <v>226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</row>
    <row r="217" spans="1:44" x14ac:dyDescent="0.2">
      <c r="A217">
        <f>ROW(Source!A216)</f>
        <v>216</v>
      </c>
      <c r="B217">
        <v>52431912</v>
      </c>
      <c r="C217">
        <v>52431899</v>
      </c>
      <c r="D217">
        <v>51865030</v>
      </c>
      <c r="E217">
        <v>1</v>
      </c>
      <c r="F217">
        <v>1</v>
      </c>
      <c r="G217">
        <v>27</v>
      </c>
      <c r="H217">
        <v>2</v>
      </c>
      <c r="I217" t="s">
        <v>396</v>
      </c>
      <c r="J217" t="s">
        <v>397</v>
      </c>
      <c r="K217" t="s">
        <v>398</v>
      </c>
      <c r="L217">
        <v>1368</v>
      </c>
      <c r="N217">
        <v>1011</v>
      </c>
      <c r="O217" t="s">
        <v>84</v>
      </c>
      <c r="P217" t="s">
        <v>84</v>
      </c>
      <c r="Q217">
        <v>1</v>
      </c>
      <c r="X217">
        <v>1.94</v>
      </c>
      <c r="Y217">
        <v>0</v>
      </c>
      <c r="Z217">
        <v>1412.71</v>
      </c>
      <c r="AA217">
        <v>641.32000000000005</v>
      </c>
      <c r="AB217">
        <v>0</v>
      </c>
      <c r="AC217">
        <v>0</v>
      </c>
      <c r="AD217">
        <v>1</v>
      </c>
      <c r="AE217">
        <v>0</v>
      </c>
      <c r="AF217" t="s">
        <v>3</v>
      </c>
      <c r="AG217">
        <v>1.94</v>
      </c>
      <c r="AH217">
        <v>2</v>
      </c>
      <c r="AI217">
        <v>52431904</v>
      </c>
      <c r="AJ217">
        <v>227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</row>
    <row r="218" spans="1:44" x14ac:dyDescent="0.2">
      <c r="A218">
        <f>ROW(Source!A216)</f>
        <v>216</v>
      </c>
      <c r="B218">
        <v>52431913</v>
      </c>
      <c r="C218">
        <v>52431899</v>
      </c>
      <c r="D218">
        <v>51864996</v>
      </c>
      <c r="E218">
        <v>1</v>
      </c>
      <c r="F218">
        <v>1</v>
      </c>
      <c r="G218">
        <v>27</v>
      </c>
      <c r="H218">
        <v>2</v>
      </c>
      <c r="I218" t="s">
        <v>399</v>
      </c>
      <c r="J218" t="s">
        <v>400</v>
      </c>
      <c r="K218" t="s">
        <v>401</v>
      </c>
      <c r="L218">
        <v>1368</v>
      </c>
      <c r="N218">
        <v>1011</v>
      </c>
      <c r="O218" t="s">
        <v>84</v>
      </c>
      <c r="P218" t="s">
        <v>84</v>
      </c>
      <c r="Q218">
        <v>1</v>
      </c>
      <c r="X218">
        <v>0.65</v>
      </c>
      <c r="Y218">
        <v>0</v>
      </c>
      <c r="Z218">
        <v>1213.3399999999999</v>
      </c>
      <c r="AA218">
        <v>461.6</v>
      </c>
      <c r="AB218">
        <v>0</v>
      </c>
      <c r="AC218">
        <v>0</v>
      </c>
      <c r="AD218">
        <v>1</v>
      </c>
      <c r="AE218">
        <v>0</v>
      </c>
      <c r="AF218" t="s">
        <v>3</v>
      </c>
      <c r="AG218">
        <v>0.65</v>
      </c>
      <c r="AH218">
        <v>2</v>
      </c>
      <c r="AI218">
        <v>52431905</v>
      </c>
      <c r="AJ218">
        <v>228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</row>
    <row r="219" spans="1:44" x14ac:dyDescent="0.2">
      <c r="A219">
        <f>ROW(Source!A216)</f>
        <v>216</v>
      </c>
      <c r="B219">
        <v>52431914</v>
      </c>
      <c r="C219">
        <v>52431899</v>
      </c>
      <c r="D219">
        <v>51866959</v>
      </c>
      <c r="E219">
        <v>1</v>
      </c>
      <c r="F219">
        <v>1</v>
      </c>
      <c r="G219">
        <v>27</v>
      </c>
      <c r="H219">
        <v>3</v>
      </c>
      <c r="I219" t="s">
        <v>402</v>
      </c>
      <c r="J219" t="s">
        <v>403</v>
      </c>
      <c r="K219" t="s">
        <v>404</v>
      </c>
      <c r="L219">
        <v>1339</v>
      </c>
      <c r="N219">
        <v>1007</v>
      </c>
      <c r="O219" t="s">
        <v>28</v>
      </c>
      <c r="P219" t="s">
        <v>28</v>
      </c>
      <c r="Q219">
        <v>1</v>
      </c>
      <c r="X219">
        <v>110</v>
      </c>
      <c r="Y219">
        <v>590.78</v>
      </c>
      <c r="Z219">
        <v>0</v>
      </c>
      <c r="AA219">
        <v>0</v>
      </c>
      <c r="AB219">
        <v>0</v>
      </c>
      <c r="AC219">
        <v>0</v>
      </c>
      <c r="AD219">
        <v>1</v>
      </c>
      <c r="AE219">
        <v>0</v>
      </c>
      <c r="AF219" t="s">
        <v>3</v>
      </c>
      <c r="AG219">
        <v>110</v>
      </c>
      <c r="AH219">
        <v>2</v>
      </c>
      <c r="AI219">
        <v>52431906</v>
      </c>
      <c r="AJ219">
        <v>229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</row>
    <row r="220" spans="1:44" x14ac:dyDescent="0.2">
      <c r="A220">
        <f>ROW(Source!A216)</f>
        <v>216</v>
      </c>
      <c r="B220">
        <v>52431915</v>
      </c>
      <c r="C220">
        <v>52431899</v>
      </c>
      <c r="D220">
        <v>51867705</v>
      </c>
      <c r="E220">
        <v>1</v>
      </c>
      <c r="F220">
        <v>1</v>
      </c>
      <c r="G220">
        <v>27</v>
      </c>
      <c r="H220">
        <v>3</v>
      </c>
      <c r="I220" t="s">
        <v>405</v>
      </c>
      <c r="J220" t="s">
        <v>406</v>
      </c>
      <c r="K220" t="s">
        <v>407</v>
      </c>
      <c r="L220">
        <v>1339</v>
      </c>
      <c r="N220">
        <v>1007</v>
      </c>
      <c r="O220" t="s">
        <v>28</v>
      </c>
      <c r="P220" t="s">
        <v>28</v>
      </c>
      <c r="Q220">
        <v>1</v>
      </c>
      <c r="X220">
        <v>5</v>
      </c>
      <c r="Y220">
        <v>35.25</v>
      </c>
      <c r="Z220">
        <v>0</v>
      </c>
      <c r="AA220">
        <v>0</v>
      </c>
      <c r="AB220">
        <v>0</v>
      </c>
      <c r="AC220">
        <v>0</v>
      </c>
      <c r="AD220">
        <v>1</v>
      </c>
      <c r="AE220">
        <v>0</v>
      </c>
      <c r="AF220" t="s">
        <v>3</v>
      </c>
      <c r="AG220">
        <v>5</v>
      </c>
      <c r="AH220">
        <v>2</v>
      </c>
      <c r="AI220">
        <v>52431907</v>
      </c>
      <c r="AJ220">
        <v>230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</row>
    <row r="221" spans="1:44" x14ac:dyDescent="0.2">
      <c r="A221">
        <f>ROW(Source!A217)</f>
        <v>217</v>
      </c>
      <c r="B221">
        <v>52431922</v>
      </c>
      <c r="C221">
        <v>52431916</v>
      </c>
      <c r="D221">
        <v>51848379</v>
      </c>
      <c r="E221">
        <v>27</v>
      </c>
      <c r="F221">
        <v>1</v>
      </c>
      <c r="G221">
        <v>27</v>
      </c>
      <c r="H221">
        <v>1</v>
      </c>
      <c r="I221" t="s">
        <v>378</v>
      </c>
      <c r="J221" t="s">
        <v>3</v>
      </c>
      <c r="K221" t="s">
        <v>379</v>
      </c>
      <c r="L221">
        <v>1191</v>
      </c>
      <c r="N221">
        <v>1013</v>
      </c>
      <c r="O221" t="s">
        <v>380</v>
      </c>
      <c r="P221" t="s">
        <v>380</v>
      </c>
      <c r="Q221">
        <v>1</v>
      </c>
      <c r="X221">
        <v>72.95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1</v>
      </c>
      <c r="AE221">
        <v>1</v>
      </c>
      <c r="AF221" t="s">
        <v>3</v>
      </c>
      <c r="AG221">
        <v>72.95</v>
      </c>
      <c r="AH221">
        <v>2</v>
      </c>
      <c r="AI221">
        <v>52431917</v>
      </c>
      <c r="AJ221">
        <v>231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</row>
    <row r="222" spans="1:44" x14ac:dyDescent="0.2">
      <c r="A222">
        <f>ROW(Source!A217)</f>
        <v>217</v>
      </c>
      <c r="B222">
        <v>52431923</v>
      </c>
      <c r="C222">
        <v>52431916</v>
      </c>
      <c r="D222">
        <v>51864920</v>
      </c>
      <c r="E222">
        <v>1</v>
      </c>
      <c r="F222">
        <v>1</v>
      </c>
      <c r="G222">
        <v>27</v>
      </c>
      <c r="H222">
        <v>2</v>
      </c>
      <c r="I222" t="s">
        <v>445</v>
      </c>
      <c r="J222" t="s">
        <v>446</v>
      </c>
      <c r="K222" t="s">
        <v>447</v>
      </c>
      <c r="L222">
        <v>1368</v>
      </c>
      <c r="N222">
        <v>1011</v>
      </c>
      <c r="O222" t="s">
        <v>84</v>
      </c>
      <c r="P222" t="s">
        <v>84</v>
      </c>
      <c r="Q222">
        <v>1</v>
      </c>
      <c r="X222">
        <v>0.26</v>
      </c>
      <c r="Y222">
        <v>0</v>
      </c>
      <c r="Z222">
        <v>683.9</v>
      </c>
      <c r="AA222">
        <v>371.27</v>
      </c>
      <c r="AB222">
        <v>0</v>
      </c>
      <c r="AC222">
        <v>0</v>
      </c>
      <c r="AD222">
        <v>1</v>
      </c>
      <c r="AE222">
        <v>0</v>
      </c>
      <c r="AF222" t="s">
        <v>3</v>
      </c>
      <c r="AG222">
        <v>0.26</v>
      </c>
      <c r="AH222">
        <v>2</v>
      </c>
      <c r="AI222">
        <v>52431918</v>
      </c>
      <c r="AJ222">
        <v>232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</row>
    <row r="223" spans="1:44" x14ac:dyDescent="0.2">
      <c r="A223">
        <f>ROW(Source!A217)</f>
        <v>217</v>
      </c>
      <c r="B223">
        <v>52431924</v>
      </c>
      <c r="C223">
        <v>52431916</v>
      </c>
      <c r="D223">
        <v>51868676</v>
      </c>
      <c r="E223">
        <v>1</v>
      </c>
      <c r="F223">
        <v>1</v>
      </c>
      <c r="G223">
        <v>27</v>
      </c>
      <c r="H223">
        <v>3</v>
      </c>
      <c r="I223" t="s">
        <v>448</v>
      </c>
      <c r="J223" t="s">
        <v>449</v>
      </c>
      <c r="K223" t="s">
        <v>450</v>
      </c>
      <c r="L223">
        <v>1339</v>
      </c>
      <c r="N223">
        <v>1007</v>
      </c>
      <c r="O223" t="s">
        <v>28</v>
      </c>
      <c r="P223" t="s">
        <v>28</v>
      </c>
      <c r="Q223">
        <v>1</v>
      </c>
      <c r="X223">
        <v>4.3</v>
      </c>
      <c r="Y223">
        <v>3714.73</v>
      </c>
      <c r="Z223">
        <v>0</v>
      </c>
      <c r="AA223">
        <v>0</v>
      </c>
      <c r="AB223">
        <v>0</v>
      </c>
      <c r="AC223">
        <v>0</v>
      </c>
      <c r="AD223">
        <v>1</v>
      </c>
      <c r="AE223">
        <v>0</v>
      </c>
      <c r="AF223" t="s">
        <v>3</v>
      </c>
      <c r="AG223">
        <v>4.3</v>
      </c>
      <c r="AH223">
        <v>2</v>
      </c>
      <c r="AI223">
        <v>52431919</v>
      </c>
      <c r="AJ223">
        <v>233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</row>
    <row r="224" spans="1:44" x14ac:dyDescent="0.2">
      <c r="A224">
        <f>ROW(Source!A217)</f>
        <v>217</v>
      </c>
      <c r="B224">
        <v>52431925</v>
      </c>
      <c r="C224">
        <v>52431916</v>
      </c>
      <c r="D224">
        <v>51868752</v>
      </c>
      <c r="E224">
        <v>1</v>
      </c>
      <c r="F224">
        <v>1</v>
      </c>
      <c r="G224">
        <v>27</v>
      </c>
      <c r="H224">
        <v>3</v>
      </c>
      <c r="I224" t="s">
        <v>451</v>
      </c>
      <c r="J224" t="s">
        <v>452</v>
      </c>
      <c r="K224" t="s">
        <v>453</v>
      </c>
      <c r="L224">
        <v>1339</v>
      </c>
      <c r="N224">
        <v>1007</v>
      </c>
      <c r="O224" t="s">
        <v>28</v>
      </c>
      <c r="P224" t="s">
        <v>28</v>
      </c>
      <c r="Q224">
        <v>1</v>
      </c>
      <c r="X224">
        <v>0.02</v>
      </c>
      <c r="Y224">
        <v>3392.59</v>
      </c>
      <c r="Z224">
        <v>0</v>
      </c>
      <c r="AA224">
        <v>0</v>
      </c>
      <c r="AB224">
        <v>0</v>
      </c>
      <c r="AC224">
        <v>0</v>
      </c>
      <c r="AD224">
        <v>1</v>
      </c>
      <c r="AE224">
        <v>0</v>
      </c>
      <c r="AF224" t="s">
        <v>3</v>
      </c>
      <c r="AG224">
        <v>0.02</v>
      </c>
      <c r="AH224">
        <v>2</v>
      </c>
      <c r="AI224">
        <v>52431920</v>
      </c>
      <c r="AJ224">
        <v>234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</row>
    <row r="225" spans="1:44" x14ac:dyDescent="0.2">
      <c r="A225">
        <f>ROW(Source!A217)</f>
        <v>217</v>
      </c>
      <c r="B225">
        <v>52431926</v>
      </c>
      <c r="C225">
        <v>52431916</v>
      </c>
      <c r="D225">
        <v>51869488</v>
      </c>
      <c r="E225">
        <v>1</v>
      </c>
      <c r="F225">
        <v>1</v>
      </c>
      <c r="G225">
        <v>27</v>
      </c>
      <c r="H225">
        <v>3</v>
      </c>
      <c r="I225" t="s">
        <v>454</v>
      </c>
      <c r="J225" t="s">
        <v>455</v>
      </c>
      <c r="K225" t="s">
        <v>456</v>
      </c>
      <c r="L225">
        <v>1339</v>
      </c>
      <c r="N225">
        <v>1007</v>
      </c>
      <c r="O225" t="s">
        <v>28</v>
      </c>
      <c r="P225" t="s">
        <v>28</v>
      </c>
      <c r="Q225">
        <v>1</v>
      </c>
      <c r="X225">
        <v>1.6</v>
      </c>
      <c r="Y225">
        <v>11566.57</v>
      </c>
      <c r="Z225">
        <v>0</v>
      </c>
      <c r="AA225">
        <v>0</v>
      </c>
      <c r="AB225">
        <v>0</v>
      </c>
      <c r="AC225">
        <v>0</v>
      </c>
      <c r="AD225">
        <v>1</v>
      </c>
      <c r="AE225">
        <v>0</v>
      </c>
      <c r="AF225" t="s">
        <v>3</v>
      </c>
      <c r="AG225">
        <v>1.6</v>
      </c>
      <c r="AH225">
        <v>2</v>
      </c>
      <c r="AI225">
        <v>52431921</v>
      </c>
      <c r="AJ225">
        <v>235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</row>
    <row r="226" spans="1:44" x14ac:dyDescent="0.2">
      <c r="A226">
        <f>ROW(Source!A218)</f>
        <v>218</v>
      </c>
      <c r="B226">
        <v>52431939</v>
      </c>
      <c r="C226">
        <v>52431927</v>
      </c>
      <c r="D226">
        <v>51848379</v>
      </c>
      <c r="E226">
        <v>27</v>
      </c>
      <c r="F226">
        <v>1</v>
      </c>
      <c r="G226">
        <v>27</v>
      </c>
      <c r="H226">
        <v>1</v>
      </c>
      <c r="I226" t="s">
        <v>378</v>
      </c>
      <c r="J226" t="s">
        <v>3</v>
      </c>
      <c r="K226" t="s">
        <v>379</v>
      </c>
      <c r="L226">
        <v>1191</v>
      </c>
      <c r="N226">
        <v>1013</v>
      </c>
      <c r="O226" t="s">
        <v>380</v>
      </c>
      <c r="P226" t="s">
        <v>380</v>
      </c>
      <c r="Q226">
        <v>1</v>
      </c>
      <c r="X226">
        <v>902.75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1</v>
      </c>
      <c r="AE226">
        <v>1</v>
      </c>
      <c r="AF226" t="s">
        <v>3</v>
      </c>
      <c r="AG226">
        <v>902.75</v>
      </c>
      <c r="AH226">
        <v>2</v>
      </c>
      <c r="AI226">
        <v>52431928</v>
      </c>
      <c r="AJ226">
        <v>236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</row>
    <row r="227" spans="1:44" x14ac:dyDescent="0.2">
      <c r="A227">
        <f>ROW(Source!A218)</f>
        <v>218</v>
      </c>
      <c r="B227">
        <v>52431940</v>
      </c>
      <c r="C227">
        <v>52431927</v>
      </c>
      <c r="D227">
        <v>51864800</v>
      </c>
      <c r="E227">
        <v>1</v>
      </c>
      <c r="F227">
        <v>1</v>
      </c>
      <c r="G227">
        <v>27</v>
      </c>
      <c r="H227">
        <v>2</v>
      </c>
      <c r="I227" t="s">
        <v>91</v>
      </c>
      <c r="J227" t="s">
        <v>93</v>
      </c>
      <c r="K227" t="s">
        <v>92</v>
      </c>
      <c r="L227">
        <v>1368</v>
      </c>
      <c r="N227">
        <v>1011</v>
      </c>
      <c r="O227" t="s">
        <v>84</v>
      </c>
      <c r="P227" t="s">
        <v>84</v>
      </c>
      <c r="Q227">
        <v>1</v>
      </c>
      <c r="X227">
        <v>0.09</v>
      </c>
      <c r="Y227">
        <v>0</v>
      </c>
      <c r="Z227">
        <v>1009.65</v>
      </c>
      <c r="AA227">
        <v>554.42999999999995</v>
      </c>
      <c r="AB227">
        <v>0</v>
      </c>
      <c r="AC227">
        <v>0</v>
      </c>
      <c r="AD227">
        <v>1</v>
      </c>
      <c r="AE227">
        <v>0</v>
      </c>
      <c r="AF227" t="s">
        <v>3</v>
      </c>
      <c r="AG227">
        <v>0.09</v>
      </c>
      <c r="AH227">
        <v>2</v>
      </c>
      <c r="AI227">
        <v>52431929</v>
      </c>
      <c r="AJ227">
        <v>237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</row>
    <row r="228" spans="1:44" x14ac:dyDescent="0.2">
      <c r="A228">
        <f>ROW(Source!A218)</f>
        <v>218</v>
      </c>
      <c r="B228">
        <v>52431941</v>
      </c>
      <c r="C228">
        <v>52431927</v>
      </c>
      <c r="D228">
        <v>51865257</v>
      </c>
      <c r="E228">
        <v>1</v>
      </c>
      <c r="F228">
        <v>1</v>
      </c>
      <c r="G228">
        <v>27</v>
      </c>
      <c r="H228">
        <v>2</v>
      </c>
      <c r="I228" t="s">
        <v>87</v>
      </c>
      <c r="J228" t="s">
        <v>89</v>
      </c>
      <c r="K228" t="s">
        <v>88</v>
      </c>
      <c r="L228">
        <v>1368</v>
      </c>
      <c r="N228">
        <v>1011</v>
      </c>
      <c r="O228" t="s">
        <v>84</v>
      </c>
      <c r="P228" t="s">
        <v>84</v>
      </c>
      <c r="Q228">
        <v>1</v>
      </c>
      <c r="X228">
        <v>14.5</v>
      </c>
      <c r="Y228">
        <v>0</v>
      </c>
      <c r="Z228">
        <v>27.21</v>
      </c>
      <c r="AA228">
        <v>0.13</v>
      </c>
      <c r="AB228">
        <v>0</v>
      </c>
      <c r="AC228">
        <v>0</v>
      </c>
      <c r="AD228">
        <v>1</v>
      </c>
      <c r="AE228">
        <v>0</v>
      </c>
      <c r="AF228" t="s">
        <v>3</v>
      </c>
      <c r="AG228">
        <v>14.5</v>
      </c>
      <c r="AH228">
        <v>2</v>
      </c>
      <c r="AI228">
        <v>52431930</v>
      </c>
      <c r="AJ228">
        <v>238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</row>
    <row r="229" spans="1:44" x14ac:dyDescent="0.2">
      <c r="A229">
        <f>ROW(Source!A218)</f>
        <v>218</v>
      </c>
      <c r="B229">
        <v>52431942</v>
      </c>
      <c r="C229">
        <v>52431927</v>
      </c>
      <c r="D229">
        <v>51865090</v>
      </c>
      <c r="E229">
        <v>1</v>
      </c>
      <c r="F229">
        <v>1</v>
      </c>
      <c r="G229">
        <v>27</v>
      </c>
      <c r="H229">
        <v>2</v>
      </c>
      <c r="I229" t="s">
        <v>82</v>
      </c>
      <c r="J229" t="s">
        <v>85</v>
      </c>
      <c r="K229" t="s">
        <v>83</v>
      </c>
      <c r="L229">
        <v>1368</v>
      </c>
      <c r="N229">
        <v>1011</v>
      </c>
      <c r="O229" t="s">
        <v>84</v>
      </c>
      <c r="P229" t="s">
        <v>84</v>
      </c>
      <c r="Q229">
        <v>1</v>
      </c>
      <c r="X229">
        <v>5.44</v>
      </c>
      <c r="Y229">
        <v>0</v>
      </c>
      <c r="Z229">
        <v>10.82</v>
      </c>
      <c r="AA229">
        <v>2.97</v>
      </c>
      <c r="AB229">
        <v>0</v>
      </c>
      <c r="AC229">
        <v>0</v>
      </c>
      <c r="AD229">
        <v>1</v>
      </c>
      <c r="AE229">
        <v>0</v>
      </c>
      <c r="AF229" t="s">
        <v>3</v>
      </c>
      <c r="AG229">
        <v>5.44</v>
      </c>
      <c r="AH229">
        <v>2</v>
      </c>
      <c r="AI229">
        <v>52431931</v>
      </c>
      <c r="AJ229">
        <v>239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</row>
    <row r="230" spans="1:44" x14ac:dyDescent="0.2">
      <c r="A230">
        <f>ROW(Source!A218)</f>
        <v>218</v>
      </c>
      <c r="B230">
        <v>52431943</v>
      </c>
      <c r="C230">
        <v>52431927</v>
      </c>
      <c r="D230">
        <v>51867612</v>
      </c>
      <c r="E230">
        <v>1</v>
      </c>
      <c r="F230">
        <v>1</v>
      </c>
      <c r="G230">
        <v>27</v>
      </c>
      <c r="H230">
        <v>3</v>
      </c>
      <c r="I230" t="s">
        <v>99</v>
      </c>
      <c r="J230" t="s">
        <v>102</v>
      </c>
      <c r="K230" t="s">
        <v>100</v>
      </c>
      <c r="L230">
        <v>1348</v>
      </c>
      <c r="N230">
        <v>1009</v>
      </c>
      <c r="O230" t="s">
        <v>101</v>
      </c>
      <c r="P230" t="s">
        <v>101</v>
      </c>
      <c r="Q230">
        <v>1000</v>
      </c>
      <c r="X230">
        <v>0.02</v>
      </c>
      <c r="Y230">
        <v>110781.14</v>
      </c>
      <c r="Z230">
        <v>0</v>
      </c>
      <c r="AA230">
        <v>0</v>
      </c>
      <c r="AB230">
        <v>0</v>
      </c>
      <c r="AC230">
        <v>0</v>
      </c>
      <c r="AD230">
        <v>1</v>
      </c>
      <c r="AE230">
        <v>0</v>
      </c>
      <c r="AF230" t="s">
        <v>3</v>
      </c>
      <c r="AG230">
        <v>0.02</v>
      </c>
      <c r="AH230">
        <v>2</v>
      </c>
      <c r="AI230">
        <v>52431932</v>
      </c>
      <c r="AJ230">
        <v>240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</row>
    <row r="231" spans="1:44" x14ac:dyDescent="0.2">
      <c r="A231">
        <f>ROW(Source!A218)</f>
        <v>218</v>
      </c>
      <c r="B231">
        <v>52431944</v>
      </c>
      <c r="C231">
        <v>52431927</v>
      </c>
      <c r="D231">
        <v>51866048</v>
      </c>
      <c r="E231">
        <v>1</v>
      </c>
      <c r="F231">
        <v>1</v>
      </c>
      <c r="G231">
        <v>27</v>
      </c>
      <c r="H231">
        <v>3</v>
      </c>
      <c r="I231" t="s">
        <v>77</v>
      </c>
      <c r="J231" t="s">
        <v>80</v>
      </c>
      <c r="K231" t="s">
        <v>78</v>
      </c>
      <c r="L231">
        <v>1356</v>
      </c>
      <c r="N231">
        <v>1010</v>
      </c>
      <c r="O231" t="s">
        <v>79</v>
      </c>
      <c r="P231" t="s">
        <v>79</v>
      </c>
      <c r="Q231">
        <v>1000</v>
      </c>
      <c r="X231">
        <v>3.6999999999999998E-2</v>
      </c>
      <c r="Y231">
        <v>10419.43</v>
      </c>
      <c r="Z231">
        <v>0</v>
      </c>
      <c r="AA231">
        <v>0</v>
      </c>
      <c r="AB231">
        <v>0</v>
      </c>
      <c r="AC231">
        <v>0</v>
      </c>
      <c r="AD231">
        <v>1</v>
      </c>
      <c r="AE231">
        <v>0</v>
      </c>
      <c r="AF231" t="s">
        <v>3</v>
      </c>
      <c r="AG231">
        <v>3.6999999999999998E-2</v>
      </c>
      <c r="AH231">
        <v>2</v>
      </c>
      <c r="AI231">
        <v>52431933</v>
      </c>
      <c r="AJ231">
        <v>241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</row>
    <row r="232" spans="1:44" x14ac:dyDescent="0.2">
      <c r="A232">
        <f>ROW(Source!A218)</f>
        <v>218</v>
      </c>
      <c r="B232">
        <v>52431945</v>
      </c>
      <c r="C232">
        <v>52431927</v>
      </c>
      <c r="D232">
        <v>51868609</v>
      </c>
      <c r="E232">
        <v>1</v>
      </c>
      <c r="F232">
        <v>1</v>
      </c>
      <c r="G232">
        <v>27</v>
      </c>
      <c r="H232">
        <v>3</v>
      </c>
      <c r="I232" t="s">
        <v>95</v>
      </c>
      <c r="J232" t="s">
        <v>97</v>
      </c>
      <c r="K232" t="s">
        <v>96</v>
      </c>
      <c r="L232">
        <v>1339</v>
      </c>
      <c r="N232">
        <v>1007</v>
      </c>
      <c r="O232" t="s">
        <v>28</v>
      </c>
      <c r="P232" t="s">
        <v>28</v>
      </c>
      <c r="Q232">
        <v>1</v>
      </c>
      <c r="X232">
        <v>5</v>
      </c>
      <c r="Y232">
        <v>3040.38</v>
      </c>
      <c r="Z232">
        <v>0</v>
      </c>
      <c r="AA232">
        <v>0</v>
      </c>
      <c r="AB232">
        <v>0</v>
      </c>
      <c r="AC232">
        <v>0</v>
      </c>
      <c r="AD232">
        <v>1</v>
      </c>
      <c r="AE232">
        <v>0</v>
      </c>
      <c r="AF232" t="s">
        <v>3</v>
      </c>
      <c r="AG232">
        <v>5</v>
      </c>
      <c r="AH232">
        <v>2</v>
      </c>
      <c r="AI232">
        <v>52431934</v>
      </c>
      <c r="AJ232">
        <v>242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</row>
    <row r="233" spans="1:44" x14ac:dyDescent="0.2">
      <c r="A233">
        <f>ROW(Source!A218)</f>
        <v>218</v>
      </c>
      <c r="B233">
        <v>52431946</v>
      </c>
      <c r="C233">
        <v>52431927</v>
      </c>
      <c r="D233">
        <v>51868749</v>
      </c>
      <c r="E233">
        <v>1</v>
      </c>
      <c r="F233">
        <v>1</v>
      </c>
      <c r="G233">
        <v>27</v>
      </c>
      <c r="H233">
        <v>3</v>
      </c>
      <c r="I233" t="s">
        <v>457</v>
      </c>
      <c r="J233" t="s">
        <v>458</v>
      </c>
      <c r="K233" t="s">
        <v>459</v>
      </c>
      <c r="L233">
        <v>1339</v>
      </c>
      <c r="N233">
        <v>1007</v>
      </c>
      <c r="O233" t="s">
        <v>28</v>
      </c>
      <c r="P233" t="s">
        <v>28</v>
      </c>
      <c r="Q233">
        <v>1</v>
      </c>
      <c r="X233">
        <v>1.4999999999999999E-2</v>
      </c>
      <c r="Y233">
        <v>3323.4</v>
      </c>
      <c r="Z233">
        <v>0</v>
      </c>
      <c r="AA233">
        <v>0</v>
      </c>
      <c r="AB233">
        <v>0</v>
      </c>
      <c r="AC233">
        <v>0</v>
      </c>
      <c r="AD233">
        <v>1</v>
      </c>
      <c r="AE233">
        <v>0</v>
      </c>
      <c r="AF233" t="s">
        <v>3</v>
      </c>
      <c r="AG233">
        <v>1.4999999999999999E-2</v>
      </c>
      <c r="AH233">
        <v>2</v>
      </c>
      <c r="AI233">
        <v>52431935</v>
      </c>
      <c r="AJ233">
        <v>243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</row>
    <row r="234" spans="1:44" x14ac:dyDescent="0.2">
      <c r="A234">
        <f>ROW(Source!A218)</f>
        <v>218</v>
      </c>
      <c r="B234">
        <v>52431947</v>
      </c>
      <c r="C234">
        <v>52431927</v>
      </c>
      <c r="D234">
        <v>51848520</v>
      </c>
      <c r="E234">
        <v>27</v>
      </c>
      <c r="F234">
        <v>1</v>
      </c>
      <c r="G234">
        <v>27</v>
      </c>
      <c r="H234">
        <v>3</v>
      </c>
      <c r="I234" t="s">
        <v>516</v>
      </c>
      <c r="J234" t="s">
        <v>3</v>
      </c>
      <c r="K234" t="s">
        <v>517</v>
      </c>
      <c r="L234">
        <v>1354</v>
      </c>
      <c r="N234">
        <v>1010</v>
      </c>
      <c r="O234" t="s">
        <v>106</v>
      </c>
      <c r="P234" t="s">
        <v>106</v>
      </c>
      <c r="Q234">
        <v>1</v>
      </c>
      <c r="X234">
        <v>100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 t="s">
        <v>3</v>
      </c>
      <c r="AG234">
        <v>100</v>
      </c>
      <c r="AH234">
        <v>3</v>
      </c>
      <c r="AI234">
        <v>-1</v>
      </c>
      <c r="AJ234" t="s">
        <v>3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</row>
    <row r="235" spans="1:44" x14ac:dyDescent="0.2">
      <c r="A235">
        <f>ROW(Source!A218)</f>
        <v>218</v>
      </c>
      <c r="B235">
        <v>52431948</v>
      </c>
      <c r="C235">
        <v>52431927</v>
      </c>
      <c r="D235">
        <v>51848525</v>
      </c>
      <c r="E235">
        <v>27</v>
      </c>
      <c r="F235">
        <v>1</v>
      </c>
      <c r="G235">
        <v>27</v>
      </c>
      <c r="H235">
        <v>3</v>
      </c>
      <c r="I235" t="s">
        <v>518</v>
      </c>
      <c r="J235" t="s">
        <v>3</v>
      </c>
      <c r="K235" t="s">
        <v>519</v>
      </c>
      <c r="L235">
        <v>1348</v>
      </c>
      <c r="N235">
        <v>1009</v>
      </c>
      <c r="O235" t="s">
        <v>101</v>
      </c>
      <c r="P235" t="s">
        <v>101</v>
      </c>
      <c r="Q235">
        <v>1000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 t="s">
        <v>3</v>
      </c>
      <c r="AG235">
        <v>0</v>
      </c>
      <c r="AH235">
        <v>3</v>
      </c>
      <c r="AI235">
        <v>-1</v>
      </c>
      <c r="AJ235" t="s">
        <v>3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</row>
    <row r="236" spans="1:44" x14ac:dyDescent="0.2">
      <c r="A236">
        <f>ROW(Source!A263)</f>
        <v>263</v>
      </c>
      <c r="B236">
        <v>52431960</v>
      </c>
      <c r="C236">
        <v>52431958</v>
      </c>
      <c r="D236">
        <v>51848379</v>
      </c>
      <c r="E236">
        <v>27</v>
      </c>
      <c r="F236">
        <v>1</v>
      </c>
      <c r="G236">
        <v>27</v>
      </c>
      <c r="H236">
        <v>1</v>
      </c>
      <c r="I236" t="s">
        <v>378</v>
      </c>
      <c r="J236" t="s">
        <v>3</v>
      </c>
      <c r="K236" t="s">
        <v>379</v>
      </c>
      <c r="L236">
        <v>1191</v>
      </c>
      <c r="N236">
        <v>1013</v>
      </c>
      <c r="O236" t="s">
        <v>380</v>
      </c>
      <c r="P236" t="s">
        <v>380</v>
      </c>
      <c r="Q236">
        <v>1</v>
      </c>
      <c r="X236">
        <v>3.3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1</v>
      </c>
      <c r="AE236">
        <v>1</v>
      </c>
      <c r="AF236" t="s">
        <v>3</v>
      </c>
      <c r="AG236">
        <v>3.3</v>
      </c>
      <c r="AH236">
        <v>2</v>
      </c>
      <c r="AI236">
        <v>52431959</v>
      </c>
      <c r="AJ236">
        <v>247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</row>
    <row r="237" spans="1:44" x14ac:dyDescent="0.2">
      <c r="A237">
        <f>ROW(Source!A264)</f>
        <v>264</v>
      </c>
      <c r="B237">
        <v>52431966</v>
      </c>
      <c r="C237">
        <v>52431961</v>
      </c>
      <c r="D237">
        <v>51848379</v>
      </c>
      <c r="E237">
        <v>27</v>
      </c>
      <c r="F237">
        <v>1</v>
      </c>
      <c r="G237">
        <v>27</v>
      </c>
      <c r="H237">
        <v>1</v>
      </c>
      <c r="I237" t="s">
        <v>378</v>
      </c>
      <c r="J237" t="s">
        <v>3</v>
      </c>
      <c r="K237" t="s">
        <v>379</v>
      </c>
      <c r="L237">
        <v>1191</v>
      </c>
      <c r="N237">
        <v>1013</v>
      </c>
      <c r="O237" t="s">
        <v>380</v>
      </c>
      <c r="P237" t="s">
        <v>380</v>
      </c>
      <c r="Q237">
        <v>1</v>
      </c>
      <c r="X237">
        <v>155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1</v>
      </c>
      <c r="AE237">
        <v>1</v>
      </c>
      <c r="AF237" t="s">
        <v>3</v>
      </c>
      <c r="AG237">
        <v>155</v>
      </c>
      <c r="AH237">
        <v>2</v>
      </c>
      <c r="AI237">
        <v>52431962</v>
      </c>
      <c r="AJ237">
        <v>248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</row>
    <row r="238" spans="1:44" x14ac:dyDescent="0.2">
      <c r="A238">
        <f>ROW(Source!A264)</f>
        <v>264</v>
      </c>
      <c r="B238">
        <v>52431967</v>
      </c>
      <c r="C238">
        <v>52431961</v>
      </c>
      <c r="D238">
        <v>51865160</v>
      </c>
      <c r="E238">
        <v>1</v>
      </c>
      <c r="F238">
        <v>1</v>
      </c>
      <c r="G238">
        <v>27</v>
      </c>
      <c r="H238">
        <v>2</v>
      </c>
      <c r="I238" t="s">
        <v>460</v>
      </c>
      <c r="J238" t="s">
        <v>461</v>
      </c>
      <c r="K238" t="s">
        <v>462</v>
      </c>
      <c r="L238">
        <v>1368</v>
      </c>
      <c r="N238">
        <v>1011</v>
      </c>
      <c r="O238" t="s">
        <v>84</v>
      </c>
      <c r="P238" t="s">
        <v>84</v>
      </c>
      <c r="Q238">
        <v>1</v>
      </c>
      <c r="X238">
        <v>37.5</v>
      </c>
      <c r="Y238">
        <v>0</v>
      </c>
      <c r="Z238">
        <v>744.2</v>
      </c>
      <c r="AA238">
        <v>423.17</v>
      </c>
      <c r="AB238">
        <v>0</v>
      </c>
      <c r="AC238">
        <v>0</v>
      </c>
      <c r="AD238">
        <v>1</v>
      </c>
      <c r="AE238">
        <v>0</v>
      </c>
      <c r="AF238" t="s">
        <v>3</v>
      </c>
      <c r="AG238">
        <v>37.5</v>
      </c>
      <c r="AH238">
        <v>2</v>
      </c>
      <c r="AI238">
        <v>52431963</v>
      </c>
      <c r="AJ238">
        <v>249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</row>
    <row r="239" spans="1:44" x14ac:dyDescent="0.2">
      <c r="A239">
        <f>ROW(Source!A264)</f>
        <v>264</v>
      </c>
      <c r="B239">
        <v>52431968</v>
      </c>
      <c r="C239">
        <v>52431961</v>
      </c>
      <c r="D239">
        <v>51865675</v>
      </c>
      <c r="E239">
        <v>1</v>
      </c>
      <c r="F239">
        <v>1</v>
      </c>
      <c r="G239">
        <v>27</v>
      </c>
      <c r="H239">
        <v>2</v>
      </c>
      <c r="I239" t="s">
        <v>463</v>
      </c>
      <c r="J239" t="s">
        <v>464</v>
      </c>
      <c r="K239" t="s">
        <v>465</v>
      </c>
      <c r="L239">
        <v>1368</v>
      </c>
      <c r="N239">
        <v>1011</v>
      </c>
      <c r="O239" t="s">
        <v>84</v>
      </c>
      <c r="P239" t="s">
        <v>84</v>
      </c>
      <c r="Q239">
        <v>1</v>
      </c>
      <c r="X239">
        <v>75</v>
      </c>
      <c r="Y239">
        <v>0</v>
      </c>
      <c r="Z239">
        <v>6.02</v>
      </c>
      <c r="AA239">
        <v>0.02</v>
      </c>
      <c r="AB239">
        <v>0</v>
      </c>
      <c r="AC239">
        <v>0</v>
      </c>
      <c r="AD239">
        <v>1</v>
      </c>
      <c r="AE239">
        <v>0</v>
      </c>
      <c r="AF239" t="s">
        <v>3</v>
      </c>
      <c r="AG239">
        <v>75</v>
      </c>
      <c r="AH239">
        <v>2</v>
      </c>
      <c r="AI239">
        <v>52431964</v>
      </c>
      <c r="AJ239">
        <v>250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</row>
    <row r="240" spans="1:44" x14ac:dyDescent="0.2">
      <c r="A240">
        <f>ROW(Source!A264)</f>
        <v>264</v>
      </c>
      <c r="B240">
        <v>52431969</v>
      </c>
      <c r="C240">
        <v>52431961</v>
      </c>
      <c r="D240">
        <v>51865030</v>
      </c>
      <c r="E240">
        <v>1</v>
      </c>
      <c r="F240">
        <v>1</v>
      </c>
      <c r="G240">
        <v>27</v>
      </c>
      <c r="H240">
        <v>2</v>
      </c>
      <c r="I240" t="s">
        <v>396</v>
      </c>
      <c r="J240" t="s">
        <v>397</v>
      </c>
      <c r="K240" t="s">
        <v>398</v>
      </c>
      <c r="L240">
        <v>1368</v>
      </c>
      <c r="N240">
        <v>1011</v>
      </c>
      <c r="O240" t="s">
        <v>84</v>
      </c>
      <c r="P240" t="s">
        <v>84</v>
      </c>
      <c r="Q240">
        <v>1</v>
      </c>
      <c r="X240">
        <v>1.55</v>
      </c>
      <c r="Y240">
        <v>0</v>
      </c>
      <c r="Z240">
        <v>1412.71</v>
      </c>
      <c r="AA240">
        <v>641.32000000000005</v>
      </c>
      <c r="AB240">
        <v>0</v>
      </c>
      <c r="AC240">
        <v>0</v>
      </c>
      <c r="AD240">
        <v>1</v>
      </c>
      <c r="AE240">
        <v>0</v>
      </c>
      <c r="AF240" t="s">
        <v>3</v>
      </c>
      <c r="AG240">
        <v>1.55</v>
      </c>
      <c r="AH240">
        <v>2</v>
      </c>
      <c r="AI240">
        <v>52431965</v>
      </c>
      <c r="AJ240">
        <v>251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</row>
    <row r="241" spans="1:44" x14ac:dyDescent="0.2">
      <c r="A241">
        <f>ROW(Source!A265)</f>
        <v>265</v>
      </c>
      <c r="B241">
        <v>52431974</v>
      </c>
      <c r="C241">
        <v>52431970</v>
      </c>
      <c r="D241">
        <v>51848379</v>
      </c>
      <c r="E241">
        <v>27</v>
      </c>
      <c r="F241">
        <v>1</v>
      </c>
      <c r="G241">
        <v>27</v>
      </c>
      <c r="H241">
        <v>1</v>
      </c>
      <c r="I241" t="s">
        <v>378</v>
      </c>
      <c r="J241" t="s">
        <v>3</v>
      </c>
      <c r="K241" t="s">
        <v>379</v>
      </c>
      <c r="L241">
        <v>1191</v>
      </c>
      <c r="N241">
        <v>1013</v>
      </c>
      <c r="O241" t="s">
        <v>380</v>
      </c>
      <c r="P241" t="s">
        <v>380</v>
      </c>
      <c r="Q241">
        <v>1</v>
      </c>
      <c r="X241">
        <v>11.7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1</v>
      </c>
      <c r="AE241">
        <v>1</v>
      </c>
      <c r="AF241" t="s">
        <v>3</v>
      </c>
      <c r="AG241">
        <v>11.7</v>
      </c>
      <c r="AH241">
        <v>2</v>
      </c>
      <c r="AI241">
        <v>52431971</v>
      </c>
      <c r="AJ241">
        <v>252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</row>
    <row r="242" spans="1:44" x14ac:dyDescent="0.2">
      <c r="A242">
        <f>ROW(Source!A265)</f>
        <v>265</v>
      </c>
      <c r="B242">
        <v>52431975</v>
      </c>
      <c r="C242">
        <v>52431970</v>
      </c>
      <c r="D242">
        <v>51864848</v>
      </c>
      <c r="E242">
        <v>1</v>
      </c>
      <c r="F242">
        <v>1</v>
      </c>
      <c r="G242">
        <v>27</v>
      </c>
      <c r="H242">
        <v>2</v>
      </c>
      <c r="I242" t="s">
        <v>387</v>
      </c>
      <c r="J242" t="s">
        <v>388</v>
      </c>
      <c r="K242" t="s">
        <v>389</v>
      </c>
      <c r="L242">
        <v>1368</v>
      </c>
      <c r="N242">
        <v>1011</v>
      </c>
      <c r="O242" t="s">
        <v>84</v>
      </c>
      <c r="P242" t="s">
        <v>84</v>
      </c>
      <c r="Q242">
        <v>1</v>
      </c>
      <c r="X242">
        <v>1.26</v>
      </c>
      <c r="Y242">
        <v>0</v>
      </c>
      <c r="Z242">
        <v>740.94</v>
      </c>
      <c r="AA242">
        <v>413.22</v>
      </c>
      <c r="AB242">
        <v>0</v>
      </c>
      <c r="AC242">
        <v>0</v>
      </c>
      <c r="AD242">
        <v>1</v>
      </c>
      <c r="AE242">
        <v>0</v>
      </c>
      <c r="AF242" t="s">
        <v>3</v>
      </c>
      <c r="AG242">
        <v>1.26</v>
      </c>
      <c r="AH242">
        <v>2</v>
      </c>
      <c r="AI242">
        <v>52431972</v>
      </c>
      <c r="AJ242">
        <v>253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</row>
    <row r="243" spans="1:44" x14ac:dyDescent="0.2">
      <c r="A243">
        <f>ROW(Source!A265)</f>
        <v>265</v>
      </c>
      <c r="B243">
        <v>52431976</v>
      </c>
      <c r="C243">
        <v>52431970</v>
      </c>
      <c r="D243">
        <v>51865030</v>
      </c>
      <c r="E243">
        <v>1</v>
      </c>
      <c r="F243">
        <v>1</v>
      </c>
      <c r="G243">
        <v>27</v>
      </c>
      <c r="H243">
        <v>2</v>
      </c>
      <c r="I243" t="s">
        <v>396</v>
      </c>
      <c r="J243" t="s">
        <v>397</v>
      </c>
      <c r="K243" t="s">
        <v>398</v>
      </c>
      <c r="L243">
        <v>1368</v>
      </c>
      <c r="N243">
        <v>1011</v>
      </c>
      <c r="O243" t="s">
        <v>84</v>
      </c>
      <c r="P243" t="s">
        <v>84</v>
      </c>
      <c r="Q243">
        <v>1</v>
      </c>
      <c r="X243">
        <v>1.7</v>
      </c>
      <c r="Y243">
        <v>0</v>
      </c>
      <c r="Z243">
        <v>1412.71</v>
      </c>
      <c r="AA243">
        <v>641.32000000000005</v>
      </c>
      <c r="AB243">
        <v>0</v>
      </c>
      <c r="AC243">
        <v>0</v>
      </c>
      <c r="AD243">
        <v>1</v>
      </c>
      <c r="AE243">
        <v>0</v>
      </c>
      <c r="AF243" t="s">
        <v>3</v>
      </c>
      <c r="AG243">
        <v>1.7</v>
      </c>
      <c r="AH243">
        <v>2</v>
      </c>
      <c r="AI243">
        <v>52431973</v>
      </c>
      <c r="AJ243">
        <v>254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</row>
    <row r="244" spans="1:44" x14ac:dyDescent="0.2">
      <c r="A244">
        <f>ROW(Source!A266)</f>
        <v>266</v>
      </c>
      <c r="B244">
        <v>52431981</v>
      </c>
      <c r="C244">
        <v>52431977</v>
      </c>
      <c r="D244">
        <v>51848379</v>
      </c>
      <c r="E244">
        <v>27</v>
      </c>
      <c r="F244">
        <v>1</v>
      </c>
      <c r="G244">
        <v>27</v>
      </c>
      <c r="H244">
        <v>1</v>
      </c>
      <c r="I244" t="s">
        <v>378</v>
      </c>
      <c r="J244" t="s">
        <v>3</v>
      </c>
      <c r="K244" t="s">
        <v>379</v>
      </c>
      <c r="L244">
        <v>1191</v>
      </c>
      <c r="N244">
        <v>1013</v>
      </c>
      <c r="O244" t="s">
        <v>380</v>
      </c>
      <c r="P244" t="s">
        <v>380</v>
      </c>
      <c r="Q244">
        <v>1</v>
      </c>
      <c r="X244">
        <v>2.2200000000000002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1</v>
      </c>
      <c r="AE244">
        <v>1</v>
      </c>
      <c r="AF244" t="s">
        <v>3</v>
      </c>
      <c r="AG244">
        <v>2.2200000000000002</v>
      </c>
      <c r="AH244">
        <v>2</v>
      </c>
      <c r="AI244">
        <v>52431978</v>
      </c>
      <c r="AJ244">
        <v>255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</row>
    <row r="245" spans="1:44" x14ac:dyDescent="0.2">
      <c r="A245">
        <f>ROW(Source!A266)</f>
        <v>266</v>
      </c>
      <c r="B245">
        <v>52431982</v>
      </c>
      <c r="C245">
        <v>52431977</v>
      </c>
      <c r="D245">
        <v>51864802</v>
      </c>
      <c r="E245">
        <v>1</v>
      </c>
      <c r="F245">
        <v>1</v>
      </c>
      <c r="G245">
        <v>27</v>
      </c>
      <c r="H245">
        <v>2</v>
      </c>
      <c r="I245" t="s">
        <v>466</v>
      </c>
      <c r="J245" t="s">
        <v>467</v>
      </c>
      <c r="K245" t="s">
        <v>468</v>
      </c>
      <c r="L245">
        <v>1368</v>
      </c>
      <c r="N245">
        <v>1011</v>
      </c>
      <c r="O245" t="s">
        <v>84</v>
      </c>
      <c r="P245" t="s">
        <v>84</v>
      </c>
      <c r="Q245">
        <v>1</v>
      </c>
      <c r="X245">
        <v>6.02</v>
      </c>
      <c r="Y245">
        <v>0</v>
      </c>
      <c r="Z245">
        <v>1230.4000000000001</v>
      </c>
      <c r="AA245">
        <v>565.29</v>
      </c>
      <c r="AB245">
        <v>0</v>
      </c>
      <c r="AC245">
        <v>0</v>
      </c>
      <c r="AD245">
        <v>1</v>
      </c>
      <c r="AE245">
        <v>0</v>
      </c>
      <c r="AF245" t="s">
        <v>3</v>
      </c>
      <c r="AG245">
        <v>6.02</v>
      </c>
      <c r="AH245">
        <v>2</v>
      </c>
      <c r="AI245">
        <v>52431979</v>
      </c>
      <c r="AJ245">
        <v>256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</row>
    <row r="246" spans="1:44" x14ac:dyDescent="0.2">
      <c r="A246">
        <f>ROW(Source!A266)</f>
        <v>266</v>
      </c>
      <c r="B246">
        <v>52431983</v>
      </c>
      <c r="C246">
        <v>52431977</v>
      </c>
      <c r="D246">
        <v>51864825</v>
      </c>
      <c r="E246">
        <v>1</v>
      </c>
      <c r="F246">
        <v>1</v>
      </c>
      <c r="G246">
        <v>27</v>
      </c>
      <c r="H246">
        <v>2</v>
      </c>
      <c r="I246" t="s">
        <v>469</v>
      </c>
      <c r="J246" t="s">
        <v>470</v>
      </c>
      <c r="K246" t="s">
        <v>471</v>
      </c>
      <c r="L246">
        <v>1368</v>
      </c>
      <c r="N246">
        <v>1011</v>
      </c>
      <c r="O246" t="s">
        <v>84</v>
      </c>
      <c r="P246" t="s">
        <v>84</v>
      </c>
      <c r="Q246">
        <v>1</v>
      </c>
      <c r="X246">
        <v>1.75</v>
      </c>
      <c r="Y246">
        <v>0</v>
      </c>
      <c r="Z246">
        <v>956.79</v>
      </c>
      <c r="AA246">
        <v>359.44</v>
      </c>
      <c r="AB246">
        <v>0</v>
      </c>
      <c r="AC246">
        <v>0</v>
      </c>
      <c r="AD246">
        <v>1</v>
      </c>
      <c r="AE246">
        <v>0</v>
      </c>
      <c r="AF246" t="s">
        <v>3</v>
      </c>
      <c r="AG246">
        <v>1.75</v>
      </c>
      <c r="AH246">
        <v>2</v>
      </c>
      <c r="AI246">
        <v>52431980</v>
      </c>
      <c r="AJ246">
        <v>257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</row>
    <row r="247" spans="1:44" x14ac:dyDescent="0.2">
      <c r="A247">
        <f>ROW(Source!A267)</f>
        <v>267</v>
      </c>
      <c r="B247">
        <v>52431993</v>
      </c>
      <c r="C247">
        <v>52431984</v>
      </c>
      <c r="D247">
        <v>51848379</v>
      </c>
      <c r="E247">
        <v>27</v>
      </c>
      <c r="F247">
        <v>1</v>
      </c>
      <c r="G247">
        <v>27</v>
      </c>
      <c r="H247">
        <v>1</v>
      </c>
      <c r="I247" t="s">
        <v>378</v>
      </c>
      <c r="J247" t="s">
        <v>3</v>
      </c>
      <c r="K247" t="s">
        <v>379</v>
      </c>
      <c r="L247">
        <v>1191</v>
      </c>
      <c r="N247">
        <v>1013</v>
      </c>
      <c r="O247" t="s">
        <v>380</v>
      </c>
      <c r="P247" t="s">
        <v>380</v>
      </c>
      <c r="Q247">
        <v>1</v>
      </c>
      <c r="X247">
        <v>16.559999999999999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1</v>
      </c>
      <c r="AE247">
        <v>1</v>
      </c>
      <c r="AF247" t="s">
        <v>3</v>
      </c>
      <c r="AG247">
        <v>16.559999999999999</v>
      </c>
      <c r="AH247">
        <v>2</v>
      </c>
      <c r="AI247">
        <v>52431985</v>
      </c>
      <c r="AJ247">
        <v>258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</row>
    <row r="248" spans="1:44" x14ac:dyDescent="0.2">
      <c r="A248">
        <f>ROW(Source!A267)</f>
        <v>267</v>
      </c>
      <c r="B248">
        <v>52431994</v>
      </c>
      <c r="C248">
        <v>52431984</v>
      </c>
      <c r="D248">
        <v>51864848</v>
      </c>
      <c r="E248">
        <v>1</v>
      </c>
      <c r="F248">
        <v>1</v>
      </c>
      <c r="G248">
        <v>27</v>
      </c>
      <c r="H248">
        <v>2</v>
      </c>
      <c r="I248" t="s">
        <v>387</v>
      </c>
      <c r="J248" t="s">
        <v>388</v>
      </c>
      <c r="K248" t="s">
        <v>389</v>
      </c>
      <c r="L248">
        <v>1368</v>
      </c>
      <c r="N248">
        <v>1011</v>
      </c>
      <c r="O248" t="s">
        <v>84</v>
      </c>
      <c r="P248" t="s">
        <v>84</v>
      </c>
      <c r="Q248">
        <v>1</v>
      </c>
      <c r="X248">
        <v>2.08</v>
      </c>
      <c r="Y248">
        <v>0</v>
      </c>
      <c r="Z248">
        <v>740.94</v>
      </c>
      <c r="AA248">
        <v>413.22</v>
      </c>
      <c r="AB248">
        <v>0</v>
      </c>
      <c r="AC248">
        <v>0</v>
      </c>
      <c r="AD248">
        <v>1</v>
      </c>
      <c r="AE248">
        <v>0</v>
      </c>
      <c r="AF248" t="s">
        <v>3</v>
      </c>
      <c r="AG248">
        <v>2.08</v>
      </c>
      <c r="AH248">
        <v>2</v>
      </c>
      <c r="AI248">
        <v>52431986</v>
      </c>
      <c r="AJ248">
        <v>259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</row>
    <row r="249" spans="1:44" x14ac:dyDescent="0.2">
      <c r="A249">
        <f>ROW(Source!A267)</f>
        <v>267</v>
      </c>
      <c r="B249">
        <v>52431995</v>
      </c>
      <c r="C249">
        <v>52431984</v>
      </c>
      <c r="D249">
        <v>51865003</v>
      </c>
      <c r="E249">
        <v>1</v>
      </c>
      <c r="F249">
        <v>1</v>
      </c>
      <c r="G249">
        <v>27</v>
      </c>
      <c r="H249">
        <v>2</v>
      </c>
      <c r="I249" t="s">
        <v>390</v>
      </c>
      <c r="J249" t="s">
        <v>391</v>
      </c>
      <c r="K249" t="s">
        <v>392</v>
      </c>
      <c r="L249">
        <v>1368</v>
      </c>
      <c r="N249">
        <v>1011</v>
      </c>
      <c r="O249" t="s">
        <v>84</v>
      </c>
      <c r="P249" t="s">
        <v>84</v>
      </c>
      <c r="Q249">
        <v>1</v>
      </c>
      <c r="X249">
        <v>2.08</v>
      </c>
      <c r="Y249">
        <v>0</v>
      </c>
      <c r="Z249">
        <v>430.32</v>
      </c>
      <c r="AA249">
        <v>215.31</v>
      </c>
      <c r="AB249">
        <v>0</v>
      </c>
      <c r="AC249">
        <v>0</v>
      </c>
      <c r="AD249">
        <v>1</v>
      </c>
      <c r="AE249">
        <v>0</v>
      </c>
      <c r="AF249" t="s">
        <v>3</v>
      </c>
      <c r="AG249">
        <v>2.08</v>
      </c>
      <c r="AH249">
        <v>2</v>
      </c>
      <c r="AI249">
        <v>52431987</v>
      </c>
      <c r="AJ249">
        <v>260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</row>
    <row r="250" spans="1:44" x14ac:dyDescent="0.2">
      <c r="A250">
        <f>ROW(Source!A267)</f>
        <v>267</v>
      </c>
      <c r="B250">
        <v>52431996</v>
      </c>
      <c r="C250">
        <v>52431984</v>
      </c>
      <c r="D250">
        <v>51865006</v>
      </c>
      <c r="E250">
        <v>1</v>
      </c>
      <c r="F250">
        <v>1</v>
      </c>
      <c r="G250">
        <v>27</v>
      </c>
      <c r="H250">
        <v>2</v>
      </c>
      <c r="I250" t="s">
        <v>393</v>
      </c>
      <c r="J250" t="s">
        <v>394</v>
      </c>
      <c r="K250" t="s">
        <v>395</v>
      </c>
      <c r="L250">
        <v>1368</v>
      </c>
      <c r="N250">
        <v>1011</v>
      </c>
      <c r="O250" t="s">
        <v>84</v>
      </c>
      <c r="P250" t="s">
        <v>84</v>
      </c>
      <c r="Q250">
        <v>1</v>
      </c>
      <c r="X250">
        <v>0.81</v>
      </c>
      <c r="Y250">
        <v>0</v>
      </c>
      <c r="Z250">
        <v>2020.59</v>
      </c>
      <c r="AA250">
        <v>458.56</v>
      </c>
      <c r="AB250">
        <v>0</v>
      </c>
      <c r="AC250">
        <v>0</v>
      </c>
      <c r="AD250">
        <v>1</v>
      </c>
      <c r="AE250">
        <v>0</v>
      </c>
      <c r="AF250" t="s">
        <v>3</v>
      </c>
      <c r="AG250">
        <v>0.81</v>
      </c>
      <c r="AH250">
        <v>2</v>
      </c>
      <c r="AI250">
        <v>52431988</v>
      </c>
      <c r="AJ250">
        <v>261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</row>
    <row r="251" spans="1:44" x14ac:dyDescent="0.2">
      <c r="A251">
        <f>ROW(Source!A267)</f>
        <v>267</v>
      </c>
      <c r="B251">
        <v>52431997</v>
      </c>
      <c r="C251">
        <v>52431984</v>
      </c>
      <c r="D251">
        <v>51865030</v>
      </c>
      <c r="E251">
        <v>1</v>
      </c>
      <c r="F251">
        <v>1</v>
      </c>
      <c r="G251">
        <v>27</v>
      </c>
      <c r="H251">
        <v>2</v>
      </c>
      <c r="I251" t="s">
        <v>396</v>
      </c>
      <c r="J251" t="s">
        <v>397</v>
      </c>
      <c r="K251" t="s">
        <v>398</v>
      </c>
      <c r="L251">
        <v>1368</v>
      </c>
      <c r="N251">
        <v>1011</v>
      </c>
      <c r="O251" t="s">
        <v>84</v>
      </c>
      <c r="P251" t="s">
        <v>84</v>
      </c>
      <c r="Q251">
        <v>1</v>
      </c>
      <c r="X251">
        <v>1.94</v>
      </c>
      <c r="Y251">
        <v>0</v>
      </c>
      <c r="Z251">
        <v>1412.71</v>
      </c>
      <c r="AA251">
        <v>641.32000000000005</v>
      </c>
      <c r="AB251">
        <v>0</v>
      </c>
      <c r="AC251">
        <v>0</v>
      </c>
      <c r="AD251">
        <v>1</v>
      </c>
      <c r="AE251">
        <v>0</v>
      </c>
      <c r="AF251" t="s">
        <v>3</v>
      </c>
      <c r="AG251">
        <v>1.94</v>
      </c>
      <c r="AH251">
        <v>2</v>
      </c>
      <c r="AI251">
        <v>52431989</v>
      </c>
      <c r="AJ251">
        <v>262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</row>
    <row r="252" spans="1:44" x14ac:dyDescent="0.2">
      <c r="A252">
        <f>ROW(Source!A267)</f>
        <v>267</v>
      </c>
      <c r="B252">
        <v>52431998</v>
      </c>
      <c r="C252">
        <v>52431984</v>
      </c>
      <c r="D252">
        <v>51864996</v>
      </c>
      <c r="E252">
        <v>1</v>
      </c>
      <c r="F252">
        <v>1</v>
      </c>
      <c r="G252">
        <v>27</v>
      </c>
      <c r="H252">
        <v>2</v>
      </c>
      <c r="I252" t="s">
        <v>399</v>
      </c>
      <c r="J252" t="s">
        <v>400</v>
      </c>
      <c r="K252" t="s">
        <v>401</v>
      </c>
      <c r="L252">
        <v>1368</v>
      </c>
      <c r="N252">
        <v>1011</v>
      </c>
      <c r="O252" t="s">
        <v>84</v>
      </c>
      <c r="P252" t="s">
        <v>84</v>
      </c>
      <c r="Q252">
        <v>1</v>
      </c>
      <c r="X252">
        <v>0.65</v>
      </c>
      <c r="Y252">
        <v>0</v>
      </c>
      <c r="Z252">
        <v>1213.3399999999999</v>
      </c>
      <c r="AA252">
        <v>461.6</v>
      </c>
      <c r="AB252">
        <v>0</v>
      </c>
      <c r="AC252">
        <v>0</v>
      </c>
      <c r="AD252">
        <v>1</v>
      </c>
      <c r="AE252">
        <v>0</v>
      </c>
      <c r="AF252" t="s">
        <v>3</v>
      </c>
      <c r="AG252">
        <v>0.65</v>
      </c>
      <c r="AH252">
        <v>2</v>
      </c>
      <c r="AI252">
        <v>52431990</v>
      </c>
      <c r="AJ252">
        <v>263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</row>
    <row r="253" spans="1:44" x14ac:dyDescent="0.2">
      <c r="A253">
        <f>ROW(Source!A267)</f>
        <v>267</v>
      </c>
      <c r="B253">
        <v>52431999</v>
      </c>
      <c r="C253">
        <v>52431984</v>
      </c>
      <c r="D253">
        <v>51866959</v>
      </c>
      <c r="E253">
        <v>1</v>
      </c>
      <c r="F253">
        <v>1</v>
      </c>
      <c r="G253">
        <v>27</v>
      </c>
      <c r="H253">
        <v>3</v>
      </c>
      <c r="I253" t="s">
        <v>402</v>
      </c>
      <c r="J253" t="s">
        <v>403</v>
      </c>
      <c r="K253" t="s">
        <v>404</v>
      </c>
      <c r="L253">
        <v>1339</v>
      </c>
      <c r="N253">
        <v>1007</v>
      </c>
      <c r="O253" t="s">
        <v>28</v>
      </c>
      <c r="P253" t="s">
        <v>28</v>
      </c>
      <c r="Q253">
        <v>1</v>
      </c>
      <c r="X253">
        <v>110</v>
      </c>
      <c r="Y253">
        <v>590.78</v>
      </c>
      <c r="Z253">
        <v>0</v>
      </c>
      <c r="AA253">
        <v>0</v>
      </c>
      <c r="AB253">
        <v>0</v>
      </c>
      <c r="AC253">
        <v>0</v>
      </c>
      <c r="AD253">
        <v>1</v>
      </c>
      <c r="AE253">
        <v>0</v>
      </c>
      <c r="AF253" t="s">
        <v>3</v>
      </c>
      <c r="AG253">
        <v>110</v>
      </c>
      <c r="AH253">
        <v>2</v>
      </c>
      <c r="AI253">
        <v>52431991</v>
      </c>
      <c r="AJ253">
        <v>264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</row>
    <row r="254" spans="1:44" x14ac:dyDescent="0.2">
      <c r="A254">
        <f>ROW(Source!A267)</f>
        <v>267</v>
      </c>
      <c r="B254">
        <v>52432000</v>
      </c>
      <c r="C254">
        <v>52431984</v>
      </c>
      <c r="D254">
        <v>51867705</v>
      </c>
      <c r="E254">
        <v>1</v>
      </c>
      <c r="F254">
        <v>1</v>
      </c>
      <c r="G254">
        <v>27</v>
      </c>
      <c r="H254">
        <v>3</v>
      </c>
      <c r="I254" t="s">
        <v>405</v>
      </c>
      <c r="J254" t="s">
        <v>406</v>
      </c>
      <c r="K254" t="s">
        <v>407</v>
      </c>
      <c r="L254">
        <v>1339</v>
      </c>
      <c r="N254">
        <v>1007</v>
      </c>
      <c r="O254" t="s">
        <v>28</v>
      </c>
      <c r="P254" t="s">
        <v>28</v>
      </c>
      <c r="Q254">
        <v>1</v>
      </c>
      <c r="X254">
        <v>5</v>
      </c>
      <c r="Y254">
        <v>35.25</v>
      </c>
      <c r="Z254">
        <v>0</v>
      </c>
      <c r="AA254">
        <v>0</v>
      </c>
      <c r="AB254">
        <v>0</v>
      </c>
      <c r="AC254">
        <v>0</v>
      </c>
      <c r="AD254">
        <v>1</v>
      </c>
      <c r="AE254">
        <v>0</v>
      </c>
      <c r="AF254" t="s">
        <v>3</v>
      </c>
      <c r="AG254">
        <v>5</v>
      </c>
      <c r="AH254">
        <v>2</v>
      </c>
      <c r="AI254">
        <v>52431992</v>
      </c>
      <c r="AJ254">
        <v>265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</row>
    <row r="255" spans="1:44" x14ac:dyDescent="0.2">
      <c r="A255">
        <f>ROW(Source!A268)</f>
        <v>268</v>
      </c>
      <c r="B255">
        <v>52432008</v>
      </c>
      <c r="C255">
        <v>52432001</v>
      </c>
      <c r="D255">
        <v>51848379</v>
      </c>
      <c r="E255">
        <v>27</v>
      </c>
      <c r="F255">
        <v>1</v>
      </c>
      <c r="G255">
        <v>27</v>
      </c>
      <c r="H255">
        <v>1</v>
      </c>
      <c r="I255" t="s">
        <v>378</v>
      </c>
      <c r="J255" t="s">
        <v>3</v>
      </c>
      <c r="K255" t="s">
        <v>379</v>
      </c>
      <c r="L255">
        <v>1191</v>
      </c>
      <c r="N255">
        <v>1013</v>
      </c>
      <c r="O255" t="s">
        <v>380</v>
      </c>
      <c r="P255" t="s">
        <v>380</v>
      </c>
      <c r="Q255">
        <v>1</v>
      </c>
      <c r="X255">
        <v>27.94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1</v>
      </c>
      <c r="AE255">
        <v>1</v>
      </c>
      <c r="AF255" t="s">
        <v>3</v>
      </c>
      <c r="AG255">
        <v>27.94</v>
      </c>
      <c r="AH255">
        <v>2</v>
      </c>
      <c r="AI255">
        <v>52432002</v>
      </c>
      <c r="AJ255">
        <v>266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</row>
    <row r="256" spans="1:44" x14ac:dyDescent="0.2">
      <c r="A256">
        <f>ROW(Source!A268)</f>
        <v>268</v>
      </c>
      <c r="B256">
        <v>52432009</v>
      </c>
      <c r="C256">
        <v>52432001</v>
      </c>
      <c r="D256">
        <v>51865006</v>
      </c>
      <c r="E256">
        <v>1</v>
      </c>
      <c r="F256">
        <v>1</v>
      </c>
      <c r="G256">
        <v>27</v>
      </c>
      <c r="H256">
        <v>2</v>
      </c>
      <c r="I256" t="s">
        <v>393</v>
      </c>
      <c r="J256" t="s">
        <v>394</v>
      </c>
      <c r="K256" t="s">
        <v>395</v>
      </c>
      <c r="L256">
        <v>1368</v>
      </c>
      <c r="N256">
        <v>1011</v>
      </c>
      <c r="O256" t="s">
        <v>84</v>
      </c>
      <c r="P256" t="s">
        <v>84</v>
      </c>
      <c r="Q256">
        <v>1</v>
      </c>
      <c r="X256">
        <v>0.59</v>
      </c>
      <c r="Y256">
        <v>0</v>
      </c>
      <c r="Z256">
        <v>2020.59</v>
      </c>
      <c r="AA256">
        <v>458.56</v>
      </c>
      <c r="AB256">
        <v>0</v>
      </c>
      <c r="AC256">
        <v>0</v>
      </c>
      <c r="AD256">
        <v>1</v>
      </c>
      <c r="AE256">
        <v>0</v>
      </c>
      <c r="AF256" t="s">
        <v>3</v>
      </c>
      <c r="AG256">
        <v>0.59</v>
      </c>
      <c r="AH256">
        <v>2</v>
      </c>
      <c r="AI256">
        <v>52432003</v>
      </c>
      <c r="AJ256">
        <v>267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</row>
    <row r="257" spans="1:44" x14ac:dyDescent="0.2">
      <c r="A257">
        <f>ROW(Source!A268)</f>
        <v>268</v>
      </c>
      <c r="B257">
        <v>52432010</v>
      </c>
      <c r="C257">
        <v>52432001</v>
      </c>
      <c r="D257">
        <v>51864991</v>
      </c>
      <c r="E257">
        <v>1</v>
      </c>
      <c r="F257">
        <v>1</v>
      </c>
      <c r="G257">
        <v>27</v>
      </c>
      <c r="H257">
        <v>2</v>
      </c>
      <c r="I257" t="s">
        <v>408</v>
      </c>
      <c r="J257" t="s">
        <v>409</v>
      </c>
      <c r="K257" t="s">
        <v>410</v>
      </c>
      <c r="L257">
        <v>1368</v>
      </c>
      <c r="N257">
        <v>1011</v>
      </c>
      <c r="O257" t="s">
        <v>84</v>
      </c>
      <c r="P257" t="s">
        <v>84</v>
      </c>
      <c r="Q257">
        <v>1</v>
      </c>
      <c r="X257">
        <v>1.62</v>
      </c>
      <c r="Y257">
        <v>0</v>
      </c>
      <c r="Z257">
        <v>1261.8699999999999</v>
      </c>
      <c r="AA257">
        <v>530.02</v>
      </c>
      <c r="AB257">
        <v>0</v>
      </c>
      <c r="AC257">
        <v>0</v>
      </c>
      <c r="AD257">
        <v>1</v>
      </c>
      <c r="AE257">
        <v>0</v>
      </c>
      <c r="AF257" t="s">
        <v>3</v>
      </c>
      <c r="AG257">
        <v>1.62</v>
      </c>
      <c r="AH257">
        <v>2</v>
      </c>
      <c r="AI257">
        <v>52432004</v>
      </c>
      <c r="AJ257">
        <v>268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</row>
    <row r="258" spans="1:44" x14ac:dyDescent="0.2">
      <c r="A258">
        <f>ROW(Source!A268)</f>
        <v>268</v>
      </c>
      <c r="B258">
        <v>52432011</v>
      </c>
      <c r="C258">
        <v>52432001</v>
      </c>
      <c r="D258">
        <v>51866999</v>
      </c>
      <c r="E258">
        <v>1</v>
      </c>
      <c r="F258">
        <v>1</v>
      </c>
      <c r="G258">
        <v>27</v>
      </c>
      <c r="H258">
        <v>3</v>
      </c>
      <c r="I258" t="s">
        <v>45</v>
      </c>
      <c r="J258" t="s">
        <v>47</v>
      </c>
      <c r="K258" t="s">
        <v>46</v>
      </c>
      <c r="L258">
        <v>1339</v>
      </c>
      <c r="N258">
        <v>1007</v>
      </c>
      <c r="O258" t="s">
        <v>28</v>
      </c>
      <c r="P258" t="s">
        <v>28</v>
      </c>
      <c r="Q258">
        <v>1</v>
      </c>
      <c r="X258">
        <v>17.399999999999999</v>
      </c>
      <c r="Y258">
        <v>1436.5</v>
      </c>
      <c r="Z258">
        <v>0</v>
      </c>
      <c r="AA258">
        <v>0</v>
      </c>
      <c r="AB258">
        <v>0</v>
      </c>
      <c r="AC258">
        <v>0</v>
      </c>
      <c r="AD258">
        <v>1</v>
      </c>
      <c r="AE258">
        <v>0</v>
      </c>
      <c r="AF258" t="s">
        <v>3</v>
      </c>
      <c r="AG258">
        <v>17.399999999999999</v>
      </c>
      <c r="AH258">
        <v>2</v>
      </c>
      <c r="AI258">
        <v>52432005</v>
      </c>
      <c r="AJ258">
        <v>270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</row>
    <row r="259" spans="1:44" x14ac:dyDescent="0.2">
      <c r="A259">
        <f>ROW(Source!A268)</f>
        <v>268</v>
      </c>
      <c r="B259">
        <v>52432012</v>
      </c>
      <c r="C259">
        <v>52432001</v>
      </c>
      <c r="D259">
        <v>51867705</v>
      </c>
      <c r="E259">
        <v>1</v>
      </c>
      <c r="F259">
        <v>1</v>
      </c>
      <c r="G259">
        <v>27</v>
      </c>
      <c r="H259">
        <v>3</v>
      </c>
      <c r="I259" t="s">
        <v>405</v>
      </c>
      <c r="J259" t="s">
        <v>406</v>
      </c>
      <c r="K259" t="s">
        <v>407</v>
      </c>
      <c r="L259">
        <v>1339</v>
      </c>
      <c r="N259">
        <v>1007</v>
      </c>
      <c r="O259" t="s">
        <v>28</v>
      </c>
      <c r="P259" t="s">
        <v>28</v>
      </c>
      <c r="Q259">
        <v>1</v>
      </c>
      <c r="X259">
        <v>2</v>
      </c>
      <c r="Y259">
        <v>35.25</v>
      </c>
      <c r="Z259">
        <v>0</v>
      </c>
      <c r="AA259">
        <v>0</v>
      </c>
      <c r="AB259">
        <v>0</v>
      </c>
      <c r="AC259">
        <v>0</v>
      </c>
      <c r="AD259">
        <v>1</v>
      </c>
      <c r="AE259">
        <v>0</v>
      </c>
      <c r="AF259" t="s">
        <v>3</v>
      </c>
      <c r="AG259">
        <v>2</v>
      </c>
      <c r="AH259">
        <v>2</v>
      </c>
      <c r="AI259">
        <v>52432006</v>
      </c>
      <c r="AJ259">
        <v>271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</row>
    <row r="260" spans="1:44" x14ac:dyDescent="0.2">
      <c r="A260">
        <f>ROW(Source!A271)</f>
        <v>271</v>
      </c>
      <c r="B260">
        <v>52432020</v>
      </c>
      <c r="C260">
        <v>52432015</v>
      </c>
      <c r="D260">
        <v>51848379</v>
      </c>
      <c r="E260">
        <v>27</v>
      </c>
      <c r="F260">
        <v>1</v>
      </c>
      <c r="G260">
        <v>27</v>
      </c>
      <c r="H260">
        <v>1</v>
      </c>
      <c r="I260" t="s">
        <v>378</v>
      </c>
      <c r="J260" t="s">
        <v>3</v>
      </c>
      <c r="K260" t="s">
        <v>379</v>
      </c>
      <c r="L260">
        <v>1191</v>
      </c>
      <c r="N260">
        <v>1013</v>
      </c>
      <c r="O260" t="s">
        <v>380</v>
      </c>
      <c r="P260" t="s">
        <v>380</v>
      </c>
      <c r="Q260">
        <v>1</v>
      </c>
      <c r="X260">
        <v>10.3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1</v>
      </c>
      <c r="AE260">
        <v>1</v>
      </c>
      <c r="AF260" t="s">
        <v>3</v>
      </c>
      <c r="AG260">
        <v>10.3</v>
      </c>
      <c r="AH260">
        <v>2</v>
      </c>
      <c r="AI260">
        <v>52432016</v>
      </c>
      <c r="AJ260">
        <v>272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</row>
    <row r="261" spans="1:44" x14ac:dyDescent="0.2">
      <c r="A261">
        <f>ROW(Source!A271)</f>
        <v>271</v>
      </c>
      <c r="B261">
        <v>52432021</v>
      </c>
      <c r="C261">
        <v>52432015</v>
      </c>
      <c r="D261">
        <v>51864991</v>
      </c>
      <c r="E261">
        <v>1</v>
      </c>
      <c r="F261">
        <v>1</v>
      </c>
      <c r="G261">
        <v>27</v>
      </c>
      <c r="H261">
        <v>2</v>
      </c>
      <c r="I261" t="s">
        <v>408</v>
      </c>
      <c r="J261" t="s">
        <v>409</v>
      </c>
      <c r="K261" t="s">
        <v>410</v>
      </c>
      <c r="L261">
        <v>1368</v>
      </c>
      <c r="N261">
        <v>1011</v>
      </c>
      <c r="O261" t="s">
        <v>84</v>
      </c>
      <c r="P261" t="s">
        <v>84</v>
      </c>
      <c r="Q261">
        <v>1</v>
      </c>
      <c r="X261">
        <v>0.89</v>
      </c>
      <c r="Y261">
        <v>0</v>
      </c>
      <c r="Z261">
        <v>1261.8699999999999</v>
      </c>
      <c r="AA261">
        <v>530.02</v>
      </c>
      <c r="AB261">
        <v>0</v>
      </c>
      <c r="AC261">
        <v>0</v>
      </c>
      <c r="AD261">
        <v>1</v>
      </c>
      <c r="AE261">
        <v>0</v>
      </c>
      <c r="AF261" t="s">
        <v>3</v>
      </c>
      <c r="AG261">
        <v>0.89</v>
      </c>
      <c r="AH261">
        <v>2</v>
      </c>
      <c r="AI261">
        <v>52432017</v>
      </c>
      <c r="AJ261">
        <v>273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</row>
    <row r="262" spans="1:44" x14ac:dyDescent="0.2">
      <c r="A262">
        <f>ROW(Source!A271)</f>
        <v>271</v>
      </c>
      <c r="B262">
        <v>52432022</v>
      </c>
      <c r="C262">
        <v>52432015</v>
      </c>
      <c r="D262">
        <v>51865798</v>
      </c>
      <c r="E262">
        <v>1</v>
      </c>
      <c r="F262">
        <v>1</v>
      </c>
      <c r="G262">
        <v>27</v>
      </c>
      <c r="H262">
        <v>3</v>
      </c>
      <c r="I262" t="s">
        <v>411</v>
      </c>
      <c r="J262" t="s">
        <v>412</v>
      </c>
      <c r="K262" t="s">
        <v>413</v>
      </c>
      <c r="L262">
        <v>1348</v>
      </c>
      <c r="N262">
        <v>1009</v>
      </c>
      <c r="O262" t="s">
        <v>101</v>
      </c>
      <c r="P262" t="s">
        <v>101</v>
      </c>
      <c r="Q262">
        <v>1000</v>
      </c>
      <c r="X262">
        <v>0.06</v>
      </c>
      <c r="Y262">
        <v>25888.1</v>
      </c>
      <c r="Z262">
        <v>0</v>
      </c>
      <c r="AA262">
        <v>0</v>
      </c>
      <c r="AB262">
        <v>0</v>
      </c>
      <c r="AC262">
        <v>0</v>
      </c>
      <c r="AD262">
        <v>1</v>
      </c>
      <c r="AE262">
        <v>0</v>
      </c>
      <c r="AF262" t="s">
        <v>3</v>
      </c>
      <c r="AG262">
        <v>0.06</v>
      </c>
      <c r="AH262">
        <v>2</v>
      </c>
      <c r="AI262">
        <v>52432018</v>
      </c>
      <c r="AJ262">
        <v>274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</row>
    <row r="263" spans="1:44" x14ac:dyDescent="0.2">
      <c r="A263">
        <f>ROW(Source!A271)</f>
        <v>271</v>
      </c>
      <c r="B263">
        <v>52432023</v>
      </c>
      <c r="C263">
        <v>52432015</v>
      </c>
      <c r="D263">
        <v>51868905</v>
      </c>
      <c r="E263">
        <v>1</v>
      </c>
      <c r="F263">
        <v>1</v>
      </c>
      <c r="G263">
        <v>27</v>
      </c>
      <c r="H263">
        <v>3</v>
      </c>
      <c r="I263" t="s">
        <v>414</v>
      </c>
      <c r="J263" t="s">
        <v>415</v>
      </c>
      <c r="K263" t="s">
        <v>416</v>
      </c>
      <c r="L263">
        <v>1348</v>
      </c>
      <c r="N263">
        <v>1009</v>
      </c>
      <c r="O263" t="s">
        <v>101</v>
      </c>
      <c r="P263" t="s">
        <v>101</v>
      </c>
      <c r="Q263">
        <v>1000</v>
      </c>
      <c r="X263">
        <v>7.14</v>
      </c>
      <c r="Y263">
        <v>2652.04</v>
      </c>
      <c r="Z263">
        <v>0</v>
      </c>
      <c r="AA263">
        <v>0</v>
      </c>
      <c r="AB263">
        <v>0</v>
      </c>
      <c r="AC263">
        <v>0</v>
      </c>
      <c r="AD263">
        <v>1</v>
      </c>
      <c r="AE263">
        <v>0</v>
      </c>
      <c r="AF263" t="s">
        <v>3</v>
      </c>
      <c r="AG263">
        <v>7.14</v>
      </c>
      <c r="AH263">
        <v>2</v>
      </c>
      <c r="AI263">
        <v>52432019</v>
      </c>
      <c r="AJ263">
        <v>275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</row>
    <row r="264" spans="1:44" x14ac:dyDescent="0.2">
      <c r="A264">
        <f>ROW(Source!A272)</f>
        <v>272</v>
      </c>
      <c r="B264">
        <v>52432035</v>
      </c>
      <c r="C264">
        <v>52432024</v>
      </c>
      <c r="D264">
        <v>51848379</v>
      </c>
      <c r="E264">
        <v>27</v>
      </c>
      <c r="F264">
        <v>1</v>
      </c>
      <c r="G264">
        <v>27</v>
      </c>
      <c r="H264">
        <v>1</v>
      </c>
      <c r="I264" t="s">
        <v>378</v>
      </c>
      <c r="J264" t="s">
        <v>3</v>
      </c>
      <c r="K264" t="s">
        <v>379</v>
      </c>
      <c r="L264">
        <v>1191</v>
      </c>
      <c r="N264">
        <v>1013</v>
      </c>
      <c r="O264" t="s">
        <v>380</v>
      </c>
      <c r="P264" t="s">
        <v>380</v>
      </c>
      <c r="Q264">
        <v>1</v>
      </c>
      <c r="X264">
        <v>18.440000000000001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1</v>
      </c>
      <c r="AE264">
        <v>1</v>
      </c>
      <c r="AF264" t="s">
        <v>3</v>
      </c>
      <c r="AG264">
        <v>18.440000000000001</v>
      </c>
      <c r="AH264">
        <v>2</v>
      </c>
      <c r="AI264">
        <v>52432025</v>
      </c>
      <c r="AJ264">
        <v>276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</row>
    <row r="265" spans="1:44" x14ac:dyDescent="0.2">
      <c r="A265">
        <f>ROW(Source!A272)</f>
        <v>272</v>
      </c>
      <c r="B265">
        <v>52432036</v>
      </c>
      <c r="C265">
        <v>52432024</v>
      </c>
      <c r="D265">
        <v>51865492</v>
      </c>
      <c r="E265">
        <v>1</v>
      </c>
      <c r="F265">
        <v>1</v>
      </c>
      <c r="G265">
        <v>27</v>
      </c>
      <c r="H265">
        <v>2</v>
      </c>
      <c r="I265" t="s">
        <v>417</v>
      </c>
      <c r="J265" t="s">
        <v>418</v>
      </c>
      <c r="K265" t="s">
        <v>419</v>
      </c>
      <c r="L265">
        <v>1368</v>
      </c>
      <c r="N265">
        <v>1011</v>
      </c>
      <c r="O265" t="s">
        <v>84</v>
      </c>
      <c r="P265" t="s">
        <v>84</v>
      </c>
      <c r="Q265">
        <v>1</v>
      </c>
      <c r="X265">
        <v>2.64</v>
      </c>
      <c r="Y265">
        <v>0</v>
      </c>
      <c r="Z265">
        <v>531.41</v>
      </c>
      <c r="AA265">
        <v>373.56</v>
      </c>
      <c r="AB265">
        <v>0</v>
      </c>
      <c r="AC265">
        <v>0</v>
      </c>
      <c r="AD265">
        <v>1</v>
      </c>
      <c r="AE265">
        <v>0</v>
      </c>
      <c r="AF265" t="s">
        <v>3</v>
      </c>
      <c r="AG265">
        <v>2.64</v>
      </c>
      <c r="AH265">
        <v>2</v>
      </c>
      <c r="AI265">
        <v>52432026</v>
      </c>
      <c r="AJ265">
        <v>277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</row>
    <row r="266" spans="1:44" x14ac:dyDescent="0.2">
      <c r="A266">
        <f>ROW(Source!A272)</f>
        <v>272</v>
      </c>
      <c r="B266">
        <v>52432037</v>
      </c>
      <c r="C266">
        <v>52432024</v>
      </c>
      <c r="D266">
        <v>51865715</v>
      </c>
      <c r="E266">
        <v>1</v>
      </c>
      <c r="F266">
        <v>1</v>
      </c>
      <c r="G266">
        <v>27</v>
      </c>
      <c r="H266">
        <v>2</v>
      </c>
      <c r="I266" t="s">
        <v>420</v>
      </c>
      <c r="J266" t="s">
        <v>421</v>
      </c>
      <c r="K266" t="s">
        <v>422</v>
      </c>
      <c r="L266">
        <v>1368</v>
      </c>
      <c r="N266">
        <v>1011</v>
      </c>
      <c r="O266" t="s">
        <v>84</v>
      </c>
      <c r="P266" t="s">
        <v>84</v>
      </c>
      <c r="Q266">
        <v>1</v>
      </c>
      <c r="X266">
        <v>1.18</v>
      </c>
      <c r="Y266">
        <v>0</v>
      </c>
      <c r="Z266">
        <v>7.44</v>
      </c>
      <c r="AA266">
        <v>0.98</v>
      </c>
      <c r="AB266">
        <v>0</v>
      </c>
      <c r="AC266">
        <v>0</v>
      </c>
      <c r="AD266">
        <v>1</v>
      </c>
      <c r="AE266">
        <v>0</v>
      </c>
      <c r="AF266" t="s">
        <v>3</v>
      </c>
      <c r="AG266">
        <v>1.18</v>
      </c>
      <c r="AH266">
        <v>2</v>
      </c>
      <c r="AI266">
        <v>52432027</v>
      </c>
      <c r="AJ266">
        <v>278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</row>
    <row r="267" spans="1:44" x14ac:dyDescent="0.2">
      <c r="A267">
        <f>ROW(Source!A272)</f>
        <v>272</v>
      </c>
      <c r="B267">
        <v>52432038</v>
      </c>
      <c r="C267">
        <v>52432024</v>
      </c>
      <c r="D267">
        <v>51864917</v>
      </c>
      <c r="E267">
        <v>1</v>
      </c>
      <c r="F267">
        <v>1</v>
      </c>
      <c r="G267">
        <v>27</v>
      </c>
      <c r="H267">
        <v>2</v>
      </c>
      <c r="I267" t="s">
        <v>423</v>
      </c>
      <c r="J267" t="s">
        <v>424</v>
      </c>
      <c r="K267" t="s">
        <v>425</v>
      </c>
      <c r="L267">
        <v>1368</v>
      </c>
      <c r="N267">
        <v>1011</v>
      </c>
      <c r="O267" t="s">
        <v>84</v>
      </c>
      <c r="P267" t="s">
        <v>84</v>
      </c>
      <c r="Q267">
        <v>1</v>
      </c>
      <c r="X267">
        <v>0.01</v>
      </c>
      <c r="Y267">
        <v>0</v>
      </c>
      <c r="Z267">
        <v>616.73</v>
      </c>
      <c r="AA267">
        <v>511.29</v>
      </c>
      <c r="AB267">
        <v>0</v>
      </c>
      <c r="AC267">
        <v>0</v>
      </c>
      <c r="AD267">
        <v>1</v>
      </c>
      <c r="AE267">
        <v>0</v>
      </c>
      <c r="AF267" t="s">
        <v>3</v>
      </c>
      <c r="AG267">
        <v>0.01</v>
      </c>
      <c r="AH267">
        <v>2</v>
      </c>
      <c r="AI267">
        <v>52432028</v>
      </c>
      <c r="AJ267">
        <v>279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</row>
    <row r="268" spans="1:44" x14ac:dyDescent="0.2">
      <c r="A268">
        <f>ROW(Source!A272)</f>
        <v>272</v>
      </c>
      <c r="B268">
        <v>52432039</v>
      </c>
      <c r="C268">
        <v>52432024</v>
      </c>
      <c r="D268">
        <v>51865101</v>
      </c>
      <c r="E268">
        <v>1</v>
      </c>
      <c r="F268">
        <v>1</v>
      </c>
      <c r="G268">
        <v>27</v>
      </c>
      <c r="H268">
        <v>2</v>
      </c>
      <c r="I268" t="s">
        <v>426</v>
      </c>
      <c r="J268" t="s">
        <v>427</v>
      </c>
      <c r="K268" t="s">
        <v>428</v>
      </c>
      <c r="L268">
        <v>1368</v>
      </c>
      <c r="N268">
        <v>1011</v>
      </c>
      <c r="O268" t="s">
        <v>84</v>
      </c>
      <c r="P268" t="s">
        <v>84</v>
      </c>
      <c r="Q268">
        <v>1</v>
      </c>
      <c r="X268">
        <v>2.64</v>
      </c>
      <c r="Y268">
        <v>0</v>
      </c>
      <c r="Z268">
        <v>454.31</v>
      </c>
      <c r="AA268">
        <v>405.68</v>
      </c>
      <c r="AB268">
        <v>0</v>
      </c>
      <c r="AC268">
        <v>0</v>
      </c>
      <c r="AD268">
        <v>1</v>
      </c>
      <c r="AE268">
        <v>0</v>
      </c>
      <c r="AF268" t="s">
        <v>3</v>
      </c>
      <c r="AG268">
        <v>2.64</v>
      </c>
      <c r="AH268">
        <v>2</v>
      </c>
      <c r="AI268">
        <v>52432029</v>
      </c>
      <c r="AJ268">
        <v>280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</row>
    <row r="269" spans="1:44" x14ac:dyDescent="0.2">
      <c r="A269">
        <f>ROW(Source!A272)</f>
        <v>272</v>
      </c>
      <c r="B269">
        <v>52432040</v>
      </c>
      <c r="C269">
        <v>52432024</v>
      </c>
      <c r="D269">
        <v>51867926</v>
      </c>
      <c r="E269">
        <v>1</v>
      </c>
      <c r="F269">
        <v>1</v>
      </c>
      <c r="G269">
        <v>27</v>
      </c>
      <c r="H269">
        <v>3</v>
      </c>
      <c r="I269" t="s">
        <v>429</v>
      </c>
      <c r="J269" t="s">
        <v>430</v>
      </c>
      <c r="K269" t="s">
        <v>431</v>
      </c>
      <c r="L269">
        <v>1327</v>
      </c>
      <c r="N269">
        <v>1005</v>
      </c>
      <c r="O269" t="s">
        <v>298</v>
      </c>
      <c r="P269" t="s">
        <v>298</v>
      </c>
      <c r="Q269">
        <v>1</v>
      </c>
      <c r="X269">
        <v>5.6</v>
      </c>
      <c r="Y269">
        <v>12.02</v>
      </c>
      <c r="Z269">
        <v>0</v>
      </c>
      <c r="AA269">
        <v>0</v>
      </c>
      <c r="AB269">
        <v>0</v>
      </c>
      <c r="AC269">
        <v>0</v>
      </c>
      <c r="AD269">
        <v>1</v>
      </c>
      <c r="AE269">
        <v>0</v>
      </c>
      <c r="AF269" t="s">
        <v>3</v>
      </c>
      <c r="AG269">
        <v>5.6</v>
      </c>
      <c r="AH269">
        <v>2</v>
      </c>
      <c r="AI269">
        <v>52432030</v>
      </c>
      <c r="AJ269">
        <v>281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</row>
    <row r="270" spans="1:44" x14ac:dyDescent="0.2">
      <c r="A270">
        <f>ROW(Source!A272)</f>
        <v>272</v>
      </c>
      <c r="B270">
        <v>52432041</v>
      </c>
      <c r="C270">
        <v>52432024</v>
      </c>
      <c r="D270">
        <v>51868013</v>
      </c>
      <c r="E270">
        <v>1</v>
      </c>
      <c r="F270">
        <v>1</v>
      </c>
      <c r="G270">
        <v>27</v>
      </c>
      <c r="H270">
        <v>3</v>
      </c>
      <c r="I270" t="s">
        <v>432</v>
      </c>
      <c r="J270" t="s">
        <v>433</v>
      </c>
      <c r="K270" t="s">
        <v>434</v>
      </c>
      <c r="L270">
        <v>1348</v>
      </c>
      <c r="N270">
        <v>1009</v>
      </c>
      <c r="O270" t="s">
        <v>101</v>
      </c>
      <c r="P270" t="s">
        <v>101</v>
      </c>
      <c r="Q270">
        <v>1000</v>
      </c>
      <c r="X270">
        <v>3.15E-3</v>
      </c>
      <c r="Y270">
        <v>343020.03</v>
      </c>
      <c r="Z270">
        <v>0</v>
      </c>
      <c r="AA270">
        <v>0</v>
      </c>
      <c r="AB270">
        <v>0</v>
      </c>
      <c r="AC270">
        <v>0</v>
      </c>
      <c r="AD270">
        <v>1</v>
      </c>
      <c r="AE270">
        <v>0</v>
      </c>
      <c r="AF270" t="s">
        <v>3</v>
      </c>
      <c r="AG270">
        <v>3.15E-3</v>
      </c>
      <c r="AH270">
        <v>2</v>
      </c>
      <c r="AI270">
        <v>52432031</v>
      </c>
      <c r="AJ270">
        <v>282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</row>
    <row r="271" spans="1:44" x14ac:dyDescent="0.2">
      <c r="A271">
        <f>ROW(Source!A272)</f>
        <v>272</v>
      </c>
      <c r="B271">
        <v>52432042</v>
      </c>
      <c r="C271">
        <v>52432024</v>
      </c>
      <c r="D271">
        <v>51868230</v>
      </c>
      <c r="E271">
        <v>1</v>
      </c>
      <c r="F271">
        <v>1</v>
      </c>
      <c r="G271">
        <v>27</v>
      </c>
      <c r="H271">
        <v>3</v>
      </c>
      <c r="I271" t="s">
        <v>435</v>
      </c>
      <c r="J271" t="s">
        <v>436</v>
      </c>
      <c r="K271" t="s">
        <v>437</v>
      </c>
      <c r="L271">
        <v>1346</v>
      </c>
      <c r="N271">
        <v>1009</v>
      </c>
      <c r="O271" t="s">
        <v>438</v>
      </c>
      <c r="P271" t="s">
        <v>438</v>
      </c>
      <c r="Q271">
        <v>1</v>
      </c>
      <c r="X271">
        <v>735</v>
      </c>
      <c r="Y271">
        <v>17.77</v>
      </c>
      <c r="Z271">
        <v>0</v>
      </c>
      <c r="AA271">
        <v>0</v>
      </c>
      <c r="AB271">
        <v>0</v>
      </c>
      <c r="AC271">
        <v>0</v>
      </c>
      <c r="AD271">
        <v>1</v>
      </c>
      <c r="AE271">
        <v>0</v>
      </c>
      <c r="AF271" t="s">
        <v>3</v>
      </c>
      <c r="AG271">
        <v>735</v>
      </c>
      <c r="AH271">
        <v>2</v>
      </c>
      <c r="AI271">
        <v>52432032</v>
      </c>
      <c r="AJ271">
        <v>283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</row>
    <row r="272" spans="1:44" x14ac:dyDescent="0.2">
      <c r="A272">
        <f>ROW(Source!A272)</f>
        <v>272</v>
      </c>
      <c r="B272">
        <v>52432043</v>
      </c>
      <c r="C272">
        <v>52432024</v>
      </c>
      <c r="D272">
        <v>51868237</v>
      </c>
      <c r="E272">
        <v>1</v>
      </c>
      <c r="F272">
        <v>1</v>
      </c>
      <c r="G272">
        <v>27</v>
      </c>
      <c r="H272">
        <v>3</v>
      </c>
      <c r="I272" t="s">
        <v>439</v>
      </c>
      <c r="J272" t="s">
        <v>440</v>
      </c>
      <c r="K272" t="s">
        <v>441</v>
      </c>
      <c r="L272">
        <v>1346</v>
      </c>
      <c r="N272">
        <v>1009</v>
      </c>
      <c r="O272" t="s">
        <v>438</v>
      </c>
      <c r="P272" t="s">
        <v>438</v>
      </c>
      <c r="Q272">
        <v>1</v>
      </c>
      <c r="X272">
        <v>241.5</v>
      </c>
      <c r="Y272">
        <v>202.34</v>
      </c>
      <c r="Z272">
        <v>0</v>
      </c>
      <c r="AA272">
        <v>0</v>
      </c>
      <c r="AB272">
        <v>0</v>
      </c>
      <c r="AC272">
        <v>0</v>
      </c>
      <c r="AD272">
        <v>1</v>
      </c>
      <c r="AE272">
        <v>0</v>
      </c>
      <c r="AF272" t="s">
        <v>3</v>
      </c>
      <c r="AG272">
        <v>241.5</v>
      </c>
      <c r="AH272">
        <v>2</v>
      </c>
      <c r="AI272">
        <v>52432033</v>
      </c>
      <c r="AJ272">
        <v>284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</row>
    <row r="273" spans="1:44" x14ac:dyDescent="0.2">
      <c r="A273">
        <f>ROW(Source!A272)</f>
        <v>272</v>
      </c>
      <c r="B273">
        <v>52432044</v>
      </c>
      <c r="C273">
        <v>52432024</v>
      </c>
      <c r="D273">
        <v>51866204</v>
      </c>
      <c r="E273">
        <v>1</v>
      </c>
      <c r="F273">
        <v>1</v>
      </c>
      <c r="G273">
        <v>27</v>
      </c>
      <c r="H273">
        <v>3</v>
      </c>
      <c r="I273" t="s">
        <v>442</v>
      </c>
      <c r="J273" t="s">
        <v>443</v>
      </c>
      <c r="K273" t="s">
        <v>444</v>
      </c>
      <c r="L273">
        <v>1348</v>
      </c>
      <c r="N273">
        <v>1009</v>
      </c>
      <c r="O273" t="s">
        <v>101</v>
      </c>
      <c r="P273" t="s">
        <v>101</v>
      </c>
      <c r="Q273">
        <v>1000</v>
      </c>
      <c r="X273">
        <v>5.2499999999999998E-2</v>
      </c>
      <c r="Y273">
        <v>748299.67</v>
      </c>
      <c r="Z273">
        <v>0</v>
      </c>
      <c r="AA273">
        <v>0</v>
      </c>
      <c r="AB273">
        <v>0</v>
      </c>
      <c r="AC273">
        <v>0</v>
      </c>
      <c r="AD273">
        <v>1</v>
      </c>
      <c r="AE273">
        <v>0</v>
      </c>
      <c r="AF273" t="s">
        <v>3</v>
      </c>
      <c r="AG273">
        <v>5.2499999999999998E-2</v>
      </c>
      <c r="AH273">
        <v>2</v>
      </c>
      <c r="AI273">
        <v>52432034</v>
      </c>
      <c r="AJ273">
        <v>285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</row>
    <row r="274" spans="1:44" x14ac:dyDescent="0.2">
      <c r="A274">
        <f>ROW(Source!A273)</f>
        <v>273</v>
      </c>
      <c r="B274">
        <v>52432052</v>
      </c>
      <c r="C274">
        <v>52432045</v>
      </c>
      <c r="D274">
        <v>51848379</v>
      </c>
      <c r="E274">
        <v>27</v>
      </c>
      <c r="F274">
        <v>1</v>
      </c>
      <c r="G274">
        <v>27</v>
      </c>
      <c r="H274">
        <v>1</v>
      </c>
      <c r="I274" t="s">
        <v>378</v>
      </c>
      <c r="J274" t="s">
        <v>3</v>
      </c>
      <c r="K274" t="s">
        <v>379</v>
      </c>
      <c r="L274">
        <v>1191</v>
      </c>
      <c r="N274">
        <v>1013</v>
      </c>
      <c r="O274" t="s">
        <v>380</v>
      </c>
      <c r="P274" t="s">
        <v>380</v>
      </c>
      <c r="Q274">
        <v>1</v>
      </c>
      <c r="X274">
        <v>2.65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1</v>
      </c>
      <c r="AE274">
        <v>1</v>
      </c>
      <c r="AF274" t="s">
        <v>3</v>
      </c>
      <c r="AG274">
        <v>2.65</v>
      </c>
      <c r="AH274">
        <v>2</v>
      </c>
      <c r="AI274">
        <v>52432046</v>
      </c>
      <c r="AJ274">
        <v>286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</row>
    <row r="275" spans="1:44" x14ac:dyDescent="0.2">
      <c r="A275">
        <f>ROW(Source!A273)</f>
        <v>273</v>
      </c>
      <c r="B275">
        <v>52432053</v>
      </c>
      <c r="C275">
        <v>52432045</v>
      </c>
      <c r="D275">
        <v>51865492</v>
      </c>
      <c r="E275">
        <v>1</v>
      </c>
      <c r="F275">
        <v>1</v>
      </c>
      <c r="G275">
        <v>27</v>
      </c>
      <c r="H275">
        <v>2</v>
      </c>
      <c r="I275" t="s">
        <v>417</v>
      </c>
      <c r="J275" t="s">
        <v>418</v>
      </c>
      <c r="K275" t="s">
        <v>419</v>
      </c>
      <c r="L275">
        <v>1368</v>
      </c>
      <c r="N275">
        <v>1011</v>
      </c>
      <c r="O275" t="s">
        <v>84</v>
      </c>
      <c r="P275" t="s">
        <v>84</v>
      </c>
      <c r="Q275">
        <v>1</v>
      </c>
      <c r="X275">
        <v>0.5</v>
      </c>
      <c r="Y275">
        <v>0</v>
      </c>
      <c r="Z275">
        <v>531.41</v>
      </c>
      <c r="AA275">
        <v>373.56</v>
      </c>
      <c r="AB275">
        <v>0</v>
      </c>
      <c r="AC275">
        <v>0</v>
      </c>
      <c r="AD275">
        <v>1</v>
      </c>
      <c r="AE275">
        <v>0</v>
      </c>
      <c r="AF275" t="s">
        <v>3</v>
      </c>
      <c r="AG275">
        <v>0.5</v>
      </c>
      <c r="AH275">
        <v>2</v>
      </c>
      <c r="AI275">
        <v>52432047</v>
      </c>
      <c r="AJ275">
        <v>287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</row>
    <row r="276" spans="1:44" x14ac:dyDescent="0.2">
      <c r="A276">
        <f>ROW(Source!A273)</f>
        <v>273</v>
      </c>
      <c r="B276">
        <v>52432054</v>
      </c>
      <c r="C276">
        <v>52432045</v>
      </c>
      <c r="D276">
        <v>51865101</v>
      </c>
      <c r="E276">
        <v>1</v>
      </c>
      <c r="F276">
        <v>1</v>
      </c>
      <c r="G276">
        <v>27</v>
      </c>
      <c r="H276">
        <v>2</v>
      </c>
      <c r="I276" t="s">
        <v>426</v>
      </c>
      <c r="J276" t="s">
        <v>427</v>
      </c>
      <c r="K276" t="s">
        <v>428</v>
      </c>
      <c r="L276">
        <v>1368</v>
      </c>
      <c r="N276">
        <v>1011</v>
      </c>
      <c r="O276" t="s">
        <v>84</v>
      </c>
      <c r="P276" t="s">
        <v>84</v>
      </c>
      <c r="Q276">
        <v>1</v>
      </c>
      <c r="X276">
        <v>0.5</v>
      </c>
      <c r="Y276">
        <v>0</v>
      </c>
      <c r="Z276">
        <v>454.31</v>
      </c>
      <c r="AA276">
        <v>405.68</v>
      </c>
      <c r="AB276">
        <v>0</v>
      </c>
      <c r="AC276">
        <v>0</v>
      </c>
      <c r="AD276">
        <v>1</v>
      </c>
      <c r="AE276">
        <v>0</v>
      </c>
      <c r="AF276" t="s">
        <v>3</v>
      </c>
      <c r="AG276">
        <v>0.5</v>
      </c>
      <c r="AH276">
        <v>2</v>
      </c>
      <c r="AI276">
        <v>52432048</v>
      </c>
      <c r="AJ276">
        <v>288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</row>
    <row r="277" spans="1:44" x14ac:dyDescent="0.2">
      <c r="A277">
        <f>ROW(Source!A273)</f>
        <v>273</v>
      </c>
      <c r="B277">
        <v>52432055</v>
      </c>
      <c r="C277">
        <v>52432045</v>
      </c>
      <c r="D277">
        <v>51868230</v>
      </c>
      <c r="E277">
        <v>1</v>
      </c>
      <c r="F277">
        <v>1</v>
      </c>
      <c r="G277">
        <v>27</v>
      </c>
      <c r="H277">
        <v>3</v>
      </c>
      <c r="I277" t="s">
        <v>435</v>
      </c>
      <c r="J277" t="s">
        <v>436</v>
      </c>
      <c r="K277" t="s">
        <v>437</v>
      </c>
      <c r="L277">
        <v>1346</v>
      </c>
      <c r="N277">
        <v>1009</v>
      </c>
      <c r="O277" t="s">
        <v>438</v>
      </c>
      <c r="P277" t="s">
        <v>438</v>
      </c>
      <c r="Q277">
        <v>1</v>
      </c>
      <c r="X277">
        <v>147</v>
      </c>
      <c r="Y277">
        <v>17.77</v>
      </c>
      <c r="Z277">
        <v>0</v>
      </c>
      <c r="AA277">
        <v>0</v>
      </c>
      <c r="AB277">
        <v>0</v>
      </c>
      <c r="AC277">
        <v>0</v>
      </c>
      <c r="AD277">
        <v>1</v>
      </c>
      <c r="AE277">
        <v>0</v>
      </c>
      <c r="AF277" t="s">
        <v>3</v>
      </c>
      <c r="AG277">
        <v>147</v>
      </c>
      <c r="AH277">
        <v>2</v>
      </c>
      <c r="AI277">
        <v>52432049</v>
      </c>
      <c r="AJ277">
        <v>289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</row>
    <row r="278" spans="1:44" x14ac:dyDescent="0.2">
      <c r="A278">
        <f>ROW(Source!A273)</f>
        <v>273</v>
      </c>
      <c r="B278">
        <v>52432056</v>
      </c>
      <c r="C278">
        <v>52432045</v>
      </c>
      <c r="D278">
        <v>51868237</v>
      </c>
      <c r="E278">
        <v>1</v>
      </c>
      <c r="F278">
        <v>1</v>
      </c>
      <c r="G278">
        <v>27</v>
      </c>
      <c r="H278">
        <v>3</v>
      </c>
      <c r="I278" t="s">
        <v>439</v>
      </c>
      <c r="J278" t="s">
        <v>440</v>
      </c>
      <c r="K278" t="s">
        <v>441</v>
      </c>
      <c r="L278">
        <v>1346</v>
      </c>
      <c r="N278">
        <v>1009</v>
      </c>
      <c r="O278" t="s">
        <v>438</v>
      </c>
      <c r="P278" t="s">
        <v>438</v>
      </c>
      <c r="Q278">
        <v>1</v>
      </c>
      <c r="X278">
        <v>42</v>
      </c>
      <c r="Y278">
        <v>202.34</v>
      </c>
      <c r="Z278">
        <v>0</v>
      </c>
      <c r="AA278">
        <v>0</v>
      </c>
      <c r="AB278">
        <v>0</v>
      </c>
      <c r="AC278">
        <v>0</v>
      </c>
      <c r="AD278">
        <v>1</v>
      </c>
      <c r="AE278">
        <v>0</v>
      </c>
      <c r="AF278" t="s">
        <v>3</v>
      </c>
      <c r="AG278">
        <v>42</v>
      </c>
      <c r="AH278">
        <v>2</v>
      </c>
      <c r="AI278">
        <v>52432050</v>
      </c>
      <c r="AJ278">
        <v>290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</row>
    <row r="279" spans="1:44" x14ac:dyDescent="0.2">
      <c r="A279">
        <f>ROW(Source!A273)</f>
        <v>273</v>
      </c>
      <c r="B279">
        <v>52432057</v>
      </c>
      <c r="C279">
        <v>52432045</v>
      </c>
      <c r="D279">
        <v>51866204</v>
      </c>
      <c r="E279">
        <v>1</v>
      </c>
      <c r="F279">
        <v>1</v>
      </c>
      <c r="G279">
        <v>27</v>
      </c>
      <c r="H279">
        <v>3</v>
      </c>
      <c r="I279" t="s">
        <v>442</v>
      </c>
      <c r="J279" t="s">
        <v>443</v>
      </c>
      <c r="K279" t="s">
        <v>444</v>
      </c>
      <c r="L279">
        <v>1348</v>
      </c>
      <c r="N279">
        <v>1009</v>
      </c>
      <c r="O279" t="s">
        <v>101</v>
      </c>
      <c r="P279" t="s">
        <v>101</v>
      </c>
      <c r="Q279">
        <v>1000</v>
      </c>
      <c r="X279">
        <v>1.0500000000000001E-2</v>
      </c>
      <c r="Y279">
        <v>748299.67</v>
      </c>
      <c r="Z279">
        <v>0</v>
      </c>
      <c r="AA279">
        <v>0</v>
      </c>
      <c r="AB279">
        <v>0</v>
      </c>
      <c r="AC279">
        <v>0</v>
      </c>
      <c r="AD279">
        <v>1</v>
      </c>
      <c r="AE279">
        <v>0</v>
      </c>
      <c r="AF279" t="s">
        <v>3</v>
      </c>
      <c r="AG279">
        <v>1.0500000000000001E-2</v>
      </c>
      <c r="AH279">
        <v>2</v>
      </c>
      <c r="AI279">
        <v>52432051</v>
      </c>
      <c r="AJ279">
        <v>291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</row>
    <row r="280" spans="1:44" x14ac:dyDescent="0.2">
      <c r="A280">
        <f>ROW(Source!A274)</f>
        <v>274</v>
      </c>
      <c r="B280">
        <v>52432060</v>
      </c>
      <c r="C280">
        <v>52432058</v>
      </c>
      <c r="D280">
        <v>51848379</v>
      </c>
      <c r="E280">
        <v>27</v>
      </c>
      <c r="F280">
        <v>1</v>
      </c>
      <c r="G280">
        <v>27</v>
      </c>
      <c r="H280">
        <v>1</v>
      </c>
      <c r="I280" t="s">
        <v>378</v>
      </c>
      <c r="J280" t="s">
        <v>3</v>
      </c>
      <c r="K280" t="s">
        <v>379</v>
      </c>
      <c r="L280">
        <v>1191</v>
      </c>
      <c r="N280">
        <v>1013</v>
      </c>
      <c r="O280" t="s">
        <v>380</v>
      </c>
      <c r="P280" t="s">
        <v>380</v>
      </c>
      <c r="Q280">
        <v>1</v>
      </c>
      <c r="X280">
        <v>221.6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1</v>
      </c>
      <c r="AE280">
        <v>1</v>
      </c>
      <c r="AF280" t="s">
        <v>3</v>
      </c>
      <c r="AG280">
        <v>221.6</v>
      </c>
      <c r="AH280">
        <v>2</v>
      </c>
      <c r="AI280">
        <v>52432059</v>
      </c>
      <c r="AJ280">
        <v>292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</row>
    <row r="281" spans="1:44" x14ac:dyDescent="0.2">
      <c r="A281">
        <f>ROW(Source!A275)</f>
        <v>275</v>
      </c>
      <c r="B281">
        <v>52432070</v>
      </c>
      <c r="C281">
        <v>52432061</v>
      </c>
      <c r="D281">
        <v>51848379</v>
      </c>
      <c r="E281">
        <v>27</v>
      </c>
      <c r="F281">
        <v>1</v>
      </c>
      <c r="G281">
        <v>27</v>
      </c>
      <c r="H281">
        <v>1</v>
      </c>
      <c r="I281" t="s">
        <v>378</v>
      </c>
      <c r="J281" t="s">
        <v>3</v>
      </c>
      <c r="K281" t="s">
        <v>379</v>
      </c>
      <c r="L281">
        <v>1191</v>
      </c>
      <c r="N281">
        <v>1013</v>
      </c>
      <c r="O281" t="s">
        <v>380</v>
      </c>
      <c r="P281" t="s">
        <v>380</v>
      </c>
      <c r="Q281">
        <v>1</v>
      </c>
      <c r="X281">
        <v>16.559999999999999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1</v>
      </c>
      <c r="AE281">
        <v>1</v>
      </c>
      <c r="AF281" t="s">
        <v>3</v>
      </c>
      <c r="AG281">
        <v>16.559999999999999</v>
      </c>
      <c r="AH281">
        <v>2</v>
      </c>
      <c r="AI281">
        <v>52432062</v>
      </c>
      <c r="AJ281">
        <v>293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</row>
    <row r="282" spans="1:44" x14ac:dyDescent="0.2">
      <c r="A282">
        <f>ROW(Source!A275)</f>
        <v>275</v>
      </c>
      <c r="B282">
        <v>52432071</v>
      </c>
      <c r="C282">
        <v>52432061</v>
      </c>
      <c r="D282">
        <v>51864848</v>
      </c>
      <c r="E282">
        <v>1</v>
      </c>
      <c r="F282">
        <v>1</v>
      </c>
      <c r="G282">
        <v>27</v>
      </c>
      <c r="H282">
        <v>2</v>
      </c>
      <c r="I282" t="s">
        <v>387</v>
      </c>
      <c r="J282" t="s">
        <v>388</v>
      </c>
      <c r="K282" t="s">
        <v>389</v>
      </c>
      <c r="L282">
        <v>1368</v>
      </c>
      <c r="N282">
        <v>1011</v>
      </c>
      <c r="O282" t="s">
        <v>84</v>
      </c>
      <c r="P282" t="s">
        <v>84</v>
      </c>
      <c r="Q282">
        <v>1</v>
      </c>
      <c r="X282">
        <v>2.08</v>
      </c>
      <c r="Y282">
        <v>0</v>
      </c>
      <c r="Z282">
        <v>740.94</v>
      </c>
      <c r="AA282">
        <v>413.22</v>
      </c>
      <c r="AB282">
        <v>0</v>
      </c>
      <c r="AC282">
        <v>0</v>
      </c>
      <c r="AD282">
        <v>1</v>
      </c>
      <c r="AE282">
        <v>0</v>
      </c>
      <c r="AF282" t="s">
        <v>3</v>
      </c>
      <c r="AG282">
        <v>2.08</v>
      </c>
      <c r="AH282">
        <v>2</v>
      </c>
      <c r="AI282">
        <v>52432063</v>
      </c>
      <c r="AJ282">
        <v>294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</row>
    <row r="283" spans="1:44" x14ac:dyDescent="0.2">
      <c r="A283">
        <f>ROW(Source!A275)</f>
        <v>275</v>
      </c>
      <c r="B283">
        <v>52432072</v>
      </c>
      <c r="C283">
        <v>52432061</v>
      </c>
      <c r="D283">
        <v>51865003</v>
      </c>
      <c r="E283">
        <v>1</v>
      </c>
      <c r="F283">
        <v>1</v>
      </c>
      <c r="G283">
        <v>27</v>
      </c>
      <c r="H283">
        <v>2</v>
      </c>
      <c r="I283" t="s">
        <v>390</v>
      </c>
      <c r="J283" t="s">
        <v>391</v>
      </c>
      <c r="K283" t="s">
        <v>392</v>
      </c>
      <c r="L283">
        <v>1368</v>
      </c>
      <c r="N283">
        <v>1011</v>
      </c>
      <c r="O283" t="s">
        <v>84</v>
      </c>
      <c r="P283" t="s">
        <v>84</v>
      </c>
      <c r="Q283">
        <v>1</v>
      </c>
      <c r="X283">
        <v>2.08</v>
      </c>
      <c r="Y283">
        <v>0</v>
      </c>
      <c r="Z283">
        <v>430.32</v>
      </c>
      <c r="AA283">
        <v>215.31</v>
      </c>
      <c r="AB283">
        <v>0</v>
      </c>
      <c r="AC283">
        <v>0</v>
      </c>
      <c r="AD283">
        <v>1</v>
      </c>
      <c r="AE283">
        <v>0</v>
      </c>
      <c r="AF283" t="s">
        <v>3</v>
      </c>
      <c r="AG283">
        <v>2.08</v>
      </c>
      <c r="AH283">
        <v>2</v>
      </c>
      <c r="AI283">
        <v>52432064</v>
      </c>
      <c r="AJ283">
        <v>295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</row>
    <row r="284" spans="1:44" x14ac:dyDescent="0.2">
      <c r="A284">
        <f>ROW(Source!A275)</f>
        <v>275</v>
      </c>
      <c r="B284">
        <v>52432073</v>
      </c>
      <c r="C284">
        <v>52432061</v>
      </c>
      <c r="D284">
        <v>51865006</v>
      </c>
      <c r="E284">
        <v>1</v>
      </c>
      <c r="F284">
        <v>1</v>
      </c>
      <c r="G284">
        <v>27</v>
      </c>
      <c r="H284">
        <v>2</v>
      </c>
      <c r="I284" t="s">
        <v>393</v>
      </c>
      <c r="J284" t="s">
        <v>394</v>
      </c>
      <c r="K284" t="s">
        <v>395</v>
      </c>
      <c r="L284">
        <v>1368</v>
      </c>
      <c r="N284">
        <v>1011</v>
      </c>
      <c r="O284" t="s">
        <v>84</v>
      </c>
      <c r="P284" t="s">
        <v>84</v>
      </c>
      <c r="Q284">
        <v>1</v>
      </c>
      <c r="X284">
        <v>0.81</v>
      </c>
      <c r="Y284">
        <v>0</v>
      </c>
      <c r="Z284">
        <v>2020.59</v>
      </c>
      <c r="AA284">
        <v>458.56</v>
      </c>
      <c r="AB284">
        <v>0</v>
      </c>
      <c r="AC284">
        <v>0</v>
      </c>
      <c r="AD284">
        <v>1</v>
      </c>
      <c r="AE284">
        <v>0</v>
      </c>
      <c r="AF284" t="s">
        <v>3</v>
      </c>
      <c r="AG284">
        <v>0.81</v>
      </c>
      <c r="AH284">
        <v>2</v>
      </c>
      <c r="AI284">
        <v>52432065</v>
      </c>
      <c r="AJ284">
        <v>296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</row>
    <row r="285" spans="1:44" x14ac:dyDescent="0.2">
      <c r="A285">
        <f>ROW(Source!A275)</f>
        <v>275</v>
      </c>
      <c r="B285">
        <v>52432074</v>
      </c>
      <c r="C285">
        <v>52432061</v>
      </c>
      <c r="D285">
        <v>51865030</v>
      </c>
      <c r="E285">
        <v>1</v>
      </c>
      <c r="F285">
        <v>1</v>
      </c>
      <c r="G285">
        <v>27</v>
      </c>
      <c r="H285">
        <v>2</v>
      </c>
      <c r="I285" t="s">
        <v>396</v>
      </c>
      <c r="J285" t="s">
        <v>397</v>
      </c>
      <c r="K285" t="s">
        <v>398</v>
      </c>
      <c r="L285">
        <v>1368</v>
      </c>
      <c r="N285">
        <v>1011</v>
      </c>
      <c r="O285" t="s">
        <v>84</v>
      </c>
      <c r="P285" t="s">
        <v>84</v>
      </c>
      <c r="Q285">
        <v>1</v>
      </c>
      <c r="X285">
        <v>1.94</v>
      </c>
      <c r="Y285">
        <v>0</v>
      </c>
      <c r="Z285">
        <v>1412.71</v>
      </c>
      <c r="AA285">
        <v>641.32000000000005</v>
      </c>
      <c r="AB285">
        <v>0</v>
      </c>
      <c r="AC285">
        <v>0</v>
      </c>
      <c r="AD285">
        <v>1</v>
      </c>
      <c r="AE285">
        <v>0</v>
      </c>
      <c r="AF285" t="s">
        <v>3</v>
      </c>
      <c r="AG285">
        <v>1.94</v>
      </c>
      <c r="AH285">
        <v>2</v>
      </c>
      <c r="AI285">
        <v>52432066</v>
      </c>
      <c r="AJ285">
        <v>297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</row>
    <row r="286" spans="1:44" x14ac:dyDescent="0.2">
      <c r="A286">
        <f>ROW(Source!A275)</f>
        <v>275</v>
      </c>
      <c r="B286">
        <v>52432075</v>
      </c>
      <c r="C286">
        <v>52432061</v>
      </c>
      <c r="D286">
        <v>51864996</v>
      </c>
      <c r="E286">
        <v>1</v>
      </c>
      <c r="F286">
        <v>1</v>
      </c>
      <c r="G286">
        <v>27</v>
      </c>
      <c r="H286">
        <v>2</v>
      </c>
      <c r="I286" t="s">
        <v>399</v>
      </c>
      <c r="J286" t="s">
        <v>400</v>
      </c>
      <c r="K286" t="s">
        <v>401</v>
      </c>
      <c r="L286">
        <v>1368</v>
      </c>
      <c r="N286">
        <v>1011</v>
      </c>
      <c r="O286" t="s">
        <v>84</v>
      </c>
      <c r="P286" t="s">
        <v>84</v>
      </c>
      <c r="Q286">
        <v>1</v>
      </c>
      <c r="X286">
        <v>0.65</v>
      </c>
      <c r="Y286">
        <v>0</v>
      </c>
      <c r="Z286">
        <v>1213.3399999999999</v>
      </c>
      <c r="AA286">
        <v>461.6</v>
      </c>
      <c r="AB286">
        <v>0</v>
      </c>
      <c r="AC286">
        <v>0</v>
      </c>
      <c r="AD286">
        <v>1</v>
      </c>
      <c r="AE286">
        <v>0</v>
      </c>
      <c r="AF286" t="s">
        <v>3</v>
      </c>
      <c r="AG286">
        <v>0.65</v>
      </c>
      <c r="AH286">
        <v>2</v>
      </c>
      <c r="AI286">
        <v>52432067</v>
      </c>
      <c r="AJ286">
        <v>298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</row>
    <row r="287" spans="1:44" x14ac:dyDescent="0.2">
      <c r="A287">
        <f>ROW(Source!A275)</f>
        <v>275</v>
      </c>
      <c r="B287">
        <v>52432076</v>
      </c>
      <c r="C287">
        <v>52432061</v>
      </c>
      <c r="D287">
        <v>51866959</v>
      </c>
      <c r="E287">
        <v>1</v>
      </c>
      <c r="F287">
        <v>1</v>
      </c>
      <c r="G287">
        <v>27</v>
      </c>
      <c r="H287">
        <v>3</v>
      </c>
      <c r="I287" t="s">
        <v>402</v>
      </c>
      <c r="J287" t="s">
        <v>403</v>
      </c>
      <c r="K287" t="s">
        <v>404</v>
      </c>
      <c r="L287">
        <v>1339</v>
      </c>
      <c r="N287">
        <v>1007</v>
      </c>
      <c r="O287" t="s">
        <v>28</v>
      </c>
      <c r="P287" t="s">
        <v>28</v>
      </c>
      <c r="Q287">
        <v>1</v>
      </c>
      <c r="X287">
        <v>110</v>
      </c>
      <c r="Y287">
        <v>590.78</v>
      </c>
      <c r="Z287">
        <v>0</v>
      </c>
      <c r="AA287">
        <v>0</v>
      </c>
      <c r="AB287">
        <v>0</v>
      </c>
      <c r="AC287">
        <v>0</v>
      </c>
      <c r="AD287">
        <v>1</v>
      </c>
      <c r="AE287">
        <v>0</v>
      </c>
      <c r="AF287" t="s">
        <v>3</v>
      </c>
      <c r="AG287">
        <v>110</v>
      </c>
      <c r="AH287">
        <v>2</v>
      </c>
      <c r="AI287">
        <v>52432068</v>
      </c>
      <c r="AJ287">
        <v>299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</row>
    <row r="288" spans="1:44" x14ac:dyDescent="0.2">
      <c r="A288">
        <f>ROW(Source!A275)</f>
        <v>275</v>
      </c>
      <c r="B288">
        <v>52432077</v>
      </c>
      <c r="C288">
        <v>52432061</v>
      </c>
      <c r="D288">
        <v>51867705</v>
      </c>
      <c r="E288">
        <v>1</v>
      </c>
      <c r="F288">
        <v>1</v>
      </c>
      <c r="G288">
        <v>27</v>
      </c>
      <c r="H288">
        <v>3</v>
      </c>
      <c r="I288" t="s">
        <v>405</v>
      </c>
      <c r="J288" t="s">
        <v>406</v>
      </c>
      <c r="K288" t="s">
        <v>407</v>
      </c>
      <c r="L288">
        <v>1339</v>
      </c>
      <c r="N288">
        <v>1007</v>
      </c>
      <c r="O288" t="s">
        <v>28</v>
      </c>
      <c r="P288" t="s">
        <v>28</v>
      </c>
      <c r="Q288">
        <v>1</v>
      </c>
      <c r="X288">
        <v>5</v>
      </c>
      <c r="Y288">
        <v>35.25</v>
      </c>
      <c r="Z288">
        <v>0</v>
      </c>
      <c r="AA288">
        <v>0</v>
      </c>
      <c r="AB288">
        <v>0</v>
      </c>
      <c r="AC288">
        <v>0</v>
      </c>
      <c r="AD288">
        <v>1</v>
      </c>
      <c r="AE288">
        <v>0</v>
      </c>
      <c r="AF288" t="s">
        <v>3</v>
      </c>
      <c r="AG288">
        <v>5</v>
      </c>
      <c r="AH288">
        <v>2</v>
      </c>
      <c r="AI288">
        <v>52432069</v>
      </c>
      <c r="AJ288">
        <v>300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</row>
    <row r="289" spans="1:44" x14ac:dyDescent="0.2">
      <c r="A289">
        <f>ROW(Source!A276)</f>
        <v>276</v>
      </c>
      <c r="B289">
        <v>52432084</v>
      </c>
      <c r="C289">
        <v>52432078</v>
      </c>
      <c r="D289">
        <v>51848379</v>
      </c>
      <c r="E289">
        <v>27</v>
      </c>
      <c r="F289">
        <v>1</v>
      </c>
      <c r="G289">
        <v>27</v>
      </c>
      <c r="H289">
        <v>1</v>
      </c>
      <c r="I289" t="s">
        <v>378</v>
      </c>
      <c r="J289" t="s">
        <v>3</v>
      </c>
      <c r="K289" t="s">
        <v>379</v>
      </c>
      <c r="L289">
        <v>1191</v>
      </c>
      <c r="N289">
        <v>1013</v>
      </c>
      <c r="O289" t="s">
        <v>380</v>
      </c>
      <c r="P289" t="s">
        <v>380</v>
      </c>
      <c r="Q289">
        <v>1</v>
      </c>
      <c r="X289">
        <v>72.95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1</v>
      </c>
      <c r="AE289">
        <v>1</v>
      </c>
      <c r="AF289" t="s">
        <v>3</v>
      </c>
      <c r="AG289">
        <v>72.95</v>
      </c>
      <c r="AH289">
        <v>2</v>
      </c>
      <c r="AI289">
        <v>52432079</v>
      </c>
      <c r="AJ289">
        <v>301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</row>
    <row r="290" spans="1:44" x14ac:dyDescent="0.2">
      <c r="A290">
        <f>ROW(Source!A276)</f>
        <v>276</v>
      </c>
      <c r="B290">
        <v>52432085</v>
      </c>
      <c r="C290">
        <v>52432078</v>
      </c>
      <c r="D290">
        <v>51864920</v>
      </c>
      <c r="E290">
        <v>1</v>
      </c>
      <c r="F290">
        <v>1</v>
      </c>
      <c r="G290">
        <v>27</v>
      </c>
      <c r="H290">
        <v>2</v>
      </c>
      <c r="I290" t="s">
        <v>445</v>
      </c>
      <c r="J290" t="s">
        <v>446</v>
      </c>
      <c r="K290" t="s">
        <v>447</v>
      </c>
      <c r="L290">
        <v>1368</v>
      </c>
      <c r="N290">
        <v>1011</v>
      </c>
      <c r="O290" t="s">
        <v>84</v>
      </c>
      <c r="P290" t="s">
        <v>84</v>
      </c>
      <c r="Q290">
        <v>1</v>
      </c>
      <c r="X290">
        <v>0.26</v>
      </c>
      <c r="Y290">
        <v>0</v>
      </c>
      <c r="Z290">
        <v>683.9</v>
      </c>
      <c r="AA290">
        <v>371.27</v>
      </c>
      <c r="AB290">
        <v>0</v>
      </c>
      <c r="AC290">
        <v>0</v>
      </c>
      <c r="AD290">
        <v>1</v>
      </c>
      <c r="AE290">
        <v>0</v>
      </c>
      <c r="AF290" t="s">
        <v>3</v>
      </c>
      <c r="AG290">
        <v>0.26</v>
      </c>
      <c r="AH290">
        <v>2</v>
      </c>
      <c r="AI290">
        <v>52432080</v>
      </c>
      <c r="AJ290">
        <v>302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</row>
    <row r="291" spans="1:44" x14ac:dyDescent="0.2">
      <c r="A291">
        <f>ROW(Source!A276)</f>
        <v>276</v>
      </c>
      <c r="B291">
        <v>52432086</v>
      </c>
      <c r="C291">
        <v>52432078</v>
      </c>
      <c r="D291">
        <v>51868676</v>
      </c>
      <c r="E291">
        <v>1</v>
      </c>
      <c r="F291">
        <v>1</v>
      </c>
      <c r="G291">
        <v>27</v>
      </c>
      <c r="H291">
        <v>3</v>
      </c>
      <c r="I291" t="s">
        <v>448</v>
      </c>
      <c r="J291" t="s">
        <v>449</v>
      </c>
      <c r="K291" t="s">
        <v>450</v>
      </c>
      <c r="L291">
        <v>1339</v>
      </c>
      <c r="N291">
        <v>1007</v>
      </c>
      <c r="O291" t="s">
        <v>28</v>
      </c>
      <c r="P291" t="s">
        <v>28</v>
      </c>
      <c r="Q291">
        <v>1</v>
      </c>
      <c r="X291">
        <v>4.3</v>
      </c>
      <c r="Y291">
        <v>3714.73</v>
      </c>
      <c r="Z291">
        <v>0</v>
      </c>
      <c r="AA291">
        <v>0</v>
      </c>
      <c r="AB291">
        <v>0</v>
      </c>
      <c r="AC291">
        <v>0</v>
      </c>
      <c r="AD291">
        <v>1</v>
      </c>
      <c r="AE291">
        <v>0</v>
      </c>
      <c r="AF291" t="s">
        <v>3</v>
      </c>
      <c r="AG291">
        <v>4.3</v>
      </c>
      <c r="AH291">
        <v>2</v>
      </c>
      <c r="AI291">
        <v>52432081</v>
      </c>
      <c r="AJ291">
        <v>303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</row>
    <row r="292" spans="1:44" x14ac:dyDescent="0.2">
      <c r="A292">
        <f>ROW(Source!A276)</f>
        <v>276</v>
      </c>
      <c r="B292">
        <v>52432087</v>
      </c>
      <c r="C292">
        <v>52432078</v>
      </c>
      <c r="D292">
        <v>51868752</v>
      </c>
      <c r="E292">
        <v>1</v>
      </c>
      <c r="F292">
        <v>1</v>
      </c>
      <c r="G292">
        <v>27</v>
      </c>
      <c r="H292">
        <v>3</v>
      </c>
      <c r="I292" t="s">
        <v>451</v>
      </c>
      <c r="J292" t="s">
        <v>452</v>
      </c>
      <c r="K292" t="s">
        <v>453</v>
      </c>
      <c r="L292">
        <v>1339</v>
      </c>
      <c r="N292">
        <v>1007</v>
      </c>
      <c r="O292" t="s">
        <v>28</v>
      </c>
      <c r="P292" t="s">
        <v>28</v>
      </c>
      <c r="Q292">
        <v>1</v>
      </c>
      <c r="X292">
        <v>0.02</v>
      </c>
      <c r="Y292">
        <v>3392.59</v>
      </c>
      <c r="Z292">
        <v>0</v>
      </c>
      <c r="AA292">
        <v>0</v>
      </c>
      <c r="AB292">
        <v>0</v>
      </c>
      <c r="AC292">
        <v>0</v>
      </c>
      <c r="AD292">
        <v>1</v>
      </c>
      <c r="AE292">
        <v>0</v>
      </c>
      <c r="AF292" t="s">
        <v>3</v>
      </c>
      <c r="AG292">
        <v>0.02</v>
      </c>
      <c r="AH292">
        <v>2</v>
      </c>
      <c r="AI292">
        <v>52432082</v>
      </c>
      <c r="AJ292">
        <v>304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</row>
    <row r="293" spans="1:44" x14ac:dyDescent="0.2">
      <c r="A293">
        <f>ROW(Source!A276)</f>
        <v>276</v>
      </c>
      <c r="B293">
        <v>52432088</v>
      </c>
      <c r="C293">
        <v>52432078</v>
      </c>
      <c r="D293">
        <v>51869488</v>
      </c>
      <c r="E293">
        <v>1</v>
      </c>
      <c r="F293">
        <v>1</v>
      </c>
      <c r="G293">
        <v>27</v>
      </c>
      <c r="H293">
        <v>3</v>
      </c>
      <c r="I293" t="s">
        <v>454</v>
      </c>
      <c r="J293" t="s">
        <v>455</v>
      </c>
      <c r="K293" t="s">
        <v>456</v>
      </c>
      <c r="L293">
        <v>1339</v>
      </c>
      <c r="N293">
        <v>1007</v>
      </c>
      <c r="O293" t="s">
        <v>28</v>
      </c>
      <c r="P293" t="s">
        <v>28</v>
      </c>
      <c r="Q293">
        <v>1</v>
      </c>
      <c r="X293">
        <v>1.6</v>
      </c>
      <c r="Y293">
        <v>11566.57</v>
      </c>
      <c r="Z293">
        <v>0</v>
      </c>
      <c r="AA293">
        <v>0</v>
      </c>
      <c r="AB293">
        <v>0</v>
      </c>
      <c r="AC293">
        <v>0</v>
      </c>
      <c r="AD293">
        <v>1</v>
      </c>
      <c r="AE293">
        <v>0</v>
      </c>
      <c r="AF293" t="s">
        <v>3</v>
      </c>
      <c r="AG293">
        <v>1.6</v>
      </c>
      <c r="AH293">
        <v>2</v>
      </c>
      <c r="AI293">
        <v>52432083</v>
      </c>
      <c r="AJ293">
        <v>305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</row>
    <row r="294" spans="1:44" x14ac:dyDescent="0.2">
      <c r="A294">
        <f>ROW(Source!A277)</f>
        <v>277</v>
      </c>
      <c r="B294">
        <v>52432102</v>
      </c>
      <c r="C294">
        <v>52432089</v>
      </c>
      <c r="D294">
        <v>51848379</v>
      </c>
      <c r="E294">
        <v>27</v>
      </c>
      <c r="F294">
        <v>1</v>
      </c>
      <c r="G294">
        <v>27</v>
      </c>
      <c r="H294">
        <v>1</v>
      </c>
      <c r="I294" t="s">
        <v>378</v>
      </c>
      <c r="J294" t="s">
        <v>3</v>
      </c>
      <c r="K294" t="s">
        <v>379</v>
      </c>
      <c r="L294">
        <v>1191</v>
      </c>
      <c r="N294">
        <v>1013</v>
      </c>
      <c r="O294" t="s">
        <v>380</v>
      </c>
      <c r="P294" t="s">
        <v>380</v>
      </c>
      <c r="Q294">
        <v>1</v>
      </c>
      <c r="X294">
        <v>902.75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1</v>
      </c>
      <c r="AE294">
        <v>1</v>
      </c>
      <c r="AF294" t="s">
        <v>3</v>
      </c>
      <c r="AG294">
        <v>902.75</v>
      </c>
      <c r="AH294">
        <v>2</v>
      </c>
      <c r="AI294">
        <v>52432090</v>
      </c>
      <c r="AJ294">
        <v>306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</row>
    <row r="295" spans="1:44" x14ac:dyDescent="0.2">
      <c r="A295">
        <f>ROW(Source!A277)</f>
        <v>277</v>
      </c>
      <c r="B295">
        <v>52432103</v>
      </c>
      <c r="C295">
        <v>52432089</v>
      </c>
      <c r="D295">
        <v>51864800</v>
      </c>
      <c r="E295">
        <v>1</v>
      </c>
      <c r="F295">
        <v>1</v>
      </c>
      <c r="G295">
        <v>27</v>
      </c>
      <c r="H295">
        <v>2</v>
      </c>
      <c r="I295" t="s">
        <v>91</v>
      </c>
      <c r="J295" t="s">
        <v>93</v>
      </c>
      <c r="K295" t="s">
        <v>92</v>
      </c>
      <c r="L295">
        <v>1368</v>
      </c>
      <c r="N295">
        <v>1011</v>
      </c>
      <c r="O295" t="s">
        <v>84</v>
      </c>
      <c r="P295" t="s">
        <v>84</v>
      </c>
      <c r="Q295">
        <v>1</v>
      </c>
      <c r="X295">
        <v>0.09</v>
      </c>
      <c r="Y295">
        <v>0</v>
      </c>
      <c r="Z295">
        <v>1009.65</v>
      </c>
      <c r="AA295">
        <v>554.42999999999995</v>
      </c>
      <c r="AB295">
        <v>0</v>
      </c>
      <c r="AC295">
        <v>0</v>
      </c>
      <c r="AD295">
        <v>1</v>
      </c>
      <c r="AE295">
        <v>0</v>
      </c>
      <c r="AF295" t="s">
        <v>3</v>
      </c>
      <c r="AG295">
        <v>0.09</v>
      </c>
      <c r="AH295">
        <v>2</v>
      </c>
      <c r="AI295">
        <v>52432091</v>
      </c>
      <c r="AJ295">
        <v>307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</row>
    <row r="296" spans="1:44" x14ac:dyDescent="0.2">
      <c r="A296">
        <f>ROW(Source!A277)</f>
        <v>277</v>
      </c>
      <c r="B296">
        <v>52432104</v>
      </c>
      <c r="C296">
        <v>52432089</v>
      </c>
      <c r="D296">
        <v>51865257</v>
      </c>
      <c r="E296">
        <v>1</v>
      </c>
      <c r="F296">
        <v>1</v>
      </c>
      <c r="G296">
        <v>27</v>
      </c>
      <c r="H296">
        <v>2</v>
      </c>
      <c r="I296" t="s">
        <v>87</v>
      </c>
      <c r="J296" t="s">
        <v>89</v>
      </c>
      <c r="K296" t="s">
        <v>88</v>
      </c>
      <c r="L296">
        <v>1368</v>
      </c>
      <c r="N296">
        <v>1011</v>
      </c>
      <c r="O296" t="s">
        <v>84</v>
      </c>
      <c r="P296" t="s">
        <v>84</v>
      </c>
      <c r="Q296">
        <v>1</v>
      </c>
      <c r="X296">
        <v>14.5</v>
      </c>
      <c r="Y296">
        <v>0</v>
      </c>
      <c r="Z296">
        <v>27.21</v>
      </c>
      <c r="AA296">
        <v>0.13</v>
      </c>
      <c r="AB296">
        <v>0</v>
      </c>
      <c r="AC296">
        <v>0</v>
      </c>
      <c r="AD296">
        <v>1</v>
      </c>
      <c r="AE296">
        <v>0</v>
      </c>
      <c r="AF296" t="s">
        <v>3</v>
      </c>
      <c r="AG296">
        <v>14.5</v>
      </c>
      <c r="AH296">
        <v>2</v>
      </c>
      <c r="AI296">
        <v>52432092</v>
      </c>
      <c r="AJ296">
        <v>308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</row>
    <row r="297" spans="1:44" x14ac:dyDescent="0.2">
      <c r="A297">
        <f>ROW(Source!A277)</f>
        <v>277</v>
      </c>
      <c r="B297">
        <v>52432105</v>
      </c>
      <c r="C297">
        <v>52432089</v>
      </c>
      <c r="D297">
        <v>51865090</v>
      </c>
      <c r="E297">
        <v>1</v>
      </c>
      <c r="F297">
        <v>1</v>
      </c>
      <c r="G297">
        <v>27</v>
      </c>
      <c r="H297">
        <v>2</v>
      </c>
      <c r="I297" t="s">
        <v>82</v>
      </c>
      <c r="J297" t="s">
        <v>85</v>
      </c>
      <c r="K297" t="s">
        <v>83</v>
      </c>
      <c r="L297">
        <v>1368</v>
      </c>
      <c r="N297">
        <v>1011</v>
      </c>
      <c r="O297" t="s">
        <v>84</v>
      </c>
      <c r="P297" t="s">
        <v>84</v>
      </c>
      <c r="Q297">
        <v>1</v>
      </c>
      <c r="X297">
        <v>5.44</v>
      </c>
      <c r="Y297">
        <v>0</v>
      </c>
      <c r="Z297">
        <v>10.82</v>
      </c>
      <c r="AA297">
        <v>2.97</v>
      </c>
      <c r="AB297">
        <v>0</v>
      </c>
      <c r="AC297">
        <v>0</v>
      </c>
      <c r="AD297">
        <v>1</v>
      </c>
      <c r="AE297">
        <v>0</v>
      </c>
      <c r="AF297" t="s">
        <v>3</v>
      </c>
      <c r="AG297">
        <v>5.44</v>
      </c>
      <c r="AH297">
        <v>2</v>
      </c>
      <c r="AI297">
        <v>52432093</v>
      </c>
      <c r="AJ297">
        <v>309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</row>
    <row r="298" spans="1:44" x14ac:dyDescent="0.2">
      <c r="A298">
        <f>ROW(Source!A277)</f>
        <v>277</v>
      </c>
      <c r="B298">
        <v>52432106</v>
      </c>
      <c r="C298">
        <v>52432089</v>
      </c>
      <c r="D298">
        <v>51867612</v>
      </c>
      <c r="E298">
        <v>1</v>
      </c>
      <c r="F298">
        <v>1</v>
      </c>
      <c r="G298">
        <v>27</v>
      </c>
      <c r="H298">
        <v>3</v>
      </c>
      <c r="I298" t="s">
        <v>99</v>
      </c>
      <c r="J298" t="s">
        <v>102</v>
      </c>
      <c r="K298" t="s">
        <v>100</v>
      </c>
      <c r="L298">
        <v>1348</v>
      </c>
      <c r="N298">
        <v>1009</v>
      </c>
      <c r="O298" t="s">
        <v>101</v>
      </c>
      <c r="P298" t="s">
        <v>101</v>
      </c>
      <c r="Q298">
        <v>1000</v>
      </c>
      <c r="X298">
        <v>0.02</v>
      </c>
      <c r="Y298">
        <v>110781.14</v>
      </c>
      <c r="Z298">
        <v>0</v>
      </c>
      <c r="AA298">
        <v>0</v>
      </c>
      <c r="AB298">
        <v>0</v>
      </c>
      <c r="AC298">
        <v>0</v>
      </c>
      <c r="AD298">
        <v>1</v>
      </c>
      <c r="AE298">
        <v>0</v>
      </c>
      <c r="AF298" t="s">
        <v>3</v>
      </c>
      <c r="AG298">
        <v>0.02</v>
      </c>
      <c r="AH298">
        <v>2</v>
      </c>
      <c r="AI298">
        <v>52432094</v>
      </c>
      <c r="AJ298">
        <v>310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</row>
    <row r="299" spans="1:44" x14ac:dyDescent="0.2">
      <c r="A299">
        <f>ROW(Source!A277)</f>
        <v>277</v>
      </c>
      <c r="B299">
        <v>52432107</v>
      </c>
      <c r="C299">
        <v>52432089</v>
      </c>
      <c r="D299">
        <v>51866048</v>
      </c>
      <c r="E299">
        <v>1</v>
      </c>
      <c r="F299">
        <v>1</v>
      </c>
      <c r="G299">
        <v>27</v>
      </c>
      <c r="H299">
        <v>3</v>
      </c>
      <c r="I299" t="s">
        <v>77</v>
      </c>
      <c r="J299" t="s">
        <v>80</v>
      </c>
      <c r="K299" t="s">
        <v>78</v>
      </c>
      <c r="L299">
        <v>1356</v>
      </c>
      <c r="N299">
        <v>1010</v>
      </c>
      <c r="O299" t="s">
        <v>79</v>
      </c>
      <c r="P299" t="s">
        <v>79</v>
      </c>
      <c r="Q299">
        <v>1000</v>
      </c>
      <c r="X299">
        <v>3.6999999999999998E-2</v>
      </c>
      <c r="Y299">
        <v>10419.43</v>
      </c>
      <c r="Z299">
        <v>0</v>
      </c>
      <c r="AA299">
        <v>0</v>
      </c>
      <c r="AB299">
        <v>0</v>
      </c>
      <c r="AC299">
        <v>0</v>
      </c>
      <c r="AD299">
        <v>1</v>
      </c>
      <c r="AE299">
        <v>0</v>
      </c>
      <c r="AF299" t="s">
        <v>3</v>
      </c>
      <c r="AG299">
        <v>3.6999999999999998E-2</v>
      </c>
      <c r="AH299">
        <v>2</v>
      </c>
      <c r="AI299">
        <v>52432095</v>
      </c>
      <c r="AJ299">
        <v>311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</row>
    <row r="300" spans="1:44" x14ac:dyDescent="0.2">
      <c r="A300">
        <f>ROW(Source!A277)</f>
        <v>277</v>
      </c>
      <c r="B300">
        <v>52432108</v>
      </c>
      <c r="C300">
        <v>52432089</v>
      </c>
      <c r="D300">
        <v>51868609</v>
      </c>
      <c r="E300">
        <v>1</v>
      </c>
      <c r="F300">
        <v>1</v>
      </c>
      <c r="G300">
        <v>27</v>
      </c>
      <c r="H300">
        <v>3</v>
      </c>
      <c r="I300" t="s">
        <v>95</v>
      </c>
      <c r="J300" t="s">
        <v>97</v>
      </c>
      <c r="K300" t="s">
        <v>96</v>
      </c>
      <c r="L300">
        <v>1339</v>
      </c>
      <c r="N300">
        <v>1007</v>
      </c>
      <c r="O300" t="s">
        <v>28</v>
      </c>
      <c r="P300" t="s">
        <v>28</v>
      </c>
      <c r="Q300">
        <v>1</v>
      </c>
      <c r="X300">
        <v>5</v>
      </c>
      <c r="Y300">
        <v>3040.38</v>
      </c>
      <c r="Z300">
        <v>0</v>
      </c>
      <c r="AA300">
        <v>0</v>
      </c>
      <c r="AB300">
        <v>0</v>
      </c>
      <c r="AC300">
        <v>0</v>
      </c>
      <c r="AD300">
        <v>1</v>
      </c>
      <c r="AE300">
        <v>0</v>
      </c>
      <c r="AF300" t="s">
        <v>3</v>
      </c>
      <c r="AG300">
        <v>5</v>
      </c>
      <c r="AH300">
        <v>2</v>
      </c>
      <c r="AI300">
        <v>52432096</v>
      </c>
      <c r="AJ300">
        <v>312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</row>
    <row r="301" spans="1:44" x14ac:dyDescent="0.2">
      <c r="A301">
        <f>ROW(Source!A277)</f>
        <v>277</v>
      </c>
      <c r="B301">
        <v>52432109</v>
      </c>
      <c r="C301">
        <v>52432089</v>
      </c>
      <c r="D301">
        <v>51868749</v>
      </c>
      <c r="E301">
        <v>1</v>
      </c>
      <c r="F301">
        <v>1</v>
      </c>
      <c r="G301">
        <v>27</v>
      </c>
      <c r="H301">
        <v>3</v>
      </c>
      <c r="I301" t="s">
        <v>457</v>
      </c>
      <c r="J301" t="s">
        <v>458</v>
      </c>
      <c r="K301" t="s">
        <v>459</v>
      </c>
      <c r="L301">
        <v>1339</v>
      </c>
      <c r="N301">
        <v>1007</v>
      </c>
      <c r="O301" t="s">
        <v>28</v>
      </c>
      <c r="P301" t="s">
        <v>28</v>
      </c>
      <c r="Q301">
        <v>1</v>
      </c>
      <c r="X301">
        <v>1.4999999999999999E-2</v>
      </c>
      <c r="Y301">
        <v>3323.4</v>
      </c>
      <c r="Z301">
        <v>0</v>
      </c>
      <c r="AA301">
        <v>0</v>
      </c>
      <c r="AB301">
        <v>0</v>
      </c>
      <c r="AC301">
        <v>0</v>
      </c>
      <c r="AD301">
        <v>1</v>
      </c>
      <c r="AE301">
        <v>0</v>
      </c>
      <c r="AF301" t="s">
        <v>3</v>
      </c>
      <c r="AG301">
        <v>1.4999999999999999E-2</v>
      </c>
      <c r="AH301">
        <v>2</v>
      </c>
      <c r="AI301">
        <v>52432097</v>
      </c>
      <c r="AJ301">
        <v>313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</row>
    <row r="302" spans="1:44" x14ac:dyDescent="0.2">
      <c r="A302">
        <f>ROW(Source!A277)</f>
        <v>277</v>
      </c>
      <c r="B302">
        <v>52432110</v>
      </c>
      <c r="C302">
        <v>52432089</v>
      </c>
      <c r="D302">
        <v>51848520</v>
      </c>
      <c r="E302">
        <v>27</v>
      </c>
      <c r="F302">
        <v>1</v>
      </c>
      <c r="G302">
        <v>27</v>
      </c>
      <c r="H302">
        <v>3</v>
      </c>
      <c r="I302" t="s">
        <v>516</v>
      </c>
      <c r="J302" t="s">
        <v>3</v>
      </c>
      <c r="K302" t="s">
        <v>517</v>
      </c>
      <c r="L302">
        <v>1354</v>
      </c>
      <c r="N302">
        <v>1010</v>
      </c>
      <c r="O302" t="s">
        <v>106</v>
      </c>
      <c r="P302" t="s">
        <v>106</v>
      </c>
      <c r="Q302">
        <v>1</v>
      </c>
      <c r="X302">
        <v>100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 t="s">
        <v>3</v>
      </c>
      <c r="AG302">
        <v>100</v>
      </c>
      <c r="AH302">
        <v>3</v>
      </c>
      <c r="AI302">
        <v>-1</v>
      </c>
      <c r="AJ302" t="s">
        <v>3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</row>
    <row r="303" spans="1:44" x14ac:dyDescent="0.2">
      <c r="A303">
        <f>ROW(Source!A277)</f>
        <v>277</v>
      </c>
      <c r="B303">
        <v>52432111</v>
      </c>
      <c r="C303">
        <v>52432089</v>
      </c>
      <c r="D303">
        <v>51848525</v>
      </c>
      <c r="E303">
        <v>27</v>
      </c>
      <c r="F303">
        <v>1</v>
      </c>
      <c r="G303">
        <v>27</v>
      </c>
      <c r="H303">
        <v>3</v>
      </c>
      <c r="I303" t="s">
        <v>518</v>
      </c>
      <c r="J303" t="s">
        <v>3</v>
      </c>
      <c r="K303" t="s">
        <v>519</v>
      </c>
      <c r="L303">
        <v>1348</v>
      </c>
      <c r="N303">
        <v>1009</v>
      </c>
      <c r="O303" t="s">
        <v>101</v>
      </c>
      <c r="P303" t="s">
        <v>101</v>
      </c>
      <c r="Q303">
        <v>1000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 t="s">
        <v>3</v>
      </c>
      <c r="AG303">
        <v>0</v>
      </c>
      <c r="AH303">
        <v>3</v>
      </c>
      <c r="AI303">
        <v>-1</v>
      </c>
      <c r="AJ303" t="s">
        <v>3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</row>
    <row r="304" spans="1:44" x14ac:dyDescent="0.2">
      <c r="A304">
        <f>ROW(Source!A323)</f>
        <v>323</v>
      </c>
      <c r="B304">
        <v>52432743</v>
      </c>
      <c r="C304">
        <v>52432742</v>
      </c>
      <c r="D304">
        <v>51848379</v>
      </c>
      <c r="E304">
        <v>27</v>
      </c>
      <c r="F304">
        <v>1</v>
      </c>
      <c r="G304">
        <v>27</v>
      </c>
      <c r="H304">
        <v>1</v>
      </c>
      <c r="I304" t="s">
        <v>378</v>
      </c>
      <c r="J304" t="s">
        <v>3</v>
      </c>
      <c r="K304" t="s">
        <v>379</v>
      </c>
      <c r="L304">
        <v>1191</v>
      </c>
      <c r="N304">
        <v>1013</v>
      </c>
      <c r="O304" t="s">
        <v>380</v>
      </c>
      <c r="P304" t="s">
        <v>380</v>
      </c>
      <c r="Q304">
        <v>1</v>
      </c>
      <c r="X304">
        <v>0.97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1</v>
      </c>
      <c r="AE304">
        <v>1</v>
      </c>
      <c r="AF304" t="s">
        <v>3</v>
      </c>
      <c r="AG304">
        <v>0.97</v>
      </c>
      <c r="AH304">
        <v>2</v>
      </c>
      <c r="AI304">
        <v>52432743</v>
      </c>
      <c r="AJ304">
        <v>318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</row>
    <row r="305" spans="1:44" x14ac:dyDescent="0.2">
      <c r="A305">
        <f>ROW(Source!A323)</f>
        <v>323</v>
      </c>
      <c r="B305">
        <v>52432744</v>
      </c>
      <c r="C305">
        <v>52432742</v>
      </c>
      <c r="D305">
        <v>51865161</v>
      </c>
      <c r="E305">
        <v>1</v>
      </c>
      <c r="F305">
        <v>1</v>
      </c>
      <c r="G305">
        <v>27</v>
      </c>
      <c r="H305">
        <v>2</v>
      </c>
      <c r="I305" t="s">
        <v>472</v>
      </c>
      <c r="J305" t="s">
        <v>473</v>
      </c>
      <c r="K305" t="s">
        <v>474</v>
      </c>
      <c r="L305">
        <v>1368</v>
      </c>
      <c r="N305">
        <v>1011</v>
      </c>
      <c r="O305" t="s">
        <v>84</v>
      </c>
      <c r="P305" t="s">
        <v>84</v>
      </c>
      <c r="Q305">
        <v>1</v>
      </c>
      <c r="X305">
        <v>0.17</v>
      </c>
      <c r="Y305">
        <v>0</v>
      </c>
      <c r="Z305">
        <v>893.38</v>
      </c>
      <c r="AA305">
        <v>438.65</v>
      </c>
      <c r="AB305">
        <v>0</v>
      </c>
      <c r="AC305">
        <v>0</v>
      </c>
      <c r="AD305">
        <v>1</v>
      </c>
      <c r="AE305">
        <v>0</v>
      </c>
      <c r="AF305" t="s">
        <v>3</v>
      </c>
      <c r="AG305">
        <v>0.17</v>
      </c>
      <c r="AH305">
        <v>2</v>
      </c>
      <c r="AI305">
        <v>52432744</v>
      </c>
      <c r="AJ305">
        <v>319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</row>
    <row r="306" spans="1:44" x14ac:dyDescent="0.2">
      <c r="A306">
        <f>ROW(Source!A323)</f>
        <v>323</v>
      </c>
      <c r="B306">
        <v>52432745</v>
      </c>
      <c r="C306">
        <v>52432742</v>
      </c>
      <c r="D306">
        <v>51864915</v>
      </c>
      <c r="E306">
        <v>1</v>
      </c>
      <c r="F306">
        <v>1</v>
      </c>
      <c r="G306">
        <v>27</v>
      </c>
      <c r="H306">
        <v>2</v>
      </c>
      <c r="I306" t="s">
        <v>475</v>
      </c>
      <c r="J306" t="s">
        <v>476</v>
      </c>
      <c r="K306" t="s">
        <v>477</v>
      </c>
      <c r="L306">
        <v>1368</v>
      </c>
      <c r="N306">
        <v>1011</v>
      </c>
      <c r="O306" t="s">
        <v>84</v>
      </c>
      <c r="P306" t="s">
        <v>84</v>
      </c>
      <c r="Q306">
        <v>1</v>
      </c>
      <c r="X306">
        <v>0.17</v>
      </c>
      <c r="Y306">
        <v>0</v>
      </c>
      <c r="Z306">
        <v>967.89</v>
      </c>
      <c r="AA306">
        <v>572.73</v>
      </c>
      <c r="AB306">
        <v>0</v>
      </c>
      <c r="AC306">
        <v>0</v>
      </c>
      <c r="AD306">
        <v>1</v>
      </c>
      <c r="AE306">
        <v>0</v>
      </c>
      <c r="AF306" t="s">
        <v>3</v>
      </c>
      <c r="AG306">
        <v>0.17</v>
      </c>
      <c r="AH306">
        <v>2</v>
      </c>
      <c r="AI306">
        <v>52432745</v>
      </c>
      <c r="AJ306">
        <v>320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</row>
    <row r="307" spans="1:44" x14ac:dyDescent="0.2">
      <c r="A307">
        <f>ROW(Source!A323)</f>
        <v>323</v>
      </c>
      <c r="B307">
        <v>52432746</v>
      </c>
      <c r="C307">
        <v>52432742</v>
      </c>
      <c r="D307">
        <v>51865037</v>
      </c>
      <c r="E307">
        <v>1</v>
      </c>
      <c r="F307">
        <v>1</v>
      </c>
      <c r="G307">
        <v>27</v>
      </c>
      <c r="H307">
        <v>2</v>
      </c>
      <c r="I307" t="s">
        <v>478</v>
      </c>
      <c r="J307" t="s">
        <v>479</v>
      </c>
      <c r="K307" t="s">
        <v>480</v>
      </c>
      <c r="L307">
        <v>1368</v>
      </c>
      <c r="N307">
        <v>1011</v>
      </c>
      <c r="O307" t="s">
        <v>84</v>
      </c>
      <c r="P307" t="s">
        <v>84</v>
      </c>
      <c r="Q307">
        <v>1</v>
      </c>
      <c r="X307">
        <v>0.21</v>
      </c>
      <c r="Y307">
        <v>0</v>
      </c>
      <c r="Z307">
        <v>1028.6300000000001</v>
      </c>
      <c r="AA307">
        <v>539.12</v>
      </c>
      <c r="AB307">
        <v>0</v>
      </c>
      <c r="AC307">
        <v>0</v>
      </c>
      <c r="AD307">
        <v>1</v>
      </c>
      <c r="AE307">
        <v>0</v>
      </c>
      <c r="AF307" t="s">
        <v>3</v>
      </c>
      <c r="AG307">
        <v>0.21</v>
      </c>
      <c r="AH307">
        <v>2</v>
      </c>
      <c r="AI307">
        <v>52432746</v>
      </c>
      <c r="AJ307">
        <v>321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</row>
    <row r="308" spans="1:44" x14ac:dyDescent="0.2">
      <c r="A308">
        <f>ROW(Source!A323)</f>
        <v>323</v>
      </c>
      <c r="B308">
        <v>52432747</v>
      </c>
      <c r="C308">
        <v>52432742</v>
      </c>
      <c r="D308">
        <v>51866988</v>
      </c>
      <c r="E308">
        <v>1</v>
      </c>
      <c r="F308">
        <v>1</v>
      </c>
      <c r="G308">
        <v>27</v>
      </c>
      <c r="H308">
        <v>3</v>
      </c>
      <c r="I308" t="s">
        <v>481</v>
      </c>
      <c r="J308" t="s">
        <v>482</v>
      </c>
      <c r="K308" t="s">
        <v>483</v>
      </c>
      <c r="L308">
        <v>1339</v>
      </c>
      <c r="N308">
        <v>1007</v>
      </c>
      <c r="O308" t="s">
        <v>28</v>
      </c>
      <c r="P308" t="s">
        <v>28</v>
      </c>
      <c r="Q308">
        <v>1</v>
      </c>
      <c r="X308">
        <v>4.0000000000000001E-3</v>
      </c>
      <c r="Y308">
        <v>2227</v>
      </c>
      <c r="Z308">
        <v>0</v>
      </c>
      <c r="AA308">
        <v>0</v>
      </c>
      <c r="AB308">
        <v>0</v>
      </c>
      <c r="AC308">
        <v>0</v>
      </c>
      <c r="AD308">
        <v>1</v>
      </c>
      <c r="AE308">
        <v>0</v>
      </c>
      <c r="AF308" t="s">
        <v>3</v>
      </c>
      <c r="AG308">
        <v>4.0000000000000001E-3</v>
      </c>
      <c r="AH308">
        <v>2</v>
      </c>
      <c r="AI308">
        <v>52432747</v>
      </c>
      <c r="AJ308">
        <v>322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0</v>
      </c>
    </row>
    <row r="309" spans="1:44" x14ac:dyDescent="0.2">
      <c r="A309">
        <f>ROW(Source!A323)</f>
        <v>323</v>
      </c>
      <c r="B309">
        <v>52432748</v>
      </c>
      <c r="C309">
        <v>52432742</v>
      </c>
      <c r="D309">
        <v>51868874</v>
      </c>
      <c r="E309">
        <v>1</v>
      </c>
      <c r="F309">
        <v>1</v>
      </c>
      <c r="G309">
        <v>27</v>
      </c>
      <c r="H309">
        <v>3</v>
      </c>
      <c r="I309" t="s">
        <v>484</v>
      </c>
      <c r="J309" t="s">
        <v>485</v>
      </c>
      <c r="K309" t="s">
        <v>486</v>
      </c>
      <c r="L309">
        <v>1348</v>
      </c>
      <c r="N309">
        <v>1009</v>
      </c>
      <c r="O309" t="s">
        <v>101</v>
      </c>
      <c r="P309" t="s">
        <v>101</v>
      </c>
      <c r="Q309">
        <v>1000</v>
      </c>
      <c r="X309">
        <v>0.125</v>
      </c>
      <c r="Y309">
        <v>2562.79</v>
      </c>
      <c r="Z309">
        <v>0</v>
      </c>
      <c r="AA309">
        <v>0</v>
      </c>
      <c r="AB309">
        <v>0</v>
      </c>
      <c r="AC309">
        <v>0</v>
      </c>
      <c r="AD309">
        <v>1</v>
      </c>
      <c r="AE309">
        <v>0</v>
      </c>
      <c r="AF309" t="s">
        <v>3</v>
      </c>
      <c r="AG309">
        <v>0.125</v>
      </c>
      <c r="AH309">
        <v>2</v>
      </c>
      <c r="AI309">
        <v>52432748</v>
      </c>
      <c r="AJ309">
        <v>323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</row>
    <row r="310" spans="1:44" x14ac:dyDescent="0.2">
      <c r="A310">
        <f>ROW(Source!A324)</f>
        <v>324</v>
      </c>
      <c r="B310">
        <v>52432750</v>
      </c>
      <c r="C310">
        <v>52432749</v>
      </c>
      <c r="D310">
        <v>51848379</v>
      </c>
      <c r="E310">
        <v>27</v>
      </c>
      <c r="F310">
        <v>1</v>
      </c>
      <c r="G310">
        <v>27</v>
      </c>
      <c r="H310">
        <v>1</v>
      </c>
      <c r="I310" t="s">
        <v>378</v>
      </c>
      <c r="J310" t="s">
        <v>3</v>
      </c>
      <c r="K310" t="s">
        <v>379</v>
      </c>
      <c r="L310">
        <v>1191</v>
      </c>
      <c r="N310">
        <v>1013</v>
      </c>
      <c r="O310" t="s">
        <v>380</v>
      </c>
      <c r="P310" t="s">
        <v>380</v>
      </c>
      <c r="Q310">
        <v>1</v>
      </c>
      <c r="X310">
        <v>0.64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1</v>
      </c>
      <c r="AE310">
        <v>1</v>
      </c>
      <c r="AF310" t="s">
        <v>3</v>
      </c>
      <c r="AG310">
        <v>0.64</v>
      </c>
      <c r="AH310">
        <v>2</v>
      </c>
      <c r="AI310">
        <v>52432750</v>
      </c>
      <c r="AJ310">
        <v>324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</row>
    <row r="311" spans="1:44" x14ac:dyDescent="0.2">
      <c r="A311">
        <f>ROW(Source!A324)</f>
        <v>324</v>
      </c>
      <c r="B311">
        <v>52432751</v>
      </c>
      <c r="C311">
        <v>52432749</v>
      </c>
      <c r="D311">
        <v>51865161</v>
      </c>
      <c r="E311">
        <v>1</v>
      </c>
      <c r="F311">
        <v>1</v>
      </c>
      <c r="G311">
        <v>27</v>
      </c>
      <c r="H311">
        <v>2</v>
      </c>
      <c r="I311" t="s">
        <v>472</v>
      </c>
      <c r="J311" t="s">
        <v>473</v>
      </c>
      <c r="K311" t="s">
        <v>474</v>
      </c>
      <c r="L311">
        <v>1368</v>
      </c>
      <c r="N311">
        <v>1011</v>
      </c>
      <c r="O311" t="s">
        <v>84</v>
      </c>
      <c r="P311" t="s">
        <v>84</v>
      </c>
      <c r="Q311">
        <v>1</v>
      </c>
      <c r="X311">
        <v>0.08</v>
      </c>
      <c r="Y311">
        <v>0</v>
      </c>
      <c r="Z311">
        <v>893.38</v>
      </c>
      <c r="AA311">
        <v>438.65</v>
      </c>
      <c r="AB311">
        <v>0</v>
      </c>
      <c r="AC311">
        <v>0</v>
      </c>
      <c r="AD311">
        <v>1</v>
      </c>
      <c r="AE311">
        <v>0</v>
      </c>
      <c r="AF311" t="s">
        <v>3</v>
      </c>
      <c r="AG311">
        <v>0.08</v>
      </c>
      <c r="AH311">
        <v>2</v>
      </c>
      <c r="AI311">
        <v>52432751</v>
      </c>
      <c r="AJ311">
        <v>325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</row>
    <row r="312" spans="1:44" x14ac:dyDescent="0.2">
      <c r="A312">
        <f>ROW(Source!A324)</f>
        <v>324</v>
      </c>
      <c r="B312">
        <v>52432752</v>
      </c>
      <c r="C312">
        <v>52432749</v>
      </c>
      <c r="D312">
        <v>51864915</v>
      </c>
      <c r="E312">
        <v>1</v>
      </c>
      <c r="F312">
        <v>1</v>
      </c>
      <c r="G312">
        <v>27</v>
      </c>
      <c r="H312">
        <v>2</v>
      </c>
      <c r="I312" t="s">
        <v>475</v>
      </c>
      <c r="J312" t="s">
        <v>476</v>
      </c>
      <c r="K312" t="s">
        <v>477</v>
      </c>
      <c r="L312">
        <v>1368</v>
      </c>
      <c r="N312">
        <v>1011</v>
      </c>
      <c r="O312" t="s">
        <v>84</v>
      </c>
      <c r="P312" t="s">
        <v>84</v>
      </c>
      <c r="Q312">
        <v>1</v>
      </c>
      <c r="X312">
        <v>0.09</v>
      </c>
      <c r="Y312">
        <v>0</v>
      </c>
      <c r="Z312">
        <v>967.89</v>
      </c>
      <c r="AA312">
        <v>572.73</v>
      </c>
      <c r="AB312">
        <v>0</v>
      </c>
      <c r="AC312">
        <v>0</v>
      </c>
      <c r="AD312">
        <v>1</v>
      </c>
      <c r="AE312">
        <v>0</v>
      </c>
      <c r="AF312" t="s">
        <v>3</v>
      </c>
      <c r="AG312">
        <v>0.09</v>
      </c>
      <c r="AH312">
        <v>2</v>
      </c>
      <c r="AI312">
        <v>52432752</v>
      </c>
      <c r="AJ312">
        <v>326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</row>
    <row r="313" spans="1:44" x14ac:dyDescent="0.2">
      <c r="A313">
        <f>ROW(Source!A324)</f>
        <v>324</v>
      </c>
      <c r="B313">
        <v>52432753</v>
      </c>
      <c r="C313">
        <v>52432749</v>
      </c>
      <c r="D313">
        <v>51865037</v>
      </c>
      <c r="E313">
        <v>1</v>
      </c>
      <c r="F313">
        <v>1</v>
      </c>
      <c r="G313">
        <v>27</v>
      </c>
      <c r="H313">
        <v>2</v>
      </c>
      <c r="I313" t="s">
        <v>478</v>
      </c>
      <c r="J313" t="s">
        <v>479</v>
      </c>
      <c r="K313" t="s">
        <v>480</v>
      </c>
      <c r="L313">
        <v>1368</v>
      </c>
      <c r="N313">
        <v>1011</v>
      </c>
      <c r="O313" t="s">
        <v>84</v>
      </c>
      <c r="P313" t="s">
        <v>84</v>
      </c>
      <c r="Q313">
        <v>1</v>
      </c>
      <c r="X313">
        <v>0.14000000000000001</v>
      </c>
      <c r="Y313">
        <v>0</v>
      </c>
      <c r="Z313">
        <v>1028.6300000000001</v>
      </c>
      <c r="AA313">
        <v>539.12</v>
      </c>
      <c r="AB313">
        <v>0</v>
      </c>
      <c r="AC313">
        <v>0</v>
      </c>
      <c r="AD313">
        <v>1</v>
      </c>
      <c r="AE313">
        <v>0</v>
      </c>
      <c r="AF313" t="s">
        <v>3</v>
      </c>
      <c r="AG313">
        <v>0.14000000000000001</v>
      </c>
      <c r="AH313">
        <v>2</v>
      </c>
      <c r="AI313">
        <v>52432753</v>
      </c>
      <c r="AJ313">
        <v>327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</row>
    <row r="314" spans="1:44" x14ac:dyDescent="0.2">
      <c r="A314">
        <f>ROW(Source!A324)</f>
        <v>324</v>
      </c>
      <c r="B314">
        <v>52432754</v>
      </c>
      <c r="C314">
        <v>52432749</v>
      </c>
      <c r="D314">
        <v>51866988</v>
      </c>
      <c r="E314">
        <v>1</v>
      </c>
      <c r="F314">
        <v>1</v>
      </c>
      <c r="G314">
        <v>27</v>
      </c>
      <c r="H314">
        <v>3</v>
      </c>
      <c r="I314" t="s">
        <v>481</v>
      </c>
      <c r="J314" t="s">
        <v>482</v>
      </c>
      <c r="K314" t="s">
        <v>483</v>
      </c>
      <c r="L314">
        <v>1339</v>
      </c>
      <c r="N314">
        <v>1007</v>
      </c>
      <c r="O314" t="s">
        <v>28</v>
      </c>
      <c r="P314" t="s">
        <v>28</v>
      </c>
      <c r="Q314">
        <v>1</v>
      </c>
      <c r="X314">
        <v>4.0000000000000001E-3</v>
      </c>
      <c r="Y314">
        <v>2227</v>
      </c>
      <c r="Z314">
        <v>0</v>
      </c>
      <c r="AA314">
        <v>0</v>
      </c>
      <c r="AB314">
        <v>0</v>
      </c>
      <c r="AC314">
        <v>0</v>
      </c>
      <c r="AD314">
        <v>1</v>
      </c>
      <c r="AE314">
        <v>0</v>
      </c>
      <c r="AF314" t="s">
        <v>3</v>
      </c>
      <c r="AG314">
        <v>4.0000000000000001E-3</v>
      </c>
      <c r="AH314">
        <v>2</v>
      </c>
      <c r="AI314">
        <v>52432754</v>
      </c>
      <c r="AJ314">
        <v>328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</row>
    <row r="315" spans="1:44" x14ac:dyDescent="0.2">
      <c r="A315">
        <f>ROW(Source!A324)</f>
        <v>324</v>
      </c>
      <c r="B315">
        <v>52432755</v>
      </c>
      <c r="C315">
        <v>52432749</v>
      </c>
      <c r="D315">
        <v>51868874</v>
      </c>
      <c r="E315">
        <v>1</v>
      </c>
      <c r="F315">
        <v>1</v>
      </c>
      <c r="G315">
        <v>27</v>
      </c>
      <c r="H315">
        <v>3</v>
      </c>
      <c r="I315" t="s">
        <v>484</v>
      </c>
      <c r="J315" t="s">
        <v>485</v>
      </c>
      <c r="K315" t="s">
        <v>486</v>
      </c>
      <c r="L315">
        <v>1348</v>
      </c>
      <c r="N315">
        <v>1009</v>
      </c>
      <c r="O315" t="s">
        <v>101</v>
      </c>
      <c r="P315" t="s">
        <v>101</v>
      </c>
      <c r="Q315">
        <v>1000</v>
      </c>
      <c r="X315">
        <v>0.125</v>
      </c>
      <c r="Y315">
        <v>2562.79</v>
      </c>
      <c r="Z315">
        <v>0</v>
      </c>
      <c r="AA315">
        <v>0</v>
      </c>
      <c r="AB315">
        <v>0</v>
      </c>
      <c r="AC315">
        <v>0</v>
      </c>
      <c r="AD315">
        <v>1</v>
      </c>
      <c r="AE315">
        <v>0</v>
      </c>
      <c r="AF315" t="s">
        <v>3</v>
      </c>
      <c r="AG315">
        <v>0.125</v>
      </c>
      <c r="AH315">
        <v>2</v>
      </c>
      <c r="AI315">
        <v>52432755</v>
      </c>
      <c r="AJ315">
        <v>329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0</v>
      </c>
    </row>
    <row r="316" spans="1:44" x14ac:dyDescent="0.2">
      <c r="A316">
        <f>ROW(Source!A325)</f>
        <v>325</v>
      </c>
      <c r="B316">
        <v>52432757</v>
      </c>
      <c r="C316">
        <v>52432756</v>
      </c>
      <c r="D316">
        <v>51848379</v>
      </c>
      <c r="E316">
        <v>27</v>
      </c>
      <c r="F316">
        <v>1</v>
      </c>
      <c r="G316">
        <v>27</v>
      </c>
      <c r="H316">
        <v>1</v>
      </c>
      <c r="I316" t="s">
        <v>378</v>
      </c>
      <c r="J316" t="s">
        <v>3</v>
      </c>
      <c r="K316" t="s">
        <v>379</v>
      </c>
      <c r="L316">
        <v>1191</v>
      </c>
      <c r="N316">
        <v>1013</v>
      </c>
      <c r="O316" t="s">
        <v>380</v>
      </c>
      <c r="P316" t="s">
        <v>380</v>
      </c>
      <c r="Q316">
        <v>1</v>
      </c>
      <c r="X316">
        <v>0.66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1</v>
      </c>
      <c r="AE316">
        <v>1</v>
      </c>
      <c r="AF316" t="s">
        <v>3</v>
      </c>
      <c r="AG316">
        <v>0.66</v>
      </c>
      <c r="AH316">
        <v>2</v>
      </c>
      <c r="AI316">
        <v>52432757</v>
      </c>
      <c r="AJ316">
        <v>330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</row>
    <row r="317" spans="1:44" x14ac:dyDescent="0.2">
      <c r="A317">
        <f>ROW(Source!A325)</f>
        <v>325</v>
      </c>
      <c r="B317">
        <v>52432758</v>
      </c>
      <c r="C317">
        <v>52432756</v>
      </c>
      <c r="D317">
        <v>51865159</v>
      </c>
      <c r="E317">
        <v>1</v>
      </c>
      <c r="F317">
        <v>1</v>
      </c>
      <c r="G317">
        <v>27</v>
      </c>
      <c r="H317">
        <v>2</v>
      </c>
      <c r="I317" t="s">
        <v>487</v>
      </c>
      <c r="J317" t="s">
        <v>488</v>
      </c>
      <c r="K317" t="s">
        <v>489</v>
      </c>
      <c r="L317">
        <v>1368</v>
      </c>
      <c r="N317">
        <v>1011</v>
      </c>
      <c r="O317" t="s">
        <v>84</v>
      </c>
      <c r="P317" t="s">
        <v>84</v>
      </c>
      <c r="Q317">
        <v>1</v>
      </c>
      <c r="X317">
        <v>0.13200000000000001</v>
      </c>
      <c r="Y317">
        <v>0</v>
      </c>
      <c r="Z317">
        <v>470.71</v>
      </c>
      <c r="AA317">
        <v>359.8</v>
      </c>
      <c r="AB317">
        <v>0</v>
      </c>
      <c r="AC317">
        <v>0</v>
      </c>
      <c r="AD317">
        <v>1</v>
      </c>
      <c r="AE317">
        <v>0</v>
      </c>
      <c r="AF317" t="s">
        <v>3</v>
      </c>
      <c r="AG317">
        <v>0.13200000000000001</v>
      </c>
      <c r="AH317">
        <v>2</v>
      </c>
      <c r="AI317">
        <v>52432758</v>
      </c>
      <c r="AJ317">
        <v>331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</row>
    <row r="318" spans="1:44" x14ac:dyDescent="0.2">
      <c r="A318">
        <f>ROW(Source!A325)</f>
        <v>325</v>
      </c>
      <c r="B318">
        <v>52432759</v>
      </c>
      <c r="C318">
        <v>52432756</v>
      </c>
      <c r="D318">
        <v>51865613</v>
      </c>
      <c r="E318">
        <v>1</v>
      </c>
      <c r="F318">
        <v>1</v>
      </c>
      <c r="G318">
        <v>27</v>
      </c>
      <c r="H318">
        <v>2</v>
      </c>
      <c r="I318" t="s">
        <v>490</v>
      </c>
      <c r="J318" t="s">
        <v>491</v>
      </c>
      <c r="K318" t="s">
        <v>492</v>
      </c>
      <c r="L318">
        <v>1368</v>
      </c>
      <c r="N318">
        <v>1011</v>
      </c>
      <c r="O318" t="s">
        <v>84</v>
      </c>
      <c r="P318" t="s">
        <v>84</v>
      </c>
      <c r="Q318">
        <v>1</v>
      </c>
      <c r="X318">
        <v>0.05</v>
      </c>
      <c r="Y318">
        <v>0</v>
      </c>
      <c r="Z318">
        <v>1090.94</v>
      </c>
      <c r="AA318">
        <v>389.28</v>
      </c>
      <c r="AB318">
        <v>0</v>
      </c>
      <c r="AC318">
        <v>0</v>
      </c>
      <c r="AD318">
        <v>1</v>
      </c>
      <c r="AE318">
        <v>0</v>
      </c>
      <c r="AF318" t="s">
        <v>3</v>
      </c>
      <c r="AG318">
        <v>0.05</v>
      </c>
      <c r="AH318">
        <v>2</v>
      </c>
      <c r="AI318">
        <v>52432759</v>
      </c>
      <c r="AJ318">
        <v>332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</row>
    <row r="319" spans="1:44" x14ac:dyDescent="0.2">
      <c r="A319">
        <f>ROW(Source!A325)</f>
        <v>325</v>
      </c>
      <c r="B319">
        <v>52432760</v>
      </c>
      <c r="C319">
        <v>52432756</v>
      </c>
      <c r="D319">
        <v>51865675</v>
      </c>
      <c r="E319">
        <v>1</v>
      </c>
      <c r="F319">
        <v>1</v>
      </c>
      <c r="G319">
        <v>27</v>
      </c>
      <c r="H319">
        <v>2</v>
      </c>
      <c r="I319" t="s">
        <v>463</v>
      </c>
      <c r="J319" t="s">
        <v>464</v>
      </c>
      <c r="K319" t="s">
        <v>465</v>
      </c>
      <c r="L319">
        <v>1368</v>
      </c>
      <c r="N319">
        <v>1011</v>
      </c>
      <c r="O319" t="s">
        <v>84</v>
      </c>
      <c r="P319" t="s">
        <v>84</v>
      </c>
      <c r="Q319">
        <v>1</v>
      </c>
      <c r="X319">
        <v>0.13200000000000001</v>
      </c>
      <c r="Y319">
        <v>0</v>
      </c>
      <c r="Z319">
        <v>6.02</v>
      </c>
      <c r="AA319">
        <v>0.02</v>
      </c>
      <c r="AB319">
        <v>0</v>
      </c>
      <c r="AC319">
        <v>0</v>
      </c>
      <c r="AD319">
        <v>1</v>
      </c>
      <c r="AE319">
        <v>0</v>
      </c>
      <c r="AF319" t="s">
        <v>3</v>
      </c>
      <c r="AG319">
        <v>0.13200000000000001</v>
      </c>
      <c r="AH319">
        <v>2</v>
      </c>
      <c r="AI319">
        <v>52432760</v>
      </c>
      <c r="AJ319">
        <v>333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0</v>
      </c>
    </row>
    <row r="320" spans="1:44" x14ac:dyDescent="0.2">
      <c r="A320">
        <f>ROW(Source!A325)</f>
        <v>325</v>
      </c>
      <c r="B320">
        <v>52432761</v>
      </c>
      <c r="C320">
        <v>52432756</v>
      </c>
      <c r="D320">
        <v>51864914</v>
      </c>
      <c r="E320">
        <v>1</v>
      </c>
      <c r="F320">
        <v>1</v>
      </c>
      <c r="G320">
        <v>27</v>
      </c>
      <c r="H320">
        <v>2</v>
      </c>
      <c r="I320" t="s">
        <v>493</v>
      </c>
      <c r="J320" t="s">
        <v>494</v>
      </c>
      <c r="K320" t="s">
        <v>495</v>
      </c>
      <c r="L320">
        <v>1368</v>
      </c>
      <c r="N320">
        <v>1011</v>
      </c>
      <c r="O320" t="s">
        <v>84</v>
      </c>
      <c r="P320" t="s">
        <v>84</v>
      </c>
      <c r="Q320">
        <v>1</v>
      </c>
      <c r="X320">
        <v>8.8999999999999996E-2</v>
      </c>
      <c r="Y320">
        <v>0</v>
      </c>
      <c r="Z320">
        <v>829.85</v>
      </c>
      <c r="AA320">
        <v>457.02</v>
      </c>
      <c r="AB320">
        <v>0</v>
      </c>
      <c r="AC320">
        <v>0</v>
      </c>
      <c r="AD320">
        <v>1</v>
      </c>
      <c r="AE320">
        <v>0</v>
      </c>
      <c r="AF320" t="s">
        <v>3</v>
      </c>
      <c r="AG320">
        <v>8.8999999999999996E-2</v>
      </c>
      <c r="AH320">
        <v>2</v>
      </c>
      <c r="AI320">
        <v>52432761</v>
      </c>
      <c r="AJ320">
        <v>334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</row>
    <row r="321" spans="1:44" x14ac:dyDescent="0.2">
      <c r="A321">
        <f>ROW(Source!A325)</f>
        <v>325</v>
      </c>
      <c r="B321">
        <v>52432762</v>
      </c>
      <c r="C321">
        <v>52432756</v>
      </c>
      <c r="D321">
        <v>51868643</v>
      </c>
      <c r="E321">
        <v>1</v>
      </c>
      <c r="F321">
        <v>1</v>
      </c>
      <c r="G321">
        <v>27</v>
      </c>
      <c r="H321">
        <v>3</v>
      </c>
      <c r="I321" t="s">
        <v>496</v>
      </c>
      <c r="J321" t="s">
        <v>497</v>
      </c>
      <c r="K321" t="s">
        <v>498</v>
      </c>
      <c r="L321">
        <v>1339</v>
      </c>
      <c r="N321">
        <v>1007</v>
      </c>
      <c r="O321" t="s">
        <v>28</v>
      </c>
      <c r="P321" t="s">
        <v>28</v>
      </c>
      <c r="Q321">
        <v>1</v>
      </c>
      <c r="X321">
        <v>5.8999999999999997E-2</v>
      </c>
      <c r="Y321">
        <v>3694.66</v>
      </c>
      <c r="Z321">
        <v>0</v>
      </c>
      <c r="AA321">
        <v>0</v>
      </c>
      <c r="AB321">
        <v>0</v>
      </c>
      <c r="AC321">
        <v>0</v>
      </c>
      <c r="AD321">
        <v>1</v>
      </c>
      <c r="AE321">
        <v>0</v>
      </c>
      <c r="AF321" t="s">
        <v>3</v>
      </c>
      <c r="AG321">
        <v>5.8999999999999997E-2</v>
      </c>
      <c r="AH321">
        <v>2</v>
      </c>
      <c r="AI321">
        <v>52432762</v>
      </c>
      <c r="AJ321">
        <v>335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0</v>
      </c>
      <c r="AQ321">
        <v>0</v>
      </c>
      <c r="AR321">
        <v>0</v>
      </c>
    </row>
    <row r="322" spans="1:44" x14ac:dyDescent="0.2">
      <c r="A322">
        <f>ROW(Source!A325)</f>
        <v>325</v>
      </c>
      <c r="B322">
        <v>52432763</v>
      </c>
      <c r="C322">
        <v>52432756</v>
      </c>
      <c r="D322">
        <v>51868752</v>
      </c>
      <c r="E322">
        <v>1</v>
      </c>
      <c r="F322">
        <v>1</v>
      </c>
      <c r="G322">
        <v>27</v>
      </c>
      <c r="H322">
        <v>3</v>
      </c>
      <c r="I322" t="s">
        <v>451</v>
      </c>
      <c r="J322" t="s">
        <v>452</v>
      </c>
      <c r="K322" t="s">
        <v>453</v>
      </c>
      <c r="L322">
        <v>1339</v>
      </c>
      <c r="N322">
        <v>1007</v>
      </c>
      <c r="O322" t="s">
        <v>28</v>
      </c>
      <c r="P322" t="s">
        <v>28</v>
      </c>
      <c r="Q322">
        <v>1</v>
      </c>
      <c r="X322">
        <v>5.9999999999999995E-4</v>
      </c>
      <c r="Y322">
        <v>3392.59</v>
      </c>
      <c r="Z322">
        <v>0</v>
      </c>
      <c r="AA322">
        <v>0</v>
      </c>
      <c r="AB322">
        <v>0</v>
      </c>
      <c r="AC322">
        <v>0</v>
      </c>
      <c r="AD322">
        <v>1</v>
      </c>
      <c r="AE322">
        <v>0</v>
      </c>
      <c r="AF322" t="s">
        <v>3</v>
      </c>
      <c r="AG322">
        <v>5.9999999999999995E-4</v>
      </c>
      <c r="AH322">
        <v>2</v>
      </c>
      <c r="AI322">
        <v>52432763</v>
      </c>
      <c r="AJ322">
        <v>336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0</v>
      </c>
    </row>
    <row r="323" spans="1:44" x14ac:dyDescent="0.2">
      <c r="A323">
        <f>ROW(Source!A325)</f>
        <v>325</v>
      </c>
      <c r="B323">
        <v>52432764</v>
      </c>
      <c r="C323">
        <v>52432756</v>
      </c>
      <c r="D323">
        <v>51869492</v>
      </c>
      <c r="E323">
        <v>1</v>
      </c>
      <c r="F323">
        <v>1</v>
      </c>
      <c r="G323">
        <v>27</v>
      </c>
      <c r="H323">
        <v>3</v>
      </c>
      <c r="I323" t="s">
        <v>499</v>
      </c>
      <c r="J323" t="s">
        <v>500</v>
      </c>
      <c r="K323" t="s">
        <v>501</v>
      </c>
      <c r="L323">
        <v>1339</v>
      </c>
      <c r="N323">
        <v>1007</v>
      </c>
      <c r="O323" t="s">
        <v>28</v>
      </c>
      <c r="P323" t="s">
        <v>28</v>
      </c>
      <c r="Q323">
        <v>1</v>
      </c>
      <c r="X323">
        <v>4.36E-2</v>
      </c>
      <c r="Y323">
        <v>7833.01</v>
      </c>
      <c r="Z323">
        <v>0</v>
      </c>
      <c r="AA323">
        <v>0</v>
      </c>
      <c r="AB323">
        <v>0</v>
      </c>
      <c r="AC323">
        <v>0</v>
      </c>
      <c r="AD323">
        <v>1</v>
      </c>
      <c r="AE323">
        <v>0</v>
      </c>
      <c r="AF323" t="s">
        <v>3</v>
      </c>
      <c r="AG323">
        <v>4.36E-2</v>
      </c>
      <c r="AH323">
        <v>2</v>
      </c>
      <c r="AI323">
        <v>52432764</v>
      </c>
      <c r="AJ323">
        <v>337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0</v>
      </c>
      <c r="AQ323">
        <v>0</v>
      </c>
      <c r="AR323">
        <v>0</v>
      </c>
    </row>
    <row r="324" spans="1:44" x14ac:dyDescent="0.2">
      <c r="A324">
        <f>ROW(Source!A325)</f>
        <v>325</v>
      </c>
      <c r="B324">
        <v>52432765</v>
      </c>
      <c r="C324">
        <v>52432756</v>
      </c>
      <c r="D324">
        <v>51850459</v>
      </c>
      <c r="E324">
        <v>27</v>
      </c>
      <c r="F324">
        <v>1</v>
      </c>
      <c r="G324">
        <v>27</v>
      </c>
      <c r="H324">
        <v>3</v>
      </c>
      <c r="I324" t="s">
        <v>502</v>
      </c>
      <c r="J324" t="s">
        <v>3</v>
      </c>
      <c r="K324" t="s">
        <v>503</v>
      </c>
      <c r="L324">
        <v>1348</v>
      </c>
      <c r="N324">
        <v>1009</v>
      </c>
      <c r="O324" t="s">
        <v>101</v>
      </c>
      <c r="P324" t="s">
        <v>101</v>
      </c>
      <c r="Q324">
        <v>1000</v>
      </c>
      <c r="X324">
        <v>0.246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1</v>
      </c>
      <c r="AE324">
        <v>0</v>
      </c>
      <c r="AF324" t="s">
        <v>3</v>
      </c>
      <c r="AG324">
        <v>0.246</v>
      </c>
      <c r="AH324">
        <v>2</v>
      </c>
      <c r="AI324">
        <v>52432765</v>
      </c>
      <c r="AJ324">
        <v>338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0</v>
      </c>
    </row>
    <row r="325" spans="1:44" x14ac:dyDescent="0.2">
      <c r="A325">
        <f>ROW(Source!A361)</f>
        <v>361</v>
      </c>
      <c r="B325">
        <v>52433379</v>
      </c>
      <c r="C325">
        <v>52433366</v>
      </c>
      <c r="D325">
        <v>51848379</v>
      </c>
      <c r="E325">
        <v>27</v>
      </c>
      <c r="F325">
        <v>1</v>
      </c>
      <c r="G325">
        <v>27</v>
      </c>
      <c r="H325">
        <v>1</v>
      </c>
      <c r="I325" t="s">
        <v>378</v>
      </c>
      <c r="J325" t="s">
        <v>3</v>
      </c>
      <c r="K325" t="s">
        <v>379</v>
      </c>
      <c r="L325">
        <v>1191</v>
      </c>
      <c r="N325">
        <v>1013</v>
      </c>
      <c r="O325" t="s">
        <v>380</v>
      </c>
      <c r="P325" t="s">
        <v>380</v>
      </c>
      <c r="Q325">
        <v>1</v>
      </c>
      <c r="X325">
        <v>902.75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1</v>
      </c>
      <c r="AE325">
        <v>1</v>
      </c>
      <c r="AF325" t="s">
        <v>3</v>
      </c>
      <c r="AG325">
        <v>902.75</v>
      </c>
      <c r="AH325">
        <v>2</v>
      </c>
      <c r="AI325">
        <v>52433367</v>
      </c>
      <c r="AJ325">
        <v>339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</row>
    <row r="326" spans="1:44" x14ac:dyDescent="0.2">
      <c r="A326">
        <f>ROW(Source!A361)</f>
        <v>361</v>
      </c>
      <c r="B326">
        <v>52433380</v>
      </c>
      <c r="C326">
        <v>52433366</v>
      </c>
      <c r="D326">
        <v>51864800</v>
      </c>
      <c r="E326">
        <v>1</v>
      </c>
      <c r="F326">
        <v>1</v>
      </c>
      <c r="G326">
        <v>27</v>
      </c>
      <c r="H326">
        <v>2</v>
      </c>
      <c r="I326" t="s">
        <v>91</v>
      </c>
      <c r="J326" t="s">
        <v>93</v>
      </c>
      <c r="K326" t="s">
        <v>92</v>
      </c>
      <c r="L326">
        <v>1368</v>
      </c>
      <c r="N326">
        <v>1011</v>
      </c>
      <c r="O326" t="s">
        <v>84</v>
      </c>
      <c r="P326" t="s">
        <v>84</v>
      </c>
      <c r="Q326">
        <v>1</v>
      </c>
      <c r="X326">
        <v>0.09</v>
      </c>
      <c r="Y326">
        <v>0</v>
      </c>
      <c r="Z326">
        <v>1009.65</v>
      </c>
      <c r="AA326">
        <v>554.42999999999995</v>
      </c>
      <c r="AB326">
        <v>0</v>
      </c>
      <c r="AC326">
        <v>0</v>
      </c>
      <c r="AD326">
        <v>1</v>
      </c>
      <c r="AE326">
        <v>0</v>
      </c>
      <c r="AF326" t="s">
        <v>3</v>
      </c>
      <c r="AG326">
        <v>0.09</v>
      </c>
      <c r="AH326">
        <v>2</v>
      </c>
      <c r="AI326">
        <v>52433368</v>
      </c>
      <c r="AJ326">
        <v>340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0</v>
      </c>
      <c r="AR326">
        <v>0</v>
      </c>
    </row>
    <row r="327" spans="1:44" x14ac:dyDescent="0.2">
      <c r="A327">
        <f>ROW(Source!A361)</f>
        <v>361</v>
      </c>
      <c r="B327">
        <v>52433381</v>
      </c>
      <c r="C327">
        <v>52433366</v>
      </c>
      <c r="D327">
        <v>51865257</v>
      </c>
      <c r="E327">
        <v>1</v>
      </c>
      <c r="F327">
        <v>1</v>
      </c>
      <c r="G327">
        <v>27</v>
      </c>
      <c r="H327">
        <v>2</v>
      </c>
      <c r="I327" t="s">
        <v>87</v>
      </c>
      <c r="J327" t="s">
        <v>89</v>
      </c>
      <c r="K327" t="s">
        <v>88</v>
      </c>
      <c r="L327">
        <v>1368</v>
      </c>
      <c r="N327">
        <v>1011</v>
      </c>
      <c r="O327" t="s">
        <v>84</v>
      </c>
      <c r="P327" t="s">
        <v>84</v>
      </c>
      <c r="Q327">
        <v>1</v>
      </c>
      <c r="X327">
        <v>14.5</v>
      </c>
      <c r="Y327">
        <v>0</v>
      </c>
      <c r="Z327">
        <v>27.21</v>
      </c>
      <c r="AA327">
        <v>0.13</v>
      </c>
      <c r="AB327">
        <v>0</v>
      </c>
      <c r="AC327">
        <v>0</v>
      </c>
      <c r="AD327">
        <v>1</v>
      </c>
      <c r="AE327">
        <v>0</v>
      </c>
      <c r="AF327" t="s">
        <v>3</v>
      </c>
      <c r="AG327">
        <v>14.5</v>
      </c>
      <c r="AH327">
        <v>2</v>
      </c>
      <c r="AI327">
        <v>52433369</v>
      </c>
      <c r="AJ327">
        <v>341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0</v>
      </c>
    </row>
    <row r="328" spans="1:44" x14ac:dyDescent="0.2">
      <c r="A328">
        <f>ROW(Source!A361)</f>
        <v>361</v>
      </c>
      <c r="B328">
        <v>52433382</v>
      </c>
      <c r="C328">
        <v>52433366</v>
      </c>
      <c r="D328">
        <v>51865090</v>
      </c>
      <c r="E328">
        <v>1</v>
      </c>
      <c r="F328">
        <v>1</v>
      </c>
      <c r="G328">
        <v>27</v>
      </c>
      <c r="H328">
        <v>2</v>
      </c>
      <c r="I328" t="s">
        <v>82</v>
      </c>
      <c r="J328" t="s">
        <v>85</v>
      </c>
      <c r="K328" t="s">
        <v>83</v>
      </c>
      <c r="L328">
        <v>1368</v>
      </c>
      <c r="N328">
        <v>1011</v>
      </c>
      <c r="O328" t="s">
        <v>84</v>
      </c>
      <c r="P328" t="s">
        <v>84</v>
      </c>
      <c r="Q328">
        <v>1</v>
      </c>
      <c r="X328">
        <v>5.44</v>
      </c>
      <c r="Y328">
        <v>0</v>
      </c>
      <c r="Z328">
        <v>10.82</v>
      </c>
      <c r="AA328">
        <v>2.97</v>
      </c>
      <c r="AB328">
        <v>0</v>
      </c>
      <c r="AC328">
        <v>0</v>
      </c>
      <c r="AD328">
        <v>1</v>
      </c>
      <c r="AE328">
        <v>0</v>
      </c>
      <c r="AF328" t="s">
        <v>3</v>
      </c>
      <c r="AG328">
        <v>5.44</v>
      </c>
      <c r="AH328">
        <v>2</v>
      </c>
      <c r="AI328">
        <v>52433370</v>
      </c>
      <c r="AJ328">
        <v>342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0</v>
      </c>
    </row>
    <row r="329" spans="1:44" x14ac:dyDescent="0.2">
      <c r="A329">
        <f>ROW(Source!A361)</f>
        <v>361</v>
      </c>
      <c r="B329">
        <v>52433383</v>
      </c>
      <c r="C329">
        <v>52433366</v>
      </c>
      <c r="D329">
        <v>51867612</v>
      </c>
      <c r="E329">
        <v>1</v>
      </c>
      <c r="F329">
        <v>1</v>
      </c>
      <c r="G329">
        <v>27</v>
      </c>
      <c r="H329">
        <v>3</v>
      </c>
      <c r="I329" t="s">
        <v>99</v>
      </c>
      <c r="J329" t="s">
        <v>102</v>
      </c>
      <c r="K329" t="s">
        <v>100</v>
      </c>
      <c r="L329">
        <v>1348</v>
      </c>
      <c r="N329">
        <v>1009</v>
      </c>
      <c r="O329" t="s">
        <v>101</v>
      </c>
      <c r="P329" t="s">
        <v>101</v>
      </c>
      <c r="Q329">
        <v>1000</v>
      </c>
      <c r="X329">
        <v>0.02</v>
      </c>
      <c r="Y329">
        <v>110781.14</v>
      </c>
      <c r="Z329">
        <v>0</v>
      </c>
      <c r="AA329">
        <v>0</v>
      </c>
      <c r="AB329">
        <v>0</v>
      </c>
      <c r="AC329">
        <v>0</v>
      </c>
      <c r="AD329">
        <v>1</v>
      </c>
      <c r="AE329">
        <v>0</v>
      </c>
      <c r="AF329" t="s">
        <v>3</v>
      </c>
      <c r="AG329">
        <v>0.02</v>
      </c>
      <c r="AH329">
        <v>2</v>
      </c>
      <c r="AI329">
        <v>52433371</v>
      </c>
      <c r="AJ329">
        <v>343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0</v>
      </c>
      <c r="AQ329">
        <v>0</v>
      </c>
      <c r="AR329">
        <v>0</v>
      </c>
    </row>
    <row r="330" spans="1:44" x14ac:dyDescent="0.2">
      <c r="A330">
        <f>ROW(Source!A361)</f>
        <v>361</v>
      </c>
      <c r="B330">
        <v>52433384</v>
      </c>
      <c r="C330">
        <v>52433366</v>
      </c>
      <c r="D330">
        <v>51866048</v>
      </c>
      <c r="E330">
        <v>1</v>
      </c>
      <c r="F330">
        <v>1</v>
      </c>
      <c r="G330">
        <v>27</v>
      </c>
      <c r="H330">
        <v>3</v>
      </c>
      <c r="I330" t="s">
        <v>77</v>
      </c>
      <c r="J330" t="s">
        <v>80</v>
      </c>
      <c r="K330" t="s">
        <v>78</v>
      </c>
      <c r="L330">
        <v>1356</v>
      </c>
      <c r="N330">
        <v>1010</v>
      </c>
      <c r="O330" t="s">
        <v>79</v>
      </c>
      <c r="P330" t="s">
        <v>79</v>
      </c>
      <c r="Q330">
        <v>1000</v>
      </c>
      <c r="X330">
        <v>3.6999999999999998E-2</v>
      </c>
      <c r="Y330">
        <v>10419.43</v>
      </c>
      <c r="Z330">
        <v>0</v>
      </c>
      <c r="AA330">
        <v>0</v>
      </c>
      <c r="AB330">
        <v>0</v>
      </c>
      <c r="AC330">
        <v>0</v>
      </c>
      <c r="AD330">
        <v>1</v>
      </c>
      <c r="AE330">
        <v>0</v>
      </c>
      <c r="AF330" t="s">
        <v>3</v>
      </c>
      <c r="AG330">
        <v>3.6999999999999998E-2</v>
      </c>
      <c r="AH330">
        <v>2</v>
      </c>
      <c r="AI330">
        <v>52433372</v>
      </c>
      <c r="AJ330">
        <v>344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0</v>
      </c>
    </row>
    <row r="331" spans="1:44" x14ac:dyDescent="0.2">
      <c r="A331">
        <f>ROW(Source!A361)</f>
        <v>361</v>
      </c>
      <c r="B331">
        <v>52433385</v>
      </c>
      <c r="C331">
        <v>52433366</v>
      </c>
      <c r="D331">
        <v>51868609</v>
      </c>
      <c r="E331">
        <v>1</v>
      </c>
      <c r="F331">
        <v>1</v>
      </c>
      <c r="G331">
        <v>27</v>
      </c>
      <c r="H331">
        <v>3</v>
      </c>
      <c r="I331" t="s">
        <v>95</v>
      </c>
      <c r="J331" t="s">
        <v>97</v>
      </c>
      <c r="K331" t="s">
        <v>96</v>
      </c>
      <c r="L331">
        <v>1339</v>
      </c>
      <c r="N331">
        <v>1007</v>
      </c>
      <c r="O331" t="s">
        <v>28</v>
      </c>
      <c r="P331" t="s">
        <v>28</v>
      </c>
      <c r="Q331">
        <v>1</v>
      </c>
      <c r="X331">
        <v>5</v>
      </c>
      <c r="Y331">
        <v>3040.38</v>
      </c>
      <c r="Z331">
        <v>0</v>
      </c>
      <c r="AA331">
        <v>0</v>
      </c>
      <c r="AB331">
        <v>0</v>
      </c>
      <c r="AC331">
        <v>0</v>
      </c>
      <c r="AD331">
        <v>1</v>
      </c>
      <c r="AE331">
        <v>0</v>
      </c>
      <c r="AF331" t="s">
        <v>3</v>
      </c>
      <c r="AG331">
        <v>5</v>
      </c>
      <c r="AH331">
        <v>2</v>
      </c>
      <c r="AI331">
        <v>52433373</v>
      </c>
      <c r="AJ331">
        <v>345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0</v>
      </c>
    </row>
    <row r="332" spans="1:44" x14ac:dyDescent="0.2">
      <c r="A332">
        <f>ROW(Source!A361)</f>
        <v>361</v>
      </c>
      <c r="B332">
        <v>52433386</v>
      </c>
      <c r="C332">
        <v>52433366</v>
      </c>
      <c r="D332">
        <v>51868749</v>
      </c>
      <c r="E332">
        <v>1</v>
      </c>
      <c r="F332">
        <v>1</v>
      </c>
      <c r="G332">
        <v>27</v>
      </c>
      <c r="H332">
        <v>3</v>
      </c>
      <c r="I332" t="s">
        <v>457</v>
      </c>
      <c r="J332" t="s">
        <v>458</v>
      </c>
      <c r="K332" t="s">
        <v>459</v>
      </c>
      <c r="L332">
        <v>1339</v>
      </c>
      <c r="N332">
        <v>1007</v>
      </c>
      <c r="O332" t="s">
        <v>28</v>
      </c>
      <c r="P332" t="s">
        <v>28</v>
      </c>
      <c r="Q332">
        <v>1</v>
      </c>
      <c r="X332">
        <v>1.4999999999999999E-2</v>
      </c>
      <c r="Y332">
        <v>3323.4</v>
      </c>
      <c r="Z332">
        <v>0</v>
      </c>
      <c r="AA332">
        <v>0</v>
      </c>
      <c r="AB332">
        <v>0</v>
      </c>
      <c r="AC332">
        <v>0</v>
      </c>
      <c r="AD332">
        <v>1</v>
      </c>
      <c r="AE332">
        <v>0</v>
      </c>
      <c r="AF332" t="s">
        <v>3</v>
      </c>
      <c r="AG332">
        <v>1.4999999999999999E-2</v>
      </c>
      <c r="AH332">
        <v>2</v>
      </c>
      <c r="AI332">
        <v>52433374</v>
      </c>
      <c r="AJ332">
        <v>346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0</v>
      </c>
      <c r="AQ332">
        <v>0</v>
      </c>
      <c r="AR332">
        <v>0</v>
      </c>
    </row>
    <row r="333" spans="1:44" x14ac:dyDescent="0.2">
      <c r="A333">
        <f>ROW(Source!A361)</f>
        <v>361</v>
      </c>
      <c r="B333">
        <v>52433387</v>
      </c>
      <c r="C333">
        <v>52433366</v>
      </c>
      <c r="D333">
        <v>51848520</v>
      </c>
      <c r="E333">
        <v>27</v>
      </c>
      <c r="F333">
        <v>1</v>
      </c>
      <c r="G333">
        <v>27</v>
      </c>
      <c r="H333">
        <v>3</v>
      </c>
      <c r="I333" t="s">
        <v>516</v>
      </c>
      <c r="J333" t="s">
        <v>3</v>
      </c>
      <c r="K333" t="s">
        <v>517</v>
      </c>
      <c r="L333">
        <v>1354</v>
      </c>
      <c r="N333">
        <v>1010</v>
      </c>
      <c r="O333" t="s">
        <v>106</v>
      </c>
      <c r="P333" t="s">
        <v>106</v>
      </c>
      <c r="Q333">
        <v>1</v>
      </c>
      <c r="X333">
        <v>100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 t="s">
        <v>3</v>
      </c>
      <c r="AG333">
        <v>100</v>
      </c>
      <c r="AH333">
        <v>3</v>
      </c>
      <c r="AI333">
        <v>-1</v>
      </c>
      <c r="AJ333" t="s">
        <v>3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0</v>
      </c>
      <c r="AQ333">
        <v>0</v>
      </c>
      <c r="AR333">
        <v>0</v>
      </c>
    </row>
    <row r="334" spans="1:44" x14ac:dyDescent="0.2">
      <c r="A334">
        <f>ROW(Source!A361)</f>
        <v>361</v>
      </c>
      <c r="B334">
        <v>52433388</v>
      </c>
      <c r="C334">
        <v>52433366</v>
      </c>
      <c r="D334">
        <v>51848525</v>
      </c>
      <c r="E334">
        <v>27</v>
      </c>
      <c r="F334">
        <v>1</v>
      </c>
      <c r="G334">
        <v>27</v>
      </c>
      <c r="H334">
        <v>3</v>
      </c>
      <c r="I334" t="s">
        <v>518</v>
      </c>
      <c r="J334" t="s">
        <v>3</v>
      </c>
      <c r="K334" t="s">
        <v>519</v>
      </c>
      <c r="L334">
        <v>1348</v>
      </c>
      <c r="N334">
        <v>1009</v>
      </c>
      <c r="O334" t="s">
        <v>101</v>
      </c>
      <c r="P334" t="s">
        <v>101</v>
      </c>
      <c r="Q334">
        <v>1000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 t="s">
        <v>3</v>
      </c>
      <c r="AG334">
        <v>0</v>
      </c>
      <c r="AH334">
        <v>3</v>
      </c>
      <c r="AI334">
        <v>-1</v>
      </c>
      <c r="AJ334" t="s">
        <v>3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0</v>
      </c>
      <c r="AQ334">
        <v>0</v>
      </c>
      <c r="AR334">
        <v>0</v>
      </c>
    </row>
    <row r="335" spans="1:44" x14ac:dyDescent="0.2">
      <c r="A335">
        <f>ROW(Source!A407)</f>
        <v>407</v>
      </c>
      <c r="B335">
        <v>52433471</v>
      </c>
      <c r="C335">
        <v>52433458</v>
      </c>
      <c r="D335">
        <v>51848379</v>
      </c>
      <c r="E335">
        <v>27</v>
      </c>
      <c r="F335">
        <v>1</v>
      </c>
      <c r="G335">
        <v>27</v>
      </c>
      <c r="H335">
        <v>1</v>
      </c>
      <c r="I335" t="s">
        <v>378</v>
      </c>
      <c r="J335" t="s">
        <v>3</v>
      </c>
      <c r="K335" t="s">
        <v>379</v>
      </c>
      <c r="L335">
        <v>1191</v>
      </c>
      <c r="N335">
        <v>1013</v>
      </c>
      <c r="O335" t="s">
        <v>380</v>
      </c>
      <c r="P335" t="s">
        <v>380</v>
      </c>
      <c r="Q335">
        <v>1</v>
      </c>
      <c r="X335">
        <v>902.75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1</v>
      </c>
      <c r="AE335">
        <v>1</v>
      </c>
      <c r="AF335" t="s">
        <v>3</v>
      </c>
      <c r="AG335">
        <v>902.75</v>
      </c>
      <c r="AH335">
        <v>2</v>
      </c>
      <c r="AI335">
        <v>52433459</v>
      </c>
      <c r="AJ335">
        <v>351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0</v>
      </c>
      <c r="AQ335">
        <v>0</v>
      </c>
      <c r="AR335">
        <v>0</v>
      </c>
    </row>
    <row r="336" spans="1:44" x14ac:dyDescent="0.2">
      <c r="A336">
        <f>ROW(Source!A407)</f>
        <v>407</v>
      </c>
      <c r="B336">
        <v>52433472</v>
      </c>
      <c r="C336">
        <v>52433458</v>
      </c>
      <c r="D336">
        <v>51864800</v>
      </c>
      <c r="E336">
        <v>1</v>
      </c>
      <c r="F336">
        <v>1</v>
      </c>
      <c r="G336">
        <v>27</v>
      </c>
      <c r="H336">
        <v>2</v>
      </c>
      <c r="I336" t="s">
        <v>91</v>
      </c>
      <c r="J336" t="s">
        <v>93</v>
      </c>
      <c r="K336" t="s">
        <v>92</v>
      </c>
      <c r="L336">
        <v>1368</v>
      </c>
      <c r="N336">
        <v>1011</v>
      </c>
      <c r="O336" t="s">
        <v>84</v>
      </c>
      <c r="P336" t="s">
        <v>84</v>
      </c>
      <c r="Q336">
        <v>1</v>
      </c>
      <c r="X336">
        <v>0.09</v>
      </c>
      <c r="Y336">
        <v>0</v>
      </c>
      <c r="Z336">
        <v>1009.65</v>
      </c>
      <c r="AA336">
        <v>554.42999999999995</v>
      </c>
      <c r="AB336">
        <v>0</v>
      </c>
      <c r="AC336">
        <v>0</v>
      </c>
      <c r="AD336">
        <v>1</v>
      </c>
      <c r="AE336">
        <v>0</v>
      </c>
      <c r="AF336" t="s">
        <v>3</v>
      </c>
      <c r="AG336">
        <v>0.09</v>
      </c>
      <c r="AH336">
        <v>2</v>
      </c>
      <c r="AI336">
        <v>52433460</v>
      </c>
      <c r="AJ336">
        <v>352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0</v>
      </c>
    </row>
    <row r="337" spans="1:44" x14ac:dyDescent="0.2">
      <c r="A337">
        <f>ROW(Source!A407)</f>
        <v>407</v>
      </c>
      <c r="B337">
        <v>52433473</v>
      </c>
      <c r="C337">
        <v>52433458</v>
      </c>
      <c r="D337">
        <v>51865257</v>
      </c>
      <c r="E337">
        <v>1</v>
      </c>
      <c r="F337">
        <v>1</v>
      </c>
      <c r="G337">
        <v>27</v>
      </c>
      <c r="H337">
        <v>2</v>
      </c>
      <c r="I337" t="s">
        <v>87</v>
      </c>
      <c r="J337" t="s">
        <v>89</v>
      </c>
      <c r="K337" t="s">
        <v>88</v>
      </c>
      <c r="L337">
        <v>1368</v>
      </c>
      <c r="N337">
        <v>1011</v>
      </c>
      <c r="O337" t="s">
        <v>84</v>
      </c>
      <c r="P337" t="s">
        <v>84</v>
      </c>
      <c r="Q337">
        <v>1</v>
      </c>
      <c r="X337">
        <v>14.5</v>
      </c>
      <c r="Y337">
        <v>0</v>
      </c>
      <c r="Z337">
        <v>27.21</v>
      </c>
      <c r="AA337">
        <v>0.13</v>
      </c>
      <c r="AB337">
        <v>0</v>
      </c>
      <c r="AC337">
        <v>0</v>
      </c>
      <c r="AD337">
        <v>1</v>
      </c>
      <c r="AE337">
        <v>0</v>
      </c>
      <c r="AF337" t="s">
        <v>3</v>
      </c>
      <c r="AG337">
        <v>14.5</v>
      </c>
      <c r="AH337">
        <v>2</v>
      </c>
      <c r="AI337">
        <v>52433461</v>
      </c>
      <c r="AJ337">
        <v>353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0</v>
      </c>
      <c r="AQ337">
        <v>0</v>
      </c>
      <c r="AR337">
        <v>0</v>
      </c>
    </row>
    <row r="338" spans="1:44" x14ac:dyDescent="0.2">
      <c r="A338">
        <f>ROW(Source!A407)</f>
        <v>407</v>
      </c>
      <c r="B338">
        <v>52433474</v>
      </c>
      <c r="C338">
        <v>52433458</v>
      </c>
      <c r="D338">
        <v>51865090</v>
      </c>
      <c r="E338">
        <v>1</v>
      </c>
      <c r="F338">
        <v>1</v>
      </c>
      <c r="G338">
        <v>27</v>
      </c>
      <c r="H338">
        <v>2</v>
      </c>
      <c r="I338" t="s">
        <v>82</v>
      </c>
      <c r="J338" t="s">
        <v>85</v>
      </c>
      <c r="K338" t="s">
        <v>83</v>
      </c>
      <c r="L338">
        <v>1368</v>
      </c>
      <c r="N338">
        <v>1011</v>
      </c>
      <c r="O338" t="s">
        <v>84</v>
      </c>
      <c r="P338" t="s">
        <v>84</v>
      </c>
      <c r="Q338">
        <v>1</v>
      </c>
      <c r="X338">
        <v>5.44</v>
      </c>
      <c r="Y338">
        <v>0</v>
      </c>
      <c r="Z338">
        <v>10.82</v>
      </c>
      <c r="AA338">
        <v>2.97</v>
      </c>
      <c r="AB338">
        <v>0</v>
      </c>
      <c r="AC338">
        <v>0</v>
      </c>
      <c r="AD338">
        <v>1</v>
      </c>
      <c r="AE338">
        <v>0</v>
      </c>
      <c r="AF338" t="s">
        <v>3</v>
      </c>
      <c r="AG338">
        <v>5.44</v>
      </c>
      <c r="AH338">
        <v>2</v>
      </c>
      <c r="AI338">
        <v>52433462</v>
      </c>
      <c r="AJ338">
        <v>354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0</v>
      </c>
      <c r="AR338">
        <v>0</v>
      </c>
    </row>
    <row r="339" spans="1:44" x14ac:dyDescent="0.2">
      <c r="A339">
        <f>ROW(Source!A407)</f>
        <v>407</v>
      </c>
      <c r="B339">
        <v>52433475</v>
      </c>
      <c r="C339">
        <v>52433458</v>
      </c>
      <c r="D339">
        <v>51867612</v>
      </c>
      <c r="E339">
        <v>1</v>
      </c>
      <c r="F339">
        <v>1</v>
      </c>
      <c r="G339">
        <v>27</v>
      </c>
      <c r="H339">
        <v>3</v>
      </c>
      <c r="I339" t="s">
        <v>99</v>
      </c>
      <c r="J339" t="s">
        <v>102</v>
      </c>
      <c r="K339" t="s">
        <v>100</v>
      </c>
      <c r="L339">
        <v>1348</v>
      </c>
      <c r="N339">
        <v>1009</v>
      </c>
      <c r="O339" t="s">
        <v>101</v>
      </c>
      <c r="P339" t="s">
        <v>101</v>
      </c>
      <c r="Q339">
        <v>1000</v>
      </c>
      <c r="X339">
        <v>0.02</v>
      </c>
      <c r="Y339">
        <v>110781.14</v>
      </c>
      <c r="Z339">
        <v>0</v>
      </c>
      <c r="AA339">
        <v>0</v>
      </c>
      <c r="AB339">
        <v>0</v>
      </c>
      <c r="AC339">
        <v>0</v>
      </c>
      <c r="AD339">
        <v>1</v>
      </c>
      <c r="AE339">
        <v>0</v>
      </c>
      <c r="AF339" t="s">
        <v>3</v>
      </c>
      <c r="AG339">
        <v>0.02</v>
      </c>
      <c r="AH339">
        <v>2</v>
      </c>
      <c r="AI339">
        <v>52433463</v>
      </c>
      <c r="AJ339">
        <v>355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0</v>
      </c>
    </row>
    <row r="340" spans="1:44" x14ac:dyDescent="0.2">
      <c r="A340">
        <f>ROW(Source!A407)</f>
        <v>407</v>
      </c>
      <c r="B340">
        <v>52433476</v>
      </c>
      <c r="C340">
        <v>52433458</v>
      </c>
      <c r="D340">
        <v>51866048</v>
      </c>
      <c r="E340">
        <v>1</v>
      </c>
      <c r="F340">
        <v>1</v>
      </c>
      <c r="G340">
        <v>27</v>
      </c>
      <c r="H340">
        <v>3</v>
      </c>
      <c r="I340" t="s">
        <v>77</v>
      </c>
      <c r="J340" t="s">
        <v>80</v>
      </c>
      <c r="K340" t="s">
        <v>78</v>
      </c>
      <c r="L340">
        <v>1356</v>
      </c>
      <c r="N340">
        <v>1010</v>
      </c>
      <c r="O340" t="s">
        <v>79</v>
      </c>
      <c r="P340" t="s">
        <v>79</v>
      </c>
      <c r="Q340">
        <v>1000</v>
      </c>
      <c r="X340">
        <v>3.6999999999999998E-2</v>
      </c>
      <c r="Y340">
        <v>10419.43</v>
      </c>
      <c r="Z340">
        <v>0</v>
      </c>
      <c r="AA340">
        <v>0</v>
      </c>
      <c r="AB340">
        <v>0</v>
      </c>
      <c r="AC340">
        <v>0</v>
      </c>
      <c r="AD340">
        <v>1</v>
      </c>
      <c r="AE340">
        <v>0</v>
      </c>
      <c r="AF340" t="s">
        <v>3</v>
      </c>
      <c r="AG340">
        <v>3.6999999999999998E-2</v>
      </c>
      <c r="AH340">
        <v>2</v>
      </c>
      <c r="AI340">
        <v>52433464</v>
      </c>
      <c r="AJ340">
        <v>356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0</v>
      </c>
      <c r="AR340">
        <v>0</v>
      </c>
    </row>
    <row r="341" spans="1:44" x14ac:dyDescent="0.2">
      <c r="A341">
        <f>ROW(Source!A407)</f>
        <v>407</v>
      </c>
      <c r="B341">
        <v>52433477</v>
      </c>
      <c r="C341">
        <v>52433458</v>
      </c>
      <c r="D341">
        <v>51868609</v>
      </c>
      <c r="E341">
        <v>1</v>
      </c>
      <c r="F341">
        <v>1</v>
      </c>
      <c r="G341">
        <v>27</v>
      </c>
      <c r="H341">
        <v>3</v>
      </c>
      <c r="I341" t="s">
        <v>95</v>
      </c>
      <c r="J341" t="s">
        <v>97</v>
      </c>
      <c r="K341" t="s">
        <v>96</v>
      </c>
      <c r="L341">
        <v>1339</v>
      </c>
      <c r="N341">
        <v>1007</v>
      </c>
      <c r="O341" t="s">
        <v>28</v>
      </c>
      <c r="P341" t="s">
        <v>28</v>
      </c>
      <c r="Q341">
        <v>1</v>
      </c>
      <c r="X341">
        <v>5</v>
      </c>
      <c r="Y341">
        <v>3040.38</v>
      </c>
      <c r="Z341">
        <v>0</v>
      </c>
      <c r="AA341">
        <v>0</v>
      </c>
      <c r="AB341">
        <v>0</v>
      </c>
      <c r="AC341">
        <v>0</v>
      </c>
      <c r="AD341">
        <v>1</v>
      </c>
      <c r="AE341">
        <v>0</v>
      </c>
      <c r="AF341" t="s">
        <v>3</v>
      </c>
      <c r="AG341">
        <v>5</v>
      </c>
      <c r="AH341">
        <v>2</v>
      </c>
      <c r="AI341">
        <v>52433465</v>
      </c>
      <c r="AJ341">
        <v>357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0</v>
      </c>
    </row>
    <row r="342" spans="1:44" x14ac:dyDescent="0.2">
      <c r="A342">
        <f>ROW(Source!A407)</f>
        <v>407</v>
      </c>
      <c r="B342">
        <v>52433478</v>
      </c>
      <c r="C342">
        <v>52433458</v>
      </c>
      <c r="D342">
        <v>51868749</v>
      </c>
      <c r="E342">
        <v>1</v>
      </c>
      <c r="F342">
        <v>1</v>
      </c>
      <c r="G342">
        <v>27</v>
      </c>
      <c r="H342">
        <v>3</v>
      </c>
      <c r="I342" t="s">
        <v>457</v>
      </c>
      <c r="J342" t="s">
        <v>458</v>
      </c>
      <c r="K342" t="s">
        <v>459</v>
      </c>
      <c r="L342">
        <v>1339</v>
      </c>
      <c r="N342">
        <v>1007</v>
      </c>
      <c r="O342" t="s">
        <v>28</v>
      </c>
      <c r="P342" t="s">
        <v>28</v>
      </c>
      <c r="Q342">
        <v>1</v>
      </c>
      <c r="X342">
        <v>1.4999999999999999E-2</v>
      </c>
      <c r="Y342">
        <v>3323.4</v>
      </c>
      <c r="Z342">
        <v>0</v>
      </c>
      <c r="AA342">
        <v>0</v>
      </c>
      <c r="AB342">
        <v>0</v>
      </c>
      <c r="AC342">
        <v>0</v>
      </c>
      <c r="AD342">
        <v>1</v>
      </c>
      <c r="AE342">
        <v>0</v>
      </c>
      <c r="AF342" t="s">
        <v>3</v>
      </c>
      <c r="AG342">
        <v>1.4999999999999999E-2</v>
      </c>
      <c r="AH342">
        <v>2</v>
      </c>
      <c r="AI342">
        <v>52433466</v>
      </c>
      <c r="AJ342">
        <v>358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0</v>
      </c>
    </row>
    <row r="343" spans="1:44" x14ac:dyDescent="0.2">
      <c r="A343">
        <f>ROW(Source!A407)</f>
        <v>407</v>
      </c>
      <c r="B343">
        <v>52433479</v>
      </c>
      <c r="C343">
        <v>52433458</v>
      </c>
      <c r="D343">
        <v>51848520</v>
      </c>
      <c r="E343">
        <v>27</v>
      </c>
      <c r="F343">
        <v>1</v>
      </c>
      <c r="G343">
        <v>27</v>
      </c>
      <c r="H343">
        <v>3</v>
      </c>
      <c r="I343" t="s">
        <v>516</v>
      </c>
      <c r="J343" t="s">
        <v>3</v>
      </c>
      <c r="K343" t="s">
        <v>517</v>
      </c>
      <c r="L343">
        <v>1354</v>
      </c>
      <c r="N343">
        <v>1010</v>
      </c>
      <c r="O343" t="s">
        <v>106</v>
      </c>
      <c r="P343" t="s">
        <v>106</v>
      </c>
      <c r="Q343">
        <v>1</v>
      </c>
      <c r="X343">
        <v>100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 t="s">
        <v>3</v>
      </c>
      <c r="AG343">
        <v>100</v>
      </c>
      <c r="AH343">
        <v>3</v>
      </c>
      <c r="AI343">
        <v>-1</v>
      </c>
      <c r="AJ343" t="s">
        <v>3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0</v>
      </c>
      <c r="AR343">
        <v>0</v>
      </c>
    </row>
    <row r="344" spans="1:44" x14ac:dyDescent="0.2">
      <c r="A344">
        <f>ROW(Source!A407)</f>
        <v>407</v>
      </c>
      <c r="B344">
        <v>52433480</v>
      </c>
      <c r="C344">
        <v>52433458</v>
      </c>
      <c r="D344">
        <v>51848525</v>
      </c>
      <c r="E344">
        <v>27</v>
      </c>
      <c r="F344">
        <v>1</v>
      </c>
      <c r="G344">
        <v>27</v>
      </c>
      <c r="H344">
        <v>3</v>
      </c>
      <c r="I344" t="s">
        <v>518</v>
      </c>
      <c r="J344" t="s">
        <v>3</v>
      </c>
      <c r="K344" t="s">
        <v>519</v>
      </c>
      <c r="L344">
        <v>1348</v>
      </c>
      <c r="N344">
        <v>1009</v>
      </c>
      <c r="O344" t="s">
        <v>101</v>
      </c>
      <c r="P344" t="s">
        <v>101</v>
      </c>
      <c r="Q344">
        <v>1000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 t="s">
        <v>3</v>
      </c>
      <c r="AG344">
        <v>0</v>
      </c>
      <c r="AH344">
        <v>3</v>
      </c>
      <c r="AI344">
        <v>-1</v>
      </c>
      <c r="AJ344" t="s">
        <v>3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v>0</v>
      </c>
      <c r="AR344">
        <v>0</v>
      </c>
    </row>
    <row r="345" spans="1:44" x14ac:dyDescent="0.2">
      <c r="A345">
        <f>ROW(Source!A452)</f>
        <v>452</v>
      </c>
      <c r="B345">
        <v>52433562</v>
      </c>
      <c r="C345">
        <v>52433549</v>
      </c>
      <c r="D345">
        <v>51848379</v>
      </c>
      <c r="E345">
        <v>27</v>
      </c>
      <c r="F345">
        <v>1</v>
      </c>
      <c r="G345">
        <v>27</v>
      </c>
      <c r="H345">
        <v>1</v>
      </c>
      <c r="I345" t="s">
        <v>378</v>
      </c>
      <c r="J345" t="s">
        <v>3</v>
      </c>
      <c r="K345" t="s">
        <v>379</v>
      </c>
      <c r="L345">
        <v>1191</v>
      </c>
      <c r="N345">
        <v>1013</v>
      </c>
      <c r="O345" t="s">
        <v>380</v>
      </c>
      <c r="P345" t="s">
        <v>380</v>
      </c>
      <c r="Q345">
        <v>1</v>
      </c>
      <c r="X345">
        <v>902.75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1</v>
      </c>
      <c r="AE345">
        <v>1</v>
      </c>
      <c r="AF345" t="s">
        <v>3</v>
      </c>
      <c r="AG345">
        <v>902.75</v>
      </c>
      <c r="AH345">
        <v>2</v>
      </c>
      <c r="AI345">
        <v>52433550</v>
      </c>
      <c r="AJ345">
        <v>362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0</v>
      </c>
      <c r="AQ345">
        <v>0</v>
      </c>
      <c r="AR345">
        <v>0</v>
      </c>
    </row>
    <row r="346" spans="1:44" x14ac:dyDescent="0.2">
      <c r="A346">
        <f>ROW(Source!A452)</f>
        <v>452</v>
      </c>
      <c r="B346">
        <v>52433563</v>
      </c>
      <c r="C346">
        <v>52433549</v>
      </c>
      <c r="D346">
        <v>51864800</v>
      </c>
      <c r="E346">
        <v>1</v>
      </c>
      <c r="F346">
        <v>1</v>
      </c>
      <c r="G346">
        <v>27</v>
      </c>
      <c r="H346">
        <v>2</v>
      </c>
      <c r="I346" t="s">
        <v>91</v>
      </c>
      <c r="J346" t="s">
        <v>93</v>
      </c>
      <c r="K346" t="s">
        <v>92</v>
      </c>
      <c r="L346">
        <v>1368</v>
      </c>
      <c r="N346">
        <v>1011</v>
      </c>
      <c r="O346" t="s">
        <v>84</v>
      </c>
      <c r="P346" t="s">
        <v>84</v>
      </c>
      <c r="Q346">
        <v>1</v>
      </c>
      <c r="X346">
        <v>0.09</v>
      </c>
      <c r="Y346">
        <v>0</v>
      </c>
      <c r="Z346">
        <v>1009.65</v>
      </c>
      <c r="AA346">
        <v>554.42999999999995</v>
      </c>
      <c r="AB346">
        <v>0</v>
      </c>
      <c r="AC346">
        <v>0</v>
      </c>
      <c r="AD346">
        <v>1</v>
      </c>
      <c r="AE346">
        <v>0</v>
      </c>
      <c r="AF346" t="s">
        <v>3</v>
      </c>
      <c r="AG346">
        <v>0.09</v>
      </c>
      <c r="AH346">
        <v>2</v>
      </c>
      <c r="AI346">
        <v>52433551</v>
      </c>
      <c r="AJ346">
        <v>363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0</v>
      </c>
      <c r="AQ346">
        <v>0</v>
      </c>
      <c r="AR346">
        <v>0</v>
      </c>
    </row>
    <row r="347" spans="1:44" x14ac:dyDescent="0.2">
      <c r="A347">
        <f>ROW(Source!A452)</f>
        <v>452</v>
      </c>
      <c r="B347">
        <v>52433564</v>
      </c>
      <c r="C347">
        <v>52433549</v>
      </c>
      <c r="D347">
        <v>51865257</v>
      </c>
      <c r="E347">
        <v>1</v>
      </c>
      <c r="F347">
        <v>1</v>
      </c>
      <c r="G347">
        <v>27</v>
      </c>
      <c r="H347">
        <v>2</v>
      </c>
      <c r="I347" t="s">
        <v>87</v>
      </c>
      <c r="J347" t="s">
        <v>89</v>
      </c>
      <c r="K347" t="s">
        <v>88</v>
      </c>
      <c r="L347">
        <v>1368</v>
      </c>
      <c r="N347">
        <v>1011</v>
      </c>
      <c r="O347" t="s">
        <v>84</v>
      </c>
      <c r="P347" t="s">
        <v>84</v>
      </c>
      <c r="Q347">
        <v>1</v>
      </c>
      <c r="X347">
        <v>14.5</v>
      </c>
      <c r="Y347">
        <v>0</v>
      </c>
      <c r="Z347">
        <v>27.21</v>
      </c>
      <c r="AA347">
        <v>0.13</v>
      </c>
      <c r="AB347">
        <v>0</v>
      </c>
      <c r="AC347">
        <v>0</v>
      </c>
      <c r="AD347">
        <v>1</v>
      </c>
      <c r="AE347">
        <v>0</v>
      </c>
      <c r="AF347" t="s">
        <v>3</v>
      </c>
      <c r="AG347">
        <v>14.5</v>
      </c>
      <c r="AH347">
        <v>2</v>
      </c>
      <c r="AI347">
        <v>52433552</v>
      </c>
      <c r="AJ347">
        <v>364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0</v>
      </c>
      <c r="AQ347">
        <v>0</v>
      </c>
      <c r="AR347">
        <v>0</v>
      </c>
    </row>
    <row r="348" spans="1:44" x14ac:dyDescent="0.2">
      <c r="A348">
        <f>ROW(Source!A452)</f>
        <v>452</v>
      </c>
      <c r="B348">
        <v>52433565</v>
      </c>
      <c r="C348">
        <v>52433549</v>
      </c>
      <c r="D348">
        <v>51865090</v>
      </c>
      <c r="E348">
        <v>1</v>
      </c>
      <c r="F348">
        <v>1</v>
      </c>
      <c r="G348">
        <v>27</v>
      </c>
      <c r="H348">
        <v>2</v>
      </c>
      <c r="I348" t="s">
        <v>82</v>
      </c>
      <c r="J348" t="s">
        <v>85</v>
      </c>
      <c r="K348" t="s">
        <v>83</v>
      </c>
      <c r="L348">
        <v>1368</v>
      </c>
      <c r="N348">
        <v>1011</v>
      </c>
      <c r="O348" t="s">
        <v>84</v>
      </c>
      <c r="P348" t="s">
        <v>84</v>
      </c>
      <c r="Q348">
        <v>1</v>
      </c>
      <c r="X348">
        <v>5.44</v>
      </c>
      <c r="Y348">
        <v>0</v>
      </c>
      <c r="Z348">
        <v>10.82</v>
      </c>
      <c r="AA348">
        <v>2.97</v>
      </c>
      <c r="AB348">
        <v>0</v>
      </c>
      <c r="AC348">
        <v>0</v>
      </c>
      <c r="AD348">
        <v>1</v>
      </c>
      <c r="AE348">
        <v>0</v>
      </c>
      <c r="AF348" t="s">
        <v>3</v>
      </c>
      <c r="AG348">
        <v>5.44</v>
      </c>
      <c r="AH348">
        <v>2</v>
      </c>
      <c r="AI348">
        <v>52433553</v>
      </c>
      <c r="AJ348">
        <v>365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0</v>
      </c>
      <c r="AQ348">
        <v>0</v>
      </c>
      <c r="AR348">
        <v>0</v>
      </c>
    </row>
    <row r="349" spans="1:44" x14ac:dyDescent="0.2">
      <c r="A349">
        <f>ROW(Source!A452)</f>
        <v>452</v>
      </c>
      <c r="B349">
        <v>52433566</v>
      </c>
      <c r="C349">
        <v>52433549</v>
      </c>
      <c r="D349">
        <v>51867612</v>
      </c>
      <c r="E349">
        <v>1</v>
      </c>
      <c r="F349">
        <v>1</v>
      </c>
      <c r="G349">
        <v>27</v>
      </c>
      <c r="H349">
        <v>3</v>
      </c>
      <c r="I349" t="s">
        <v>99</v>
      </c>
      <c r="J349" t="s">
        <v>102</v>
      </c>
      <c r="K349" t="s">
        <v>100</v>
      </c>
      <c r="L349">
        <v>1348</v>
      </c>
      <c r="N349">
        <v>1009</v>
      </c>
      <c r="O349" t="s">
        <v>101</v>
      </c>
      <c r="P349" t="s">
        <v>101</v>
      </c>
      <c r="Q349">
        <v>1000</v>
      </c>
      <c r="X349">
        <v>0.02</v>
      </c>
      <c r="Y349">
        <v>110781.14</v>
      </c>
      <c r="Z349">
        <v>0</v>
      </c>
      <c r="AA349">
        <v>0</v>
      </c>
      <c r="AB349">
        <v>0</v>
      </c>
      <c r="AC349">
        <v>0</v>
      </c>
      <c r="AD349">
        <v>1</v>
      </c>
      <c r="AE349">
        <v>0</v>
      </c>
      <c r="AF349" t="s">
        <v>3</v>
      </c>
      <c r="AG349">
        <v>0.02</v>
      </c>
      <c r="AH349">
        <v>2</v>
      </c>
      <c r="AI349">
        <v>52433554</v>
      </c>
      <c r="AJ349">
        <v>366</v>
      </c>
      <c r="AK349">
        <v>0</v>
      </c>
      <c r="AL349">
        <v>0</v>
      </c>
      <c r="AM349">
        <v>0</v>
      </c>
      <c r="AN349">
        <v>0</v>
      </c>
      <c r="AO349">
        <v>0</v>
      </c>
      <c r="AP349">
        <v>0</v>
      </c>
      <c r="AQ349">
        <v>0</v>
      </c>
      <c r="AR349">
        <v>0</v>
      </c>
    </row>
    <row r="350" spans="1:44" x14ac:dyDescent="0.2">
      <c r="A350">
        <f>ROW(Source!A452)</f>
        <v>452</v>
      </c>
      <c r="B350">
        <v>52433567</v>
      </c>
      <c r="C350">
        <v>52433549</v>
      </c>
      <c r="D350">
        <v>51866048</v>
      </c>
      <c r="E350">
        <v>1</v>
      </c>
      <c r="F350">
        <v>1</v>
      </c>
      <c r="G350">
        <v>27</v>
      </c>
      <c r="H350">
        <v>3</v>
      </c>
      <c r="I350" t="s">
        <v>77</v>
      </c>
      <c r="J350" t="s">
        <v>80</v>
      </c>
      <c r="K350" t="s">
        <v>78</v>
      </c>
      <c r="L350">
        <v>1356</v>
      </c>
      <c r="N350">
        <v>1010</v>
      </c>
      <c r="O350" t="s">
        <v>79</v>
      </c>
      <c r="P350" t="s">
        <v>79</v>
      </c>
      <c r="Q350">
        <v>1000</v>
      </c>
      <c r="X350">
        <v>3.6999999999999998E-2</v>
      </c>
      <c r="Y350">
        <v>10419.43</v>
      </c>
      <c r="Z350">
        <v>0</v>
      </c>
      <c r="AA350">
        <v>0</v>
      </c>
      <c r="AB350">
        <v>0</v>
      </c>
      <c r="AC350">
        <v>0</v>
      </c>
      <c r="AD350">
        <v>1</v>
      </c>
      <c r="AE350">
        <v>0</v>
      </c>
      <c r="AF350" t="s">
        <v>3</v>
      </c>
      <c r="AG350">
        <v>3.6999999999999998E-2</v>
      </c>
      <c r="AH350">
        <v>2</v>
      </c>
      <c r="AI350">
        <v>52433555</v>
      </c>
      <c r="AJ350">
        <v>367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0</v>
      </c>
      <c r="AQ350">
        <v>0</v>
      </c>
      <c r="AR350">
        <v>0</v>
      </c>
    </row>
    <row r="351" spans="1:44" x14ac:dyDescent="0.2">
      <c r="A351">
        <f>ROW(Source!A452)</f>
        <v>452</v>
      </c>
      <c r="B351">
        <v>52433568</v>
      </c>
      <c r="C351">
        <v>52433549</v>
      </c>
      <c r="D351">
        <v>51868609</v>
      </c>
      <c r="E351">
        <v>1</v>
      </c>
      <c r="F351">
        <v>1</v>
      </c>
      <c r="G351">
        <v>27</v>
      </c>
      <c r="H351">
        <v>3</v>
      </c>
      <c r="I351" t="s">
        <v>95</v>
      </c>
      <c r="J351" t="s">
        <v>97</v>
      </c>
      <c r="K351" t="s">
        <v>96</v>
      </c>
      <c r="L351">
        <v>1339</v>
      </c>
      <c r="N351">
        <v>1007</v>
      </c>
      <c r="O351" t="s">
        <v>28</v>
      </c>
      <c r="P351" t="s">
        <v>28</v>
      </c>
      <c r="Q351">
        <v>1</v>
      </c>
      <c r="X351">
        <v>5</v>
      </c>
      <c r="Y351">
        <v>3040.38</v>
      </c>
      <c r="Z351">
        <v>0</v>
      </c>
      <c r="AA351">
        <v>0</v>
      </c>
      <c r="AB351">
        <v>0</v>
      </c>
      <c r="AC351">
        <v>0</v>
      </c>
      <c r="AD351">
        <v>1</v>
      </c>
      <c r="AE351">
        <v>0</v>
      </c>
      <c r="AF351" t="s">
        <v>3</v>
      </c>
      <c r="AG351">
        <v>5</v>
      </c>
      <c r="AH351">
        <v>2</v>
      </c>
      <c r="AI351">
        <v>52433556</v>
      </c>
      <c r="AJ351">
        <v>368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0</v>
      </c>
      <c r="AQ351">
        <v>0</v>
      </c>
      <c r="AR351">
        <v>0</v>
      </c>
    </row>
    <row r="352" spans="1:44" x14ac:dyDescent="0.2">
      <c r="A352">
        <f>ROW(Source!A452)</f>
        <v>452</v>
      </c>
      <c r="B352">
        <v>52433569</v>
      </c>
      <c r="C352">
        <v>52433549</v>
      </c>
      <c r="D352">
        <v>51868749</v>
      </c>
      <c r="E352">
        <v>1</v>
      </c>
      <c r="F352">
        <v>1</v>
      </c>
      <c r="G352">
        <v>27</v>
      </c>
      <c r="H352">
        <v>3</v>
      </c>
      <c r="I352" t="s">
        <v>457</v>
      </c>
      <c r="J352" t="s">
        <v>458</v>
      </c>
      <c r="K352" t="s">
        <v>459</v>
      </c>
      <c r="L352">
        <v>1339</v>
      </c>
      <c r="N352">
        <v>1007</v>
      </c>
      <c r="O352" t="s">
        <v>28</v>
      </c>
      <c r="P352" t="s">
        <v>28</v>
      </c>
      <c r="Q352">
        <v>1</v>
      </c>
      <c r="X352">
        <v>1.4999999999999999E-2</v>
      </c>
      <c r="Y352">
        <v>3323.4</v>
      </c>
      <c r="Z352">
        <v>0</v>
      </c>
      <c r="AA352">
        <v>0</v>
      </c>
      <c r="AB352">
        <v>0</v>
      </c>
      <c r="AC352">
        <v>0</v>
      </c>
      <c r="AD352">
        <v>1</v>
      </c>
      <c r="AE352">
        <v>0</v>
      </c>
      <c r="AF352" t="s">
        <v>3</v>
      </c>
      <c r="AG352">
        <v>1.4999999999999999E-2</v>
      </c>
      <c r="AH352">
        <v>2</v>
      </c>
      <c r="AI352">
        <v>52433557</v>
      </c>
      <c r="AJ352">
        <v>369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0</v>
      </c>
      <c r="AQ352">
        <v>0</v>
      </c>
      <c r="AR352">
        <v>0</v>
      </c>
    </row>
    <row r="353" spans="1:44" x14ac:dyDescent="0.2">
      <c r="A353">
        <f>ROW(Source!A452)</f>
        <v>452</v>
      </c>
      <c r="B353">
        <v>52433570</v>
      </c>
      <c r="C353">
        <v>52433549</v>
      </c>
      <c r="D353">
        <v>51848520</v>
      </c>
      <c r="E353">
        <v>27</v>
      </c>
      <c r="F353">
        <v>1</v>
      </c>
      <c r="G353">
        <v>27</v>
      </c>
      <c r="H353">
        <v>3</v>
      </c>
      <c r="I353" t="s">
        <v>516</v>
      </c>
      <c r="J353" t="s">
        <v>3</v>
      </c>
      <c r="K353" t="s">
        <v>517</v>
      </c>
      <c r="L353">
        <v>1354</v>
      </c>
      <c r="N353">
        <v>1010</v>
      </c>
      <c r="O353" t="s">
        <v>106</v>
      </c>
      <c r="P353" t="s">
        <v>106</v>
      </c>
      <c r="Q353">
        <v>1</v>
      </c>
      <c r="X353">
        <v>100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 t="s">
        <v>3</v>
      </c>
      <c r="AG353">
        <v>100</v>
      </c>
      <c r="AH353">
        <v>3</v>
      </c>
      <c r="AI353">
        <v>-1</v>
      </c>
      <c r="AJ353" t="s">
        <v>3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0</v>
      </c>
      <c r="AQ353">
        <v>0</v>
      </c>
      <c r="AR353">
        <v>0</v>
      </c>
    </row>
    <row r="354" spans="1:44" x14ac:dyDescent="0.2">
      <c r="A354">
        <f>ROW(Source!A452)</f>
        <v>452</v>
      </c>
      <c r="B354">
        <v>52433571</v>
      </c>
      <c r="C354">
        <v>52433549</v>
      </c>
      <c r="D354">
        <v>51848525</v>
      </c>
      <c r="E354">
        <v>27</v>
      </c>
      <c r="F354">
        <v>1</v>
      </c>
      <c r="G354">
        <v>27</v>
      </c>
      <c r="H354">
        <v>3</v>
      </c>
      <c r="I354" t="s">
        <v>518</v>
      </c>
      <c r="J354" t="s">
        <v>3</v>
      </c>
      <c r="K354" t="s">
        <v>519</v>
      </c>
      <c r="L354">
        <v>1348</v>
      </c>
      <c r="N354">
        <v>1009</v>
      </c>
      <c r="O354" t="s">
        <v>101</v>
      </c>
      <c r="P354" t="s">
        <v>101</v>
      </c>
      <c r="Q354">
        <v>1000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 t="s">
        <v>3</v>
      </c>
      <c r="AG354">
        <v>0</v>
      </c>
      <c r="AH354">
        <v>3</v>
      </c>
      <c r="AI354">
        <v>-1</v>
      </c>
      <c r="AJ354" t="s">
        <v>3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0</v>
      </c>
      <c r="AQ354">
        <v>0</v>
      </c>
      <c r="AR354">
        <v>0</v>
      </c>
    </row>
    <row r="355" spans="1:44" x14ac:dyDescent="0.2">
      <c r="A355">
        <f>ROW(Source!A498)</f>
        <v>498</v>
      </c>
      <c r="B355">
        <v>52432125</v>
      </c>
      <c r="C355">
        <v>52432122</v>
      </c>
      <c r="D355">
        <v>51848379</v>
      </c>
      <c r="E355">
        <v>27</v>
      </c>
      <c r="F355">
        <v>1</v>
      </c>
      <c r="G355">
        <v>27</v>
      </c>
      <c r="H355">
        <v>1</v>
      </c>
      <c r="I355" t="s">
        <v>378</v>
      </c>
      <c r="J355" t="s">
        <v>3</v>
      </c>
      <c r="K355" t="s">
        <v>379</v>
      </c>
      <c r="L355">
        <v>1191</v>
      </c>
      <c r="N355">
        <v>1013</v>
      </c>
      <c r="O355" t="s">
        <v>380</v>
      </c>
      <c r="P355" t="s">
        <v>380</v>
      </c>
      <c r="Q355">
        <v>1</v>
      </c>
      <c r="X355">
        <v>0.65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1</v>
      </c>
      <c r="AE355">
        <v>1</v>
      </c>
      <c r="AF355" t="s">
        <v>3</v>
      </c>
      <c r="AG355">
        <v>0.65</v>
      </c>
      <c r="AH355">
        <v>2</v>
      </c>
      <c r="AI355">
        <v>52432123</v>
      </c>
      <c r="AJ355">
        <v>374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0</v>
      </c>
      <c r="AQ355">
        <v>0</v>
      </c>
      <c r="AR355">
        <v>0</v>
      </c>
    </row>
    <row r="356" spans="1:44" x14ac:dyDescent="0.2">
      <c r="A356">
        <f>ROW(Source!A498)</f>
        <v>498</v>
      </c>
      <c r="B356">
        <v>52432126</v>
      </c>
      <c r="C356">
        <v>52432122</v>
      </c>
      <c r="D356">
        <v>51864816</v>
      </c>
      <c r="E356">
        <v>1</v>
      </c>
      <c r="F356">
        <v>1</v>
      </c>
      <c r="G356">
        <v>27</v>
      </c>
      <c r="H356">
        <v>2</v>
      </c>
      <c r="I356" t="s">
        <v>504</v>
      </c>
      <c r="J356" t="s">
        <v>505</v>
      </c>
      <c r="K356" t="s">
        <v>506</v>
      </c>
      <c r="L356">
        <v>1368</v>
      </c>
      <c r="N356">
        <v>1011</v>
      </c>
      <c r="O356" t="s">
        <v>84</v>
      </c>
      <c r="P356" t="s">
        <v>84</v>
      </c>
      <c r="Q356">
        <v>1</v>
      </c>
      <c r="X356">
        <v>0.54</v>
      </c>
      <c r="Y356">
        <v>0</v>
      </c>
      <c r="Z356">
        <v>2268.84</v>
      </c>
      <c r="AA356">
        <v>849.67</v>
      </c>
      <c r="AB356">
        <v>0</v>
      </c>
      <c r="AC356">
        <v>0</v>
      </c>
      <c r="AD356">
        <v>1</v>
      </c>
      <c r="AE356">
        <v>0</v>
      </c>
      <c r="AF356" t="s">
        <v>3</v>
      </c>
      <c r="AG356">
        <v>0.54</v>
      </c>
      <c r="AH356">
        <v>2</v>
      </c>
      <c r="AI356">
        <v>52432124</v>
      </c>
      <c r="AJ356">
        <v>375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0</v>
      </c>
      <c r="AQ356">
        <v>0</v>
      </c>
      <c r="AR356">
        <v>0</v>
      </c>
    </row>
    <row r="357" spans="1:44" x14ac:dyDescent="0.2">
      <c r="A357">
        <f>ROW(Source!A499)</f>
        <v>499</v>
      </c>
      <c r="B357">
        <v>52433586</v>
      </c>
      <c r="C357">
        <v>52432127</v>
      </c>
      <c r="D357">
        <v>51865603</v>
      </c>
      <c r="E357">
        <v>1</v>
      </c>
      <c r="F357">
        <v>1</v>
      </c>
      <c r="G357">
        <v>27</v>
      </c>
      <c r="H357">
        <v>2</v>
      </c>
      <c r="I357" t="s">
        <v>507</v>
      </c>
      <c r="J357" t="s">
        <v>508</v>
      </c>
      <c r="K357" t="s">
        <v>509</v>
      </c>
      <c r="L357">
        <v>1368</v>
      </c>
      <c r="N357">
        <v>1011</v>
      </c>
      <c r="O357" t="s">
        <v>84</v>
      </c>
      <c r="P357" t="s">
        <v>84</v>
      </c>
      <c r="Q357">
        <v>1</v>
      </c>
      <c r="X357">
        <v>3.1E-2</v>
      </c>
      <c r="Y357">
        <v>0</v>
      </c>
      <c r="Z357">
        <v>1014.12</v>
      </c>
      <c r="AA357">
        <v>317.13</v>
      </c>
      <c r="AB357">
        <v>0</v>
      </c>
      <c r="AC357">
        <v>0</v>
      </c>
      <c r="AD357">
        <v>1</v>
      </c>
      <c r="AE357">
        <v>0</v>
      </c>
      <c r="AF357" t="s">
        <v>3</v>
      </c>
      <c r="AG357">
        <v>3.1E-2</v>
      </c>
      <c r="AH357">
        <v>2</v>
      </c>
      <c r="AI357">
        <v>52433586</v>
      </c>
      <c r="AJ357">
        <v>376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0</v>
      </c>
      <c r="AQ357">
        <v>0</v>
      </c>
      <c r="AR357">
        <v>0</v>
      </c>
    </row>
    <row r="358" spans="1:44" x14ac:dyDescent="0.2">
      <c r="A358">
        <f>ROW(Source!A500)</f>
        <v>500</v>
      </c>
      <c r="B358">
        <v>52432132</v>
      </c>
      <c r="C358">
        <v>52432130</v>
      </c>
      <c r="D358">
        <v>51865603</v>
      </c>
      <c r="E358">
        <v>1</v>
      </c>
      <c r="F358">
        <v>1</v>
      </c>
      <c r="G358">
        <v>27</v>
      </c>
      <c r="H358">
        <v>2</v>
      </c>
      <c r="I358" t="s">
        <v>507</v>
      </c>
      <c r="J358" t="s">
        <v>508</v>
      </c>
      <c r="K358" t="s">
        <v>509</v>
      </c>
      <c r="L358">
        <v>1368</v>
      </c>
      <c r="N358">
        <v>1011</v>
      </c>
      <c r="O358" t="s">
        <v>84</v>
      </c>
      <c r="P358" t="s">
        <v>84</v>
      </c>
      <c r="Q358">
        <v>1</v>
      </c>
      <c r="X358">
        <v>0.01</v>
      </c>
      <c r="Y358">
        <v>0</v>
      </c>
      <c r="Z358">
        <v>1014.12</v>
      </c>
      <c r="AA358">
        <v>317.13</v>
      </c>
      <c r="AB358">
        <v>0</v>
      </c>
      <c r="AC358">
        <v>0</v>
      </c>
      <c r="AD358">
        <v>1</v>
      </c>
      <c r="AE358">
        <v>0</v>
      </c>
      <c r="AF358" t="s">
        <v>363</v>
      </c>
      <c r="AG358">
        <v>0.48</v>
      </c>
      <c r="AH358">
        <v>2</v>
      </c>
      <c r="AI358">
        <v>52432131</v>
      </c>
      <c r="AJ358">
        <v>377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0</v>
      </c>
      <c r="AQ358">
        <v>0</v>
      </c>
      <c r="AR358">
        <v>0</v>
      </c>
    </row>
    <row r="359" spans="1:44" x14ac:dyDescent="0.2">
      <c r="A359">
        <f>ROW(Source!A501)</f>
        <v>501</v>
      </c>
      <c r="B359">
        <v>52432135</v>
      </c>
      <c r="C359">
        <v>52432133</v>
      </c>
      <c r="D359">
        <v>51864804</v>
      </c>
      <c r="E359">
        <v>1</v>
      </c>
      <c r="F359">
        <v>1</v>
      </c>
      <c r="G359">
        <v>27</v>
      </c>
      <c r="H359">
        <v>2</v>
      </c>
      <c r="I359" t="s">
        <v>510</v>
      </c>
      <c r="J359" t="s">
        <v>511</v>
      </c>
      <c r="K359" t="s">
        <v>512</v>
      </c>
      <c r="L359">
        <v>1368</v>
      </c>
      <c r="N359">
        <v>1011</v>
      </c>
      <c r="O359" t="s">
        <v>84</v>
      </c>
      <c r="P359" t="s">
        <v>84</v>
      </c>
      <c r="Q359">
        <v>1</v>
      </c>
      <c r="X359">
        <v>5.3699999999999998E-2</v>
      </c>
      <c r="Y359">
        <v>0</v>
      </c>
      <c r="Z359">
        <v>1494.43</v>
      </c>
      <c r="AA359">
        <v>481.21</v>
      </c>
      <c r="AB359">
        <v>0</v>
      </c>
      <c r="AC359">
        <v>0</v>
      </c>
      <c r="AD359">
        <v>1</v>
      </c>
      <c r="AE359">
        <v>0</v>
      </c>
      <c r="AF359" t="s">
        <v>3</v>
      </c>
      <c r="AG359">
        <v>5.3699999999999998E-2</v>
      </c>
      <c r="AH359">
        <v>2</v>
      </c>
      <c r="AI359">
        <v>52432134</v>
      </c>
      <c r="AJ359">
        <v>378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0</v>
      </c>
    </row>
    <row r="360" spans="1:44" x14ac:dyDescent="0.2">
      <c r="A360">
        <f>ROW(Source!A502)</f>
        <v>502</v>
      </c>
      <c r="B360">
        <v>52432139</v>
      </c>
      <c r="C360">
        <v>52432136</v>
      </c>
      <c r="D360">
        <v>51865602</v>
      </c>
      <c r="E360">
        <v>1</v>
      </c>
      <c r="F360">
        <v>1</v>
      </c>
      <c r="G360">
        <v>27</v>
      </c>
      <c r="H360">
        <v>2</v>
      </c>
      <c r="I360" t="s">
        <v>513</v>
      </c>
      <c r="J360" t="s">
        <v>514</v>
      </c>
      <c r="K360" t="s">
        <v>515</v>
      </c>
      <c r="L360">
        <v>1368</v>
      </c>
      <c r="N360">
        <v>1011</v>
      </c>
      <c r="O360" t="s">
        <v>84</v>
      </c>
      <c r="P360" t="s">
        <v>84</v>
      </c>
      <c r="Q360">
        <v>1</v>
      </c>
      <c r="X360">
        <v>0.02</v>
      </c>
      <c r="Y360">
        <v>0</v>
      </c>
      <c r="Z360">
        <v>1009.4</v>
      </c>
      <c r="AA360">
        <v>316.82</v>
      </c>
      <c r="AB360">
        <v>0</v>
      </c>
      <c r="AC360">
        <v>0</v>
      </c>
      <c r="AD360">
        <v>1</v>
      </c>
      <c r="AE360">
        <v>0</v>
      </c>
      <c r="AF360" t="s">
        <v>3</v>
      </c>
      <c r="AG360">
        <v>0.02</v>
      </c>
      <c r="AH360">
        <v>2</v>
      </c>
      <c r="AI360">
        <v>52432137</v>
      </c>
      <c r="AJ360">
        <v>379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0</v>
      </c>
      <c r="AR360">
        <v>0</v>
      </c>
    </row>
    <row r="361" spans="1:44" x14ac:dyDescent="0.2">
      <c r="A361">
        <f>ROW(Source!A502)</f>
        <v>502</v>
      </c>
      <c r="B361">
        <v>52432140</v>
      </c>
      <c r="C361">
        <v>52432136</v>
      </c>
      <c r="D361">
        <v>51865603</v>
      </c>
      <c r="E361">
        <v>1</v>
      </c>
      <c r="F361">
        <v>1</v>
      </c>
      <c r="G361">
        <v>27</v>
      </c>
      <c r="H361">
        <v>2</v>
      </c>
      <c r="I361" t="s">
        <v>507</v>
      </c>
      <c r="J361" t="s">
        <v>508</v>
      </c>
      <c r="K361" t="s">
        <v>509</v>
      </c>
      <c r="L361">
        <v>1368</v>
      </c>
      <c r="N361">
        <v>1011</v>
      </c>
      <c r="O361" t="s">
        <v>84</v>
      </c>
      <c r="P361" t="s">
        <v>84</v>
      </c>
      <c r="Q361">
        <v>1</v>
      </c>
      <c r="X361">
        <v>1.7999999999999999E-2</v>
      </c>
      <c r="Y361">
        <v>0</v>
      </c>
      <c r="Z361">
        <v>1014.12</v>
      </c>
      <c r="AA361">
        <v>317.13</v>
      </c>
      <c r="AB361">
        <v>0</v>
      </c>
      <c r="AC361">
        <v>0</v>
      </c>
      <c r="AD361">
        <v>1</v>
      </c>
      <c r="AE361">
        <v>0</v>
      </c>
      <c r="AF361" t="s">
        <v>3</v>
      </c>
      <c r="AG361">
        <v>1.7999999999999999E-2</v>
      </c>
      <c r="AH361">
        <v>2</v>
      </c>
      <c r="AI361">
        <v>52432138</v>
      </c>
      <c r="AJ361">
        <v>380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0</v>
      </c>
      <c r="AQ361">
        <v>0</v>
      </c>
      <c r="AR361">
        <v>0</v>
      </c>
    </row>
    <row r="362" spans="1:44" x14ac:dyDescent="0.2">
      <c r="A362">
        <f>ROW(Source!A503)</f>
        <v>503</v>
      </c>
      <c r="B362">
        <v>52432144</v>
      </c>
      <c r="C362">
        <v>52432141</v>
      </c>
      <c r="D362">
        <v>51865602</v>
      </c>
      <c r="E362">
        <v>1</v>
      </c>
      <c r="F362">
        <v>1</v>
      </c>
      <c r="G362">
        <v>27</v>
      </c>
      <c r="H362">
        <v>2</v>
      </c>
      <c r="I362" t="s">
        <v>513</v>
      </c>
      <c r="J362" t="s">
        <v>514</v>
      </c>
      <c r="K362" t="s">
        <v>515</v>
      </c>
      <c r="L362">
        <v>1368</v>
      </c>
      <c r="N362">
        <v>1011</v>
      </c>
      <c r="O362" t="s">
        <v>84</v>
      </c>
      <c r="P362" t="s">
        <v>84</v>
      </c>
      <c r="Q362">
        <v>1</v>
      </c>
      <c r="X362">
        <v>0.01</v>
      </c>
      <c r="Y362">
        <v>0</v>
      </c>
      <c r="Z362">
        <v>1009.4</v>
      </c>
      <c r="AA362">
        <v>316.82</v>
      </c>
      <c r="AB362">
        <v>0</v>
      </c>
      <c r="AC362">
        <v>0</v>
      </c>
      <c r="AD362">
        <v>1</v>
      </c>
      <c r="AE362">
        <v>0</v>
      </c>
      <c r="AF362" t="s">
        <v>363</v>
      </c>
      <c r="AG362">
        <v>0.48</v>
      </c>
      <c r="AH362">
        <v>2</v>
      </c>
      <c r="AI362">
        <v>52432142</v>
      </c>
      <c r="AJ362">
        <v>381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0</v>
      </c>
      <c r="AQ362">
        <v>0</v>
      </c>
      <c r="AR362">
        <v>0</v>
      </c>
    </row>
    <row r="363" spans="1:44" x14ac:dyDescent="0.2">
      <c r="A363">
        <f>ROW(Source!A503)</f>
        <v>503</v>
      </c>
      <c r="B363">
        <v>52432145</v>
      </c>
      <c r="C363">
        <v>52432141</v>
      </c>
      <c r="D363">
        <v>51865603</v>
      </c>
      <c r="E363">
        <v>1</v>
      </c>
      <c r="F363">
        <v>1</v>
      </c>
      <c r="G363">
        <v>27</v>
      </c>
      <c r="H363">
        <v>2</v>
      </c>
      <c r="I363" t="s">
        <v>507</v>
      </c>
      <c r="J363" t="s">
        <v>508</v>
      </c>
      <c r="K363" t="s">
        <v>509</v>
      </c>
      <c r="L363">
        <v>1368</v>
      </c>
      <c r="N363">
        <v>1011</v>
      </c>
      <c r="O363" t="s">
        <v>84</v>
      </c>
      <c r="P363" t="s">
        <v>84</v>
      </c>
      <c r="Q363">
        <v>1</v>
      </c>
      <c r="X363">
        <v>8.0000000000000002E-3</v>
      </c>
      <c r="Y363">
        <v>0</v>
      </c>
      <c r="Z363">
        <v>1014.12</v>
      </c>
      <c r="AA363">
        <v>317.13</v>
      </c>
      <c r="AB363">
        <v>0</v>
      </c>
      <c r="AC363">
        <v>0</v>
      </c>
      <c r="AD363">
        <v>1</v>
      </c>
      <c r="AE363">
        <v>0</v>
      </c>
      <c r="AF363" t="s">
        <v>363</v>
      </c>
      <c r="AG363">
        <v>0.38400000000000001</v>
      </c>
      <c r="AH363">
        <v>2</v>
      </c>
      <c r="AI363">
        <v>52432143</v>
      </c>
      <c r="AJ363">
        <v>382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0</v>
      </c>
      <c r="AQ363">
        <v>0</v>
      </c>
      <c r="AR363">
        <v>0</v>
      </c>
    </row>
  </sheetData>
  <printOptions gridLines="1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6</vt:i4>
      </vt:variant>
    </vt:vector>
  </HeadingPairs>
  <TitlesOfParts>
    <vt:vector size="14" baseType="lpstr">
      <vt:lpstr>Смета СН-2012 по гл. 1-5</vt:lpstr>
      <vt:lpstr>Дефектная ведомость</vt:lpstr>
      <vt:lpstr>RV_DATA</vt:lpstr>
      <vt:lpstr>Расчет стоимости ресурсов</vt:lpstr>
      <vt:lpstr>Source</vt:lpstr>
      <vt:lpstr>SourceObSm</vt:lpstr>
      <vt:lpstr>SmtRes</vt:lpstr>
      <vt:lpstr>EtalonRes</vt:lpstr>
      <vt:lpstr>'Дефектная ведомость'!Заголовки_для_печати</vt:lpstr>
      <vt:lpstr>'Расчет стоимости ресурсов'!Заголовки_для_печати</vt:lpstr>
      <vt:lpstr>'Смета СН-2012 по гл. 1-5'!Заголовки_для_печати</vt:lpstr>
      <vt:lpstr>'Дефектная ведомость'!Область_печати</vt:lpstr>
      <vt:lpstr>'Расчет стоимости ресурсов'!Область_печати</vt:lpstr>
      <vt:lpstr>'Смета СН-2012 по гл. 1-5'!Область_печати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GRWQ</cp:lastModifiedBy>
  <dcterms:created xsi:type="dcterms:W3CDTF">2021-05-13T08:12:55Z</dcterms:created>
  <dcterms:modified xsi:type="dcterms:W3CDTF">2021-05-13T08:15:24Z</dcterms:modified>
</cp:coreProperties>
</file>