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Z:\1. ПЭО, Бухгалтерия, ТОРГИ\Закупки 2020\44 ФЗ\Компенсационное озеленение\05.10.2020\"/>
    </mc:Choice>
  </mc:AlternateContent>
  <xr:revisionPtr revIDLastSave="0" documentId="13_ncr:1_{1B069332-DB91-43A4-A061-FFED0435CD3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Смета СН-2012 по гл. 1-5" sheetId="5" r:id="rId1"/>
    <sheet name="RV_DATA" sheetId="7" state="hidden" r:id="rId2"/>
    <sheet name="Расчет стоимости ресурсов" sheetId="6" r:id="rId3"/>
    <sheet name="Дефектная ведомость" sheetId="8" r:id="rId4"/>
    <sheet name="Source" sheetId="1" r:id="rId5"/>
    <sheet name="SourceObSm" sheetId="2" state="hidden" r:id="rId6"/>
    <sheet name="SmtRes" sheetId="3" state="hidden" r:id="rId7"/>
    <sheet name="EtalonRes" sheetId="4" state="hidden" r:id="rId8"/>
  </sheets>
  <definedNames>
    <definedName name="_xlnm.Print_Titles" localSheetId="3">'Дефектная ведомость'!$18:$18</definedName>
    <definedName name="_xlnm.Print_Titles" localSheetId="2">'Расчет стоимости ресурсов'!$4:$7</definedName>
    <definedName name="_xlnm.Print_Titles" localSheetId="0">'Смета СН-2012 по гл. 1-5'!$30:$30</definedName>
    <definedName name="_xlnm.Print_Area" localSheetId="3">'Дефектная ведомость'!$A$1:$E$64</definedName>
    <definedName name="_xlnm.Print_Area" localSheetId="2">'Расчет стоимости ресурсов'!$A$1:$F$24</definedName>
    <definedName name="_xlnm.Print_Area" localSheetId="0">'Смета СН-2012 по гл. 1-5'!$A$1:$K$318</definedName>
  </definedNames>
  <calcPr calcId="181029"/>
</workbook>
</file>

<file path=xl/calcChain.xml><?xml version="1.0" encoding="utf-8"?>
<calcChain xmlns="http://schemas.openxmlformats.org/spreadsheetml/2006/main">
  <c r="C59" i="8" l="1"/>
  <c r="B59" i="8"/>
  <c r="A59" i="8"/>
  <c r="C58" i="8"/>
  <c r="B58" i="8"/>
  <c r="A58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A51" i="8"/>
  <c r="C50" i="8"/>
  <c r="B50" i="8"/>
  <c r="A50" i="8"/>
  <c r="C49" i="8"/>
  <c r="B49" i="8"/>
  <c r="A49" i="8"/>
  <c r="C48" i="8"/>
  <c r="B48" i="8"/>
  <c r="A48" i="8"/>
  <c r="D47" i="8"/>
  <c r="C47" i="8"/>
  <c r="B47" i="8"/>
  <c r="A47" i="8"/>
  <c r="D46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A41" i="8"/>
  <c r="AE40" i="8"/>
  <c r="A40" i="8"/>
  <c r="C39" i="8"/>
  <c r="B39" i="8"/>
  <c r="A39" i="8"/>
  <c r="C38" i="8"/>
  <c r="B38" i="8"/>
  <c r="A38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A31" i="8"/>
  <c r="C30" i="8"/>
  <c r="B30" i="8"/>
  <c r="A30" i="8"/>
  <c r="C29" i="8"/>
  <c r="B29" i="8"/>
  <c r="A29" i="8"/>
  <c r="C28" i="8"/>
  <c r="B28" i="8"/>
  <c r="A28" i="8"/>
  <c r="D27" i="8"/>
  <c r="C27" i="8"/>
  <c r="B27" i="8"/>
  <c r="A27" i="8"/>
  <c r="D26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A21" i="8"/>
  <c r="AE20" i="8"/>
  <c r="A20" i="8"/>
  <c r="A19" i="8"/>
  <c r="A12" i="8"/>
  <c r="A11" i="8"/>
  <c r="A1" i="8"/>
  <c r="U68" i="7"/>
  <c r="S68" i="7"/>
  <c r="P68" i="7"/>
  <c r="N68" i="7"/>
  <c r="K68" i="7"/>
  <c r="J68" i="7"/>
  <c r="H68" i="7"/>
  <c r="G68" i="7"/>
  <c r="F68" i="7"/>
  <c r="E68" i="7"/>
  <c r="A68" i="7"/>
  <c r="U67" i="7"/>
  <c r="S67" i="7"/>
  <c r="P67" i="7"/>
  <c r="N67" i="7"/>
  <c r="K67" i="7"/>
  <c r="J67" i="7"/>
  <c r="H67" i="7"/>
  <c r="G67" i="7"/>
  <c r="F67" i="7"/>
  <c r="E67" i="7"/>
  <c r="A67" i="7"/>
  <c r="U66" i="7"/>
  <c r="S66" i="7"/>
  <c r="P66" i="7"/>
  <c r="N66" i="7"/>
  <c r="K66" i="7"/>
  <c r="J66" i="7"/>
  <c r="H66" i="7"/>
  <c r="G66" i="7"/>
  <c r="F66" i="7"/>
  <c r="E66" i="7"/>
  <c r="A66" i="7"/>
  <c r="U65" i="7"/>
  <c r="S65" i="7"/>
  <c r="P65" i="7"/>
  <c r="N65" i="7"/>
  <c r="K65" i="7"/>
  <c r="J65" i="7"/>
  <c r="H65" i="7"/>
  <c r="G65" i="7"/>
  <c r="F65" i="7"/>
  <c r="E65" i="7"/>
  <c r="A65" i="7"/>
  <c r="U64" i="7"/>
  <c r="S64" i="7"/>
  <c r="P64" i="7"/>
  <c r="N64" i="7"/>
  <c r="K64" i="7"/>
  <c r="J64" i="7"/>
  <c r="H64" i="7"/>
  <c r="G64" i="7"/>
  <c r="F64" i="7"/>
  <c r="E64" i="7"/>
  <c r="A64" i="7"/>
  <c r="G63" i="7"/>
  <c r="A63" i="7"/>
  <c r="U62" i="7"/>
  <c r="H62" i="7"/>
  <c r="G62" i="7"/>
  <c r="F62" i="7"/>
  <c r="E62" i="7"/>
  <c r="D62" i="7"/>
  <c r="A62" i="7"/>
  <c r="U61" i="7"/>
  <c r="S61" i="7"/>
  <c r="P61" i="7"/>
  <c r="N61" i="7"/>
  <c r="K61" i="7"/>
  <c r="J61" i="7"/>
  <c r="H61" i="7"/>
  <c r="G61" i="7"/>
  <c r="F61" i="7"/>
  <c r="E61" i="7"/>
  <c r="A61" i="7"/>
  <c r="U60" i="7"/>
  <c r="S60" i="7"/>
  <c r="P60" i="7"/>
  <c r="N60" i="7"/>
  <c r="K60" i="7"/>
  <c r="J60" i="7"/>
  <c r="H60" i="7"/>
  <c r="G60" i="7"/>
  <c r="F60" i="7"/>
  <c r="E60" i="7"/>
  <c r="A60" i="7"/>
  <c r="U59" i="7"/>
  <c r="S59" i="7"/>
  <c r="P59" i="7"/>
  <c r="N59" i="7"/>
  <c r="K59" i="7"/>
  <c r="J59" i="7"/>
  <c r="H59" i="7"/>
  <c r="G59" i="7"/>
  <c r="F59" i="7"/>
  <c r="E59" i="7"/>
  <c r="A59" i="7"/>
  <c r="U58" i="7"/>
  <c r="S58" i="7"/>
  <c r="P58" i="7"/>
  <c r="N58" i="7"/>
  <c r="K58" i="7"/>
  <c r="J58" i="7"/>
  <c r="H58" i="7"/>
  <c r="G58" i="7"/>
  <c r="F58" i="7"/>
  <c r="E58" i="7"/>
  <c r="A58" i="7"/>
  <c r="U57" i="7"/>
  <c r="S57" i="7"/>
  <c r="P57" i="7"/>
  <c r="N57" i="7"/>
  <c r="K57" i="7"/>
  <c r="J57" i="7"/>
  <c r="H57" i="7"/>
  <c r="G57" i="7"/>
  <c r="F57" i="7"/>
  <c r="E57" i="7"/>
  <c r="A57" i="7"/>
  <c r="U56" i="7"/>
  <c r="S56" i="7"/>
  <c r="P56" i="7"/>
  <c r="N56" i="7"/>
  <c r="K56" i="7"/>
  <c r="J56" i="7"/>
  <c r="H56" i="7"/>
  <c r="G56" i="7"/>
  <c r="F56" i="7"/>
  <c r="E56" i="7"/>
  <c r="A56" i="7"/>
  <c r="U55" i="7"/>
  <c r="S55" i="7"/>
  <c r="P55" i="7"/>
  <c r="N55" i="7"/>
  <c r="K55" i="7"/>
  <c r="J55" i="7"/>
  <c r="H55" i="7"/>
  <c r="G55" i="7"/>
  <c r="F55" i="7"/>
  <c r="E55" i="7"/>
  <c r="A55" i="7"/>
  <c r="U54" i="7"/>
  <c r="S54" i="7"/>
  <c r="P54" i="7"/>
  <c r="N54" i="7"/>
  <c r="K54" i="7"/>
  <c r="J54" i="7"/>
  <c r="H54" i="7"/>
  <c r="G54" i="7"/>
  <c r="F54" i="7"/>
  <c r="E54" i="7"/>
  <c r="A54" i="7"/>
  <c r="G53" i="7"/>
  <c r="A53" i="7"/>
  <c r="U52" i="7"/>
  <c r="H52" i="7"/>
  <c r="G52" i="7"/>
  <c r="F52" i="7"/>
  <c r="E52" i="7"/>
  <c r="D52" i="7"/>
  <c r="A52" i="7"/>
  <c r="U51" i="7"/>
  <c r="S51" i="7"/>
  <c r="P51" i="7"/>
  <c r="N51" i="7"/>
  <c r="K51" i="7"/>
  <c r="J51" i="7"/>
  <c r="H51" i="7"/>
  <c r="G51" i="7"/>
  <c r="F51" i="7"/>
  <c r="E51" i="7"/>
  <c r="A51" i="7"/>
  <c r="U50" i="7"/>
  <c r="S50" i="7"/>
  <c r="P50" i="7"/>
  <c r="N50" i="7"/>
  <c r="K50" i="7"/>
  <c r="J50" i="7"/>
  <c r="H50" i="7"/>
  <c r="G50" i="7"/>
  <c r="F50" i="7"/>
  <c r="E50" i="7"/>
  <c r="A50" i="7"/>
  <c r="U49" i="7"/>
  <c r="S49" i="7"/>
  <c r="P49" i="7"/>
  <c r="N49" i="7"/>
  <c r="K49" i="7"/>
  <c r="J49" i="7"/>
  <c r="H49" i="7"/>
  <c r="G49" i="7"/>
  <c r="F49" i="7"/>
  <c r="E49" i="7"/>
  <c r="A49" i="7"/>
  <c r="U48" i="7"/>
  <c r="S48" i="7"/>
  <c r="P48" i="7"/>
  <c r="N48" i="7"/>
  <c r="K48" i="7"/>
  <c r="J48" i="7"/>
  <c r="H48" i="7"/>
  <c r="G48" i="7"/>
  <c r="F48" i="7"/>
  <c r="E48" i="7"/>
  <c r="A48" i="7"/>
  <c r="U47" i="7"/>
  <c r="S47" i="7"/>
  <c r="P47" i="7"/>
  <c r="N47" i="7"/>
  <c r="K47" i="7"/>
  <c r="J47" i="7"/>
  <c r="H47" i="7"/>
  <c r="G47" i="7"/>
  <c r="F47" i="7"/>
  <c r="E47" i="7"/>
  <c r="A47" i="7"/>
  <c r="U46" i="7"/>
  <c r="S46" i="7"/>
  <c r="P46" i="7"/>
  <c r="N46" i="7"/>
  <c r="K46" i="7"/>
  <c r="J46" i="7"/>
  <c r="H46" i="7"/>
  <c r="G46" i="7"/>
  <c r="F46" i="7"/>
  <c r="E46" i="7"/>
  <c r="A46" i="7"/>
  <c r="U45" i="7"/>
  <c r="S45" i="7"/>
  <c r="P45" i="7"/>
  <c r="N45" i="7"/>
  <c r="K45" i="7"/>
  <c r="J45" i="7"/>
  <c r="H45" i="7"/>
  <c r="G45" i="7"/>
  <c r="F45" i="7"/>
  <c r="E45" i="7"/>
  <c r="A45" i="7"/>
  <c r="U44" i="7"/>
  <c r="S44" i="7"/>
  <c r="P44" i="7"/>
  <c r="N44" i="7"/>
  <c r="K44" i="7"/>
  <c r="J44" i="7"/>
  <c r="H44" i="7"/>
  <c r="G44" i="7"/>
  <c r="F44" i="7"/>
  <c r="E44" i="7"/>
  <c r="A44" i="7"/>
  <c r="U43" i="7"/>
  <c r="S43" i="7"/>
  <c r="P43" i="7"/>
  <c r="N43" i="7"/>
  <c r="K43" i="7"/>
  <c r="J43" i="7"/>
  <c r="H43" i="7"/>
  <c r="G43" i="7"/>
  <c r="F43" i="7"/>
  <c r="E43" i="7"/>
  <c r="A43" i="7"/>
  <c r="U42" i="7"/>
  <c r="S42" i="7"/>
  <c r="P42" i="7"/>
  <c r="N42" i="7"/>
  <c r="K42" i="7"/>
  <c r="J42" i="7"/>
  <c r="H42" i="7"/>
  <c r="G42" i="7"/>
  <c r="F42" i="7"/>
  <c r="E42" i="7"/>
  <c r="A42" i="7"/>
  <c r="U41" i="7"/>
  <c r="S41" i="7"/>
  <c r="P41" i="7"/>
  <c r="N41" i="7"/>
  <c r="K41" i="7"/>
  <c r="J41" i="7"/>
  <c r="H41" i="7"/>
  <c r="G41" i="7"/>
  <c r="F41" i="7"/>
  <c r="E41" i="7"/>
  <c r="A41" i="7"/>
  <c r="U40" i="7"/>
  <c r="S40" i="7"/>
  <c r="P40" i="7"/>
  <c r="N40" i="7"/>
  <c r="K40" i="7"/>
  <c r="J40" i="7"/>
  <c r="H40" i="7"/>
  <c r="G40" i="7"/>
  <c r="F40" i="7"/>
  <c r="E40" i="7"/>
  <c r="A40" i="7"/>
  <c r="G39" i="7"/>
  <c r="A39" i="7"/>
  <c r="G38" i="7"/>
  <c r="A38" i="7"/>
  <c r="U37" i="7"/>
  <c r="S37" i="7"/>
  <c r="P37" i="7"/>
  <c r="N37" i="7"/>
  <c r="E18" i="6" s="1"/>
  <c r="K37" i="7"/>
  <c r="J37" i="7"/>
  <c r="H37" i="7"/>
  <c r="G37" i="7"/>
  <c r="F37" i="7"/>
  <c r="E37" i="7"/>
  <c r="A37" i="7"/>
  <c r="U36" i="7"/>
  <c r="S36" i="7"/>
  <c r="P36" i="7"/>
  <c r="N36" i="7"/>
  <c r="E19" i="6" s="1"/>
  <c r="K36" i="7"/>
  <c r="J36" i="7"/>
  <c r="H36" i="7"/>
  <c r="G36" i="7"/>
  <c r="F36" i="7"/>
  <c r="E36" i="7"/>
  <c r="A36" i="7"/>
  <c r="U35" i="7"/>
  <c r="S35" i="7"/>
  <c r="P35" i="7"/>
  <c r="N35" i="7"/>
  <c r="K35" i="7"/>
  <c r="J35" i="7"/>
  <c r="H35" i="7"/>
  <c r="G35" i="7"/>
  <c r="F35" i="7"/>
  <c r="E35" i="7"/>
  <c r="A35" i="7"/>
  <c r="U34" i="7"/>
  <c r="S34" i="7"/>
  <c r="P34" i="7"/>
  <c r="N34" i="7"/>
  <c r="K34" i="7"/>
  <c r="J34" i="7"/>
  <c r="H34" i="7"/>
  <c r="G34" i="7"/>
  <c r="F34" i="7"/>
  <c r="E34" i="7"/>
  <c r="A34" i="7"/>
  <c r="U33" i="7"/>
  <c r="S33" i="7"/>
  <c r="P33" i="7"/>
  <c r="N33" i="7"/>
  <c r="K33" i="7"/>
  <c r="J33" i="7"/>
  <c r="H33" i="7"/>
  <c r="G33" i="7"/>
  <c r="F33" i="7"/>
  <c r="E33" i="7"/>
  <c r="A33" i="7"/>
  <c r="G32" i="7"/>
  <c r="A32" i="7"/>
  <c r="U31" i="7"/>
  <c r="H31" i="7"/>
  <c r="G31" i="7"/>
  <c r="F31" i="7"/>
  <c r="E31" i="7"/>
  <c r="D31" i="7"/>
  <c r="A31" i="7"/>
  <c r="U30" i="7"/>
  <c r="S30" i="7"/>
  <c r="P30" i="7"/>
  <c r="N30" i="7"/>
  <c r="K30" i="7"/>
  <c r="J30" i="7"/>
  <c r="H30" i="7"/>
  <c r="G30" i="7"/>
  <c r="F30" i="7"/>
  <c r="E30" i="7"/>
  <c r="A30" i="7"/>
  <c r="U29" i="7"/>
  <c r="S29" i="7"/>
  <c r="P29" i="7"/>
  <c r="N29" i="7"/>
  <c r="K29" i="7"/>
  <c r="J29" i="7"/>
  <c r="H29" i="7"/>
  <c r="G29" i="7"/>
  <c r="F29" i="7"/>
  <c r="E29" i="7"/>
  <c r="A29" i="7"/>
  <c r="U28" i="7"/>
  <c r="S28" i="7"/>
  <c r="P28" i="7"/>
  <c r="N28" i="7"/>
  <c r="K28" i="7"/>
  <c r="J28" i="7"/>
  <c r="H28" i="7"/>
  <c r="G28" i="7"/>
  <c r="F28" i="7"/>
  <c r="E28" i="7"/>
  <c r="A28" i="7"/>
  <c r="U27" i="7"/>
  <c r="S27" i="7"/>
  <c r="P27" i="7"/>
  <c r="N27" i="7"/>
  <c r="K27" i="7"/>
  <c r="J27" i="7"/>
  <c r="H27" i="7"/>
  <c r="G27" i="7"/>
  <c r="F27" i="7"/>
  <c r="E27" i="7"/>
  <c r="A27" i="7"/>
  <c r="U26" i="7"/>
  <c r="S26" i="7"/>
  <c r="P26" i="7"/>
  <c r="N26" i="7"/>
  <c r="K26" i="7"/>
  <c r="J26" i="7"/>
  <c r="H26" i="7"/>
  <c r="G26" i="7"/>
  <c r="F26" i="7"/>
  <c r="E26" i="7"/>
  <c r="A26" i="7"/>
  <c r="U25" i="7"/>
  <c r="S25" i="7"/>
  <c r="P25" i="7"/>
  <c r="N25" i="7"/>
  <c r="K25" i="7"/>
  <c r="J25" i="7"/>
  <c r="H25" i="7"/>
  <c r="G25" i="7"/>
  <c r="F25" i="7"/>
  <c r="E25" i="7"/>
  <c r="A25" i="7"/>
  <c r="U24" i="7"/>
  <c r="S24" i="7"/>
  <c r="P24" i="7"/>
  <c r="N24" i="7"/>
  <c r="K24" i="7"/>
  <c r="J24" i="7"/>
  <c r="H24" i="7"/>
  <c r="G24" i="7"/>
  <c r="F24" i="7"/>
  <c r="E24" i="7"/>
  <c r="A24" i="7"/>
  <c r="U23" i="7"/>
  <c r="S23" i="7"/>
  <c r="P23" i="7"/>
  <c r="N23" i="7"/>
  <c r="K23" i="7"/>
  <c r="J23" i="7"/>
  <c r="H23" i="7"/>
  <c r="G23" i="7"/>
  <c r="F23" i="7"/>
  <c r="E23" i="7"/>
  <c r="A23" i="7"/>
  <c r="G22" i="7"/>
  <c r="A22" i="7"/>
  <c r="U21" i="7"/>
  <c r="H21" i="7"/>
  <c r="G21" i="7"/>
  <c r="F21" i="7"/>
  <c r="E21" i="7"/>
  <c r="D21" i="7"/>
  <c r="A21" i="7"/>
  <c r="U20" i="7"/>
  <c r="S20" i="7"/>
  <c r="P20" i="7"/>
  <c r="N20" i="7"/>
  <c r="E10" i="6" s="1"/>
  <c r="K20" i="7"/>
  <c r="J20" i="7"/>
  <c r="H20" i="7"/>
  <c r="G20" i="7"/>
  <c r="F20" i="7"/>
  <c r="E20" i="7"/>
  <c r="A20" i="7"/>
  <c r="U19" i="7"/>
  <c r="S19" i="7"/>
  <c r="P19" i="7"/>
  <c r="N19" i="7"/>
  <c r="E12" i="6" s="1"/>
  <c r="K19" i="7"/>
  <c r="J19" i="7"/>
  <c r="H19" i="7"/>
  <c r="G19" i="7"/>
  <c r="F19" i="7"/>
  <c r="E19" i="7"/>
  <c r="A19" i="7"/>
  <c r="U18" i="7"/>
  <c r="S18" i="7"/>
  <c r="P18" i="7"/>
  <c r="N18" i="7"/>
  <c r="E13" i="6" s="1"/>
  <c r="K18" i="7"/>
  <c r="J18" i="7"/>
  <c r="H18" i="7"/>
  <c r="G18" i="7"/>
  <c r="F18" i="7"/>
  <c r="E18" i="7"/>
  <c r="A18" i="7"/>
  <c r="U17" i="7"/>
  <c r="S17" i="7"/>
  <c r="P17" i="7"/>
  <c r="N17" i="7"/>
  <c r="E22" i="6" s="1"/>
  <c r="K17" i="7"/>
  <c r="J17" i="7"/>
  <c r="H17" i="7"/>
  <c r="G17" i="7"/>
  <c r="F17" i="7"/>
  <c r="E17" i="7"/>
  <c r="A17" i="7"/>
  <c r="U16" i="7"/>
  <c r="S16" i="7"/>
  <c r="P16" i="7"/>
  <c r="N16" i="7"/>
  <c r="E9" i="6" s="1"/>
  <c r="K16" i="7"/>
  <c r="J16" i="7"/>
  <c r="H16" i="7"/>
  <c r="G16" i="7"/>
  <c r="F16" i="7"/>
  <c r="E16" i="7"/>
  <c r="A16" i="7"/>
  <c r="U15" i="7"/>
  <c r="S15" i="7"/>
  <c r="P15" i="7"/>
  <c r="N15" i="7"/>
  <c r="E11" i="6" s="1"/>
  <c r="K15" i="7"/>
  <c r="J15" i="7"/>
  <c r="H15" i="7"/>
  <c r="G15" i="7"/>
  <c r="F15" i="7"/>
  <c r="E15" i="7"/>
  <c r="A15" i="7"/>
  <c r="U14" i="7"/>
  <c r="S14" i="7"/>
  <c r="P14" i="7"/>
  <c r="N14" i="7"/>
  <c r="E14" i="6" s="1"/>
  <c r="K14" i="7"/>
  <c r="J14" i="7"/>
  <c r="H14" i="7"/>
  <c r="G14" i="7"/>
  <c r="F14" i="7"/>
  <c r="E14" i="7"/>
  <c r="A14" i="7"/>
  <c r="U13" i="7"/>
  <c r="S13" i="7"/>
  <c r="P13" i="7"/>
  <c r="N13" i="7"/>
  <c r="E15" i="6" s="1"/>
  <c r="K13" i="7"/>
  <c r="J13" i="7"/>
  <c r="H13" i="7"/>
  <c r="G13" i="7"/>
  <c r="F13" i="7"/>
  <c r="E13" i="7"/>
  <c r="A13" i="7"/>
  <c r="U12" i="7"/>
  <c r="S12" i="7"/>
  <c r="P12" i="7"/>
  <c r="N12" i="7"/>
  <c r="K12" i="7"/>
  <c r="J12" i="7"/>
  <c r="H12" i="7"/>
  <c r="G12" i="7"/>
  <c r="F12" i="7"/>
  <c r="E12" i="7"/>
  <c r="A12" i="7"/>
  <c r="U11" i="7"/>
  <c r="S11" i="7"/>
  <c r="P11" i="7"/>
  <c r="N11" i="7"/>
  <c r="K11" i="7"/>
  <c r="J11" i="7"/>
  <c r="H11" i="7"/>
  <c r="G11" i="7"/>
  <c r="F11" i="7"/>
  <c r="E11" i="7"/>
  <c r="A11" i="7"/>
  <c r="U10" i="7"/>
  <c r="S10" i="7"/>
  <c r="P10" i="7"/>
  <c r="N10" i="7"/>
  <c r="E20" i="6" s="1"/>
  <c r="K10" i="7"/>
  <c r="J10" i="7"/>
  <c r="H10" i="7"/>
  <c r="G10" i="7"/>
  <c r="F10" i="7"/>
  <c r="E10" i="7"/>
  <c r="A10" i="7"/>
  <c r="U9" i="7"/>
  <c r="S9" i="7"/>
  <c r="P9" i="7"/>
  <c r="N9" i="7"/>
  <c r="E21" i="6" s="1"/>
  <c r="K9" i="7"/>
  <c r="J9" i="7"/>
  <c r="H9" i="7"/>
  <c r="G9" i="7"/>
  <c r="F9" i="7"/>
  <c r="E9" i="7"/>
  <c r="A9" i="7"/>
  <c r="G8" i="7"/>
  <c r="A8" i="7"/>
  <c r="G7" i="7"/>
  <c r="A7" i="7"/>
  <c r="G6" i="7"/>
  <c r="A6" i="7"/>
  <c r="H316" i="5"/>
  <c r="H313" i="5"/>
  <c r="C316" i="5"/>
  <c r="C313" i="5"/>
  <c r="C310" i="5"/>
  <c r="C309" i="5"/>
  <c r="C308" i="5"/>
  <c r="C307" i="5"/>
  <c r="C306" i="5"/>
  <c r="H293" i="5"/>
  <c r="G293" i="5"/>
  <c r="E293" i="5"/>
  <c r="E292" i="5"/>
  <c r="I291" i="5"/>
  <c r="H291" i="5"/>
  <c r="G291" i="5"/>
  <c r="F291" i="5"/>
  <c r="I290" i="5"/>
  <c r="H290" i="5"/>
  <c r="G290" i="5"/>
  <c r="F290" i="5"/>
  <c r="D288" i="5"/>
  <c r="C288" i="5"/>
  <c r="B288" i="5"/>
  <c r="A288" i="5"/>
  <c r="H286" i="5"/>
  <c r="G286" i="5"/>
  <c r="E286" i="5"/>
  <c r="E285" i="5"/>
  <c r="E284" i="5"/>
  <c r="I283" i="5"/>
  <c r="H283" i="5"/>
  <c r="G283" i="5"/>
  <c r="F283" i="5"/>
  <c r="I282" i="5"/>
  <c r="H282" i="5"/>
  <c r="G282" i="5"/>
  <c r="F282" i="5"/>
  <c r="I281" i="5"/>
  <c r="H281" i="5"/>
  <c r="G281" i="5"/>
  <c r="F281" i="5"/>
  <c r="I280" i="5"/>
  <c r="H280" i="5"/>
  <c r="G280" i="5"/>
  <c r="F280" i="5"/>
  <c r="D278" i="5"/>
  <c r="C278" i="5"/>
  <c r="B278" i="5"/>
  <c r="A278" i="5"/>
  <c r="A277" i="5"/>
  <c r="H271" i="5"/>
  <c r="G271" i="5"/>
  <c r="E271" i="5"/>
  <c r="E270" i="5"/>
  <c r="E269" i="5"/>
  <c r="I268" i="5"/>
  <c r="H268" i="5"/>
  <c r="F268" i="5"/>
  <c r="D268" i="5"/>
  <c r="C268" i="5"/>
  <c r="B268" i="5"/>
  <c r="A268" i="5"/>
  <c r="I267" i="5"/>
  <c r="H267" i="5"/>
  <c r="G267" i="5"/>
  <c r="F267" i="5"/>
  <c r="I266" i="5"/>
  <c r="H266" i="5"/>
  <c r="G266" i="5"/>
  <c r="F266" i="5"/>
  <c r="I265" i="5"/>
  <c r="H265" i="5"/>
  <c r="G265" i="5"/>
  <c r="F265" i="5"/>
  <c r="I264" i="5"/>
  <c r="H264" i="5"/>
  <c r="G264" i="5"/>
  <c r="F264" i="5"/>
  <c r="D262" i="5"/>
  <c r="C262" i="5"/>
  <c r="B262" i="5"/>
  <c r="A262" i="5"/>
  <c r="H260" i="5"/>
  <c r="G260" i="5"/>
  <c r="E260" i="5"/>
  <c r="E259" i="5"/>
  <c r="I258" i="5"/>
  <c r="H258" i="5"/>
  <c r="G258" i="5"/>
  <c r="F258" i="5"/>
  <c r="D256" i="5"/>
  <c r="C256" i="5"/>
  <c r="B256" i="5"/>
  <c r="A256" i="5"/>
  <c r="H254" i="5"/>
  <c r="G254" i="5"/>
  <c r="E254" i="5"/>
  <c r="E253" i="5"/>
  <c r="E252" i="5"/>
  <c r="I251" i="5"/>
  <c r="H251" i="5"/>
  <c r="G251" i="5"/>
  <c r="F251" i="5"/>
  <c r="I250" i="5"/>
  <c r="H250" i="5"/>
  <c r="G250" i="5"/>
  <c r="F250" i="5"/>
  <c r="I249" i="5"/>
  <c r="H249" i="5"/>
  <c r="G249" i="5"/>
  <c r="F249" i="5"/>
  <c r="D247" i="5"/>
  <c r="C247" i="5"/>
  <c r="B247" i="5"/>
  <c r="A247" i="5"/>
  <c r="H245" i="5"/>
  <c r="G245" i="5"/>
  <c r="E245" i="5"/>
  <c r="E244" i="5"/>
  <c r="E243" i="5"/>
  <c r="I242" i="5"/>
  <c r="H242" i="5"/>
  <c r="G242" i="5"/>
  <c r="F242" i="5"/>
  <c r="I241" i="5"/>
  <c r="H241" i="5"/>
  <c r="G241" i="5"/>
  <c r="F241" i="5"/>
  <c r="I240" i="5"/>
  <c r="H240" i="5"/>
  <c r="G240" i="5"/>
  <c r="F240" i="5"/>
  <c r="I239" i="5"/>
  <c r="H239" i="5"/>
  <c r="G239" i="5"/>
  <c r="F239" i="5"/>
  <c r="D237" i="5"/>
  <c r="C237" i="5"/>
  <c r="B237" i="5"/>
  <c r="A237" i="5"/>
  <c r="A236" i="5"/>
  <c r="H230" i="5"/>
  <c r="G230" i="5"/>
  <c r="E230" i="5"/>
  <c r="E229" i="5"/>
  <c r="E228" i="5"/>
  <c r="I227" i="5"/>
  <c r="H227" i="5"/>
  <c r="F227" i="5"/>
  <c r="D227" i="5"/>
  <c r="C227" i="5"/>
  <c r="B227" i="5"/>
  <c r="A227" i="5"/>
  <c r="I226" i="5"/>
  <c r="H226" i="5"/>
  <c r="G226" i="5"/>
  <c r="F226" i="5"/>
  <c r="I225" i="5"/>
  <c r="H225" i="5"/>
  <c r="G225" i="5"/>
  <c r="F225" i="5"/>
  <c r="I224" i="5"/>
  <c r="H224" i="5"/>
  <c r="G224" i="5"/>
  <c r="F224" i="5"/>
  <c r="I223" i="5"/>
  <c r="H223" i="5"/>
  <c r="G223" i="5"/>
  <c r="F223" i="5"/>
  <c r="D221" i="5"/>
  <c r="C221" i="5"/>
  <c r="B221" i="5"/>
  <c r="A221" i="5"/>
  <c r="H219" i="5"/>
  <c r="G219" i="5"/>
  <c r="E219" i="5"/>
  <c r="E218" i="5"/>
  <c r="E217" i="5"/>
  <c r="I216" i="5"/>
  <c r="H216" i="5"/>
  <c r="G216" i="5"/>
  <c r="F216" i="5"/>
  <c r="I215" i="5"/>
  <c r="H215" i="5"/>
  <c r="G215" i="5"/>
  <c r="F215" i="5"/>
  <c r="I214" i="5"/>
  <c r="H214" i="5"/>
  <c r="G214" i="5"/>
  <c r="F214" i="5"/>
  <c r="I213" i="5"/>
  <c r="H213" i="5"/>
  <c r="G213" i="5"/>
  <c r="F213" i="5"/>
  <c r="D211" i="5"/>
  <c r="C211" i="5"/>
  <c r="B211" i="5"/>
  <c r="A211" i="5"/>
  <c r="I209" i="5"/>
  <c r="H209" i="5"/>
  <c r="G209" i="5"/>
  <c r="F209" i="5"/>
  <c r="I208" i="5"/>
  <c r="H208" i="5"/>
  <c r="G208" i="5"/>
  <c r="F208" i="5"/>
  <c r="E207" i="5"/>
  <c r="D207" i="5"/>
  <c r="C207" i="5"/>
  <c r="B207" i="5"/>
  <c r="A207" i="5"/>
  <c r="I205" i="5"/>
  <c r="H205" i="5"/>
  <c r="G205" i="5"/>
  <c r="F205" i="5"/>
  <c r="I204" i="5"/>
  <c r="H204" i="5"/>
  <c r="G204" i="5"/>
  <c r="F204" i="5"/>
  <c r="E203" i="5"/>
  <c r="D203" i="5"/>
  <c r="C203" i="5"/>
  <c r="B203" i="5"/>
  <c r="A203" i="5"/>
  <c r="H201" i="5"/>
  <c r="G201" i="5"/>
  <c r="E201" i="5"/>
  <c r="E200" i="5"/>
  <c r="E199" i="5"/>
  <c r="I198" i="5"/>
  <c r="H198" i="5"/>
  <c r="G198" i="5"/>
  <c r="F198" i="5"/>
  <c r="I197" i="5"/>
  <c r="H197" i="5"/>
  <c r="G197" i="5"/>
  <c r="F197" i="5"/>
  <c r="I196" i="5"/>
  <c r="H196" i="5"/>
  <c r="G196" i="5"/>
  <c r="F196" i="5"/>
  <c r="D194" i="5"/>
  <c r="C194" i="5"/>
  <c r="B194" i="5"/>
  <c r="A194" i="5"/>
  <c r="H192" i="5"/>
  <c r="G192" i="5"/>
  <c r="E192" i="5"/>
  <c r="E191" i="5"/>
  <c r="I190" i="5"/>
  <c r="H190" i="5"/>
  <c r="G190" i="5"/>
  <c r="F190" i="5"/>
  <c r="D188" i="5"/>
  <c r="C188" i="5"/>
  <c r="B188" i="5"/>
  <c r="A188" i="5"/>
  <c r="H186" i="5"/>
  <c r="G186" i="5"/>
  <c r="E186" i="5"/>
  <c r="E185" i="5"/>
  <c r="I184" i="5"/>
  <c r="H184" i="5"/>
  <c r="G184" i="5"/>
  <c r="F184" i="5"/>
  <c r="I183" i="5"/>
  <c r="H183" i="5"/>
  <c r="G183" i="5"/>
  <c r="F183" i="5"/>
  <c r="D181" i="5"/>
  <c r="C181" i="5"/>
  <c r="B181" i="5"/>
  <c r="A181" i="5"/>
  <c r="H179" i="5"/>
  <c r="G179" i="5"/>
  <c r="E179" i="5"/>
  <c r="E178" i="5"/>
  <c r="E177" i="5"/>
  <c r="I176" i="5"/>
  <c r="H176" i="5"/>
  <c r="G176" i="5"/>
  <c r="F176" i="5"/>
  <c r="I175" i="5"/>
  <c r="H175" i="5"/>
  <c r="G175" i="5"/>
  <c r="F175" i="5"/>
  <c r="I174" i="5"/>
  <c r="H174" i="5"/>
  <c r="G174" i="5"/>
  <c r="F174" i="5"/>
  <c r="I173" i="5"/>
  <c r="H173" i="5"/>
  <c r="G173" i="5"/>
  <c r="F173" i="5"/>
  <c r="D171" i="5"/>
  <c r="C171" i="5"/>
  <c r="B171" i="5"/>
  <c r="A171" i="5"/>
  <c r="A170" i="5"/>
  <c r="AE168" i="5"/>
  <c r="A168" i="5"/>
  <c r="H159" i="5"/>
  <c r="G159" i="5"/>
  <c r="E159" i="5"/>
  <c r="E158" i="5"/>
  <c r="I157" i="5"/>
  <c r="H157" i="5"/>
  <c r="G157" i="5"/>
  <c r="F157" i="5"/>
  <c r="I156" i="5"/>
  <c r="H156" i="5"/>
  <c r="G156" i="5"/>
  <c r="F156" i="5"/>
  <c r="D154" i="5"/>
  <c r="C154" i="5"/>
  <c r="B154" i="5"/>
  <c r="A154" i="5"/>
  <c r="H152" i="5"/>
  <c r="G152" i="5"/>
  <c r="E152" i="5"/>
  <c r="E151" i="5"/>
  <c r="E150" i="5"/>
  <c r="I149" i="5"/>
  <c r="H149" i="5"/>
  <c r="G149" i="5"/>
  <c r="F149" i="5"/>
  <c r="I148" i="5"/>
  <c r="H148" i="5"/>
  <c r="G148" i="5"/>
  <c r="F148" i="5"/>
  <c r="I147" i="5"/>
  <c r="H147" i="5"/>
  <c r="G147" i="5"/>
  <c r="F147" i="5"/>
  <c r="I146" i="5"/>
  <c r="H146" i="5"/>
  <c r="G146" i="5"/>
  <c r="F146" i="5"/>
  <c r="D144" i="5"/>
  <c r="C144" i="5"/>
  <c r="B144" i="5"/>
  <c r="A144" i="5"/>
  <c r="A143" i="5"/>
  <c r="H137" i="5"/>
  <c r="G137" i="5"/>
  <c r="E137" i="5"/>
  <c r="E136" i="5"/>
  <c r="E135" i="5"/>
  <c r="I134" i="5"/>
  <c r="H134" i="5"/>
  <c r="F134" i="5"/>
  <c r="D134" i="5"/>
  <c r="C134" i="5"/>
  <c r="B134" i="5"/>
  <c r="A134" i="5"/>
  <c r="I133" i="5"/>
  <c r="H133" i="5"/>
  <c r="G133" i="5"/>
  <c r="F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D128" i="5"/>
  <c r="C128" i="5"/>
  <c r="B128" i="5"/>
  <c r="A128" i="5"/>
  <c r="H126" i="5"/>
  <c r="G126" i="5"/>
  <c r="E126" i="5"/>
  <c r="E125" i="5"/>
  <c r="I124" i="5"/>
  <c r="H124" i="5"/>
  <c r="G124" i="5"/>
  <c r="F124" i="5"/>
  <c r="D122" i="5"/>
  <c r="C122" i="5"/>
  <c r="B122" i="5"/>
  <c r="A122" i="5"/>
  <c r="H120" i="5"/>
  <c r="G120" i="5"/>
  <c r="E120" i="5"/>
  <c r="E119" i="5"/>
  <c r="E118" i="5"/>
  <c r="I117" i="5"/>
  <c r="H117" i="5"/>
  <c r="G117" i="5"/>
  <c r="F117" i="5"/>
  <c r="I116" i="5"/>
  <c r="H116" i="5"/>
  <c r="G116" i="5"/>
  <c r="F116" i="5"/>
  <c r="I115" i="5"/>
  <c r="H115" i="5"/>
  <c r="G115" i="5"/>
  <c r="F115" i="5"/>
  <c r="D113" i="5"/>
  <c r="C113" i="5"/>
  <c r="B113" i="5"/>
  <c r="A113" i="5"/>
  <c r="H111" i="5"/>
  <c r="G111" i="5"/>
  <c r="E111" i="5"/>
  <c r="E110" i="5"/>
  <c r="E109" i="5"/>
  <c r="I108" i="5"/>
  <c r="H108" i="5"/>
  <c r="G108" i="5"/>
  <c r="F108" i="5"/>
  <c r="I107" i="5"/>
  <c r="H107" i="5"/>
  <c r="G107" i="5"/>
  <c r="F107" i="5"/>
  <c r="I106" i="5"/>
  <c r="H106" i="5"/>
  <c r="G106" i="5"/>
  <c r="F106" i="5"/>
  <c r="I105" i="5"/>
  <c r="H105" i="5"/>
  <c r="G105" i="5"/>
  <c r="F105" i="5"/>
  <c r="D103" i="5"/>
  <c r="C103" i="5"/>
  <c r="B103" i="5"/>
  <c r="A103" i="5"/>
  <c r="A102" i="5"/>
  <c r="H96" i="5"/>
  <c r="G96" i="5"/>
  <c r="E96" i="5"/>
  <c r="E95" i="5"/>
  <c r="E94" i="5"/>
  <c r="I93" i="5"/>
  <c r="H93" i="5"/>
  <c r="F93" i="5"/>
  <c r="D93" i="5"/>
  <c r="C93" i="5"/>
  <c r="B93" i="5"/>
  <c r="A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D87" i="5"/>
  <c r="C87" i="5"/>
  <c r="B87" i="5"/>
  <c r="A87" i="5"/>
  <c r="H85" i="5"/>
  <c r="G85" i="5"/>
  <c r="E85" i="5"/>
  <c r="E84" i="5"/>
  <c r="E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D77" i="5"/>
  <c r="C77" i="5"/>
  <c r="B77" i="5"/>
  <c r="A77" i="5"/>
  <c r="I75" i="5"/>
  <c r="H75" i="5"/>
  <c r="G75" i="5"/>
  <c r="F75" i="5"/>
  <c r="I74" i="5"/>
  <c r="H74" i="5"/>
  <c r="G74" i="5"/>
  <c r="F74" i="5"/>
  <c r="E73" i="5"/>
  <c r="D73" i="5"/>
  <c r="C73" i="5"/>
  <c r="B73" i="5"/>
  <c r="A73" i="5"/>
  <c r="I71" i="5"/>
  <c r="H71" i="5"/>
  <c r="G71" i="5"/>
  <c r="F71" i="5"/>
  <c r="I70" i="5"/>
  <c r="H70" i="5"/>
  <c r="G70" i="5"/>
  <c r="F70" i="5"/>
  <c r="E69" i="5"/>
  <c r="D69" i="5"/>
  <c r="C69" i="5"/>
  <c r="B69" i="5"/>
  <c r="A69" i="5"/>
  <c r="H67" i="5"/>
  <c r="G67" i="5"/>
  <c r="E67" i="5"/>
  <c r="E66" i="5"/>
  <c r="E65" i="5"/>
  <c r="I64" i="5"/>
  <c r="H64" i="5"/>
  <c r="G64" i="5"/>
  <c r="F64" i="5"/>
  <c r="I63" i="5"/>
  <c r="H63" i="5"/>
  <c r="G63" i="5"/>
  <c r="F63" i="5"/>
  <c r="I62" i="5"/>
  <c r="H62" i="5"/>
  <c r="G62" i="5"/>
  <c r="F62" i="5"/>
  <c r="D60" i="5"/>
  <c r="C60" i="5"/>
  <c r="B60" i="5"/>
  <c r="A60" i="5"/>
  <c r="H58" i="5"/>
  <c r="G58" i="5"/>
  <c r="E58" i="5"/>
  <c r="E57" i="5"/>
  <c r="I56" i="5"/>
  <c r="H56" i="5"/>
  <c r="G56" i="5"/>
  <c r="F56" i="5"/>
  <c r="D54" i="5"/>
  <c r="C54" i="5"/>
  <c r="B54" i="5"/>
  <c r="A54" i="5"/>
  <c r="H52" i="5"/>
  <c r="G52" i="5"/>
  <c r="E52" i="5"/>
  <c r="E51" i="5"/>
  <c r="I50" i="5"/>
  <c r="H50" i="5"/>
  <c r="G50" i="5"/>
  <c r="F50" i="5"/>
  <c r="I49" i="5"/>
  <c r="H49" i="5"/>
  <c r="G49" i="5"/>
  <c r="F49" i="5"/>
  <c r="D47" i="5"/>
  <c r="C47" i="5"/>
  <c r="B47" i="5"/>
  <c r="A47" i="5"/>
  <c r="H45" i="5"/>
  <c r="G45" i="5"/>
  <c r="E45" i="5"/>
  <c r="E44" i="5"/>
  <c r="E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D37" i="5"/>
  <c r="C37" i="5"/>
  <c r="B37" i="5"/>
  <c r="A37" i="5"/>
  <c r="A36" i="5"/>
  <c r="AE34" i="5"/>
  <c r="A34" i="5"/>
  <c r="A32" i="5"/>
  <c r="A18" i="5"/>
  <c r="AE15" i="5"/>
  <c r="A15" i="5"/>
  <c r="A10" i="5"/>
  <c r="G6" i="5"/>
  <c r="B6" i="5"/>
  <c r="A1" i="5"/>
  <c r="A1" i="4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1" i="3"/>
  <c r="CY1" i="3"/>
  <c r="CZ1" i="3"/>
  <c r="DB1" i="3" s="1"/>
  <c r="DA1" i="3"/>
  <c r="DC1" i="3"/>
  <c r="A2" i="3"/>
  <c r="CY2" i="3"/>
  <c r="CZ2" i="3"/>
  <c r="DB2" i="3" s="1"/>
  <c r="DA2" i="3"/>
  <c r="DC2" i="3"/>
  <c r="A3" i="3"/>
  <c r="CY3" i="3"/>
  <c r="CZ3" i="3"/>
  <c r="DB3" i="3" s="1"/>
  <c r="L10" i="7" s="1"/>
  <c r="DA3" i="3"/>
  <c r="DC3" i="3"/>
  <c r="Q10" i="7" s="1"/>
  <c r="A4" i="3"/>
  <c r="CY4" i="3"/>
  <c r="CZ4" i="3"/>
  <c r="DB4" i="3" s="1"/>
  <c r="L9" i="7" s="1"/>
  <c r="DA4" i="3"/>
  <c r="DC4" i="3"/>
  <c r="Q9" i="7" s="1"/>
  <c r="A5" i="3"/>
  <c r="CY5" i="3"/>
  <c r="CZ5" i="3"/>
  <c r="DA5" i="3"/>
  <c r="DB5" i="3"/>
  <c r="DC5" i="3"/>
  <c r="A6" i="3"/>
  <c r="CY6" i="3"/>
  <c r="CZ6" i="3"/>
  <c r="DB6" i="3" s="1"/>
  <c r="L12" i="7" s="1"/>
  <c r="DA6" i="3"/>
  <c r="DC6" i="3"/>
  <c r="Q12" i="7" s="1"/>
  <c r="A7" i="3"/>
  <c r="CY7" i="3"/>
  <c r="CZ7" i="3"/>
  <c r="DB7" i="3" s="1"/>
  <c r="L11" i="7" s="1"/>
  <c r="DA7" i="3"/>
  <c r="DC7" i="3"/>
  <c r="Q11" i="7" s="1"/>
  <c r="A8" i="3"/>
  <c r="CY8" i="3"/>
  <c r="CZ8" i="3"/>
  <c r="DA8" i="3"/>
  <c r="DB8" i="3"/>
  <c r="DC8" i="3"/>
  <c r="A9" i="3"/>
  <c r="CY9" i="3"/>
  <c r="CZ9" i="3"/>
  <c r="DB9" i="3" s="1"/>
  <c r="DA9" i="3"/>
  <c r="DC9" i="3"/>
  <c r="A10" i="3"/>
  <c r="CY10" i="3"/>
  <c r="CZ10" i="3"/>
  <c r="DB10" i="3" s="1"/>
  <c r="DA10" i="3"/>
  <c r="DC10" i="3"/>
  <c r="A11" i="3"/>
  <c r="CX11" i="3"/>
  <c r="CY11" i="3"/>
  <c r="CZ11" i="3"/>
  <c r="DB11" i="3" s="1"/>
  <c r="DA11" i="3"/>
  <c r="DC11" i="3"/>
  <c r="A12" i="3"/>
  <c r="CX12" i="3"/>
  <c r="CY12" i="3"/>
  <c r="CZ12" i="3"/>
  <c r="DA12" i="3"/>
  <c r="DB12" i="3"/>
  <c r="DC12" i="3"/>
  <c r="A13" i="3"/>
  <c r="CY13" i="3"/>
  <c r="CZ13" i="3"/>
  <c r="DB13" i="3" s="1"/>
  <c r="DA13" i="3"/>
  <c r="DC13" i="3"/>
  <c r="A14" i="3"/>
  <c r="CY14" i="3"/>
  <c r="CZ14" i="3"/>
  <c r="DB14" i="3" s="1"/>
  <c r="DA14" i="3"/>
  <c r="DC14" i="3"/>
  <c r="A15" i="3"/>
  <c r="CY15" i="3"/>
  <c r="CZ15" i="3"/>
  <c r="DA15" i="3"/>
  <c r="DB15" i="3"/>
  <c r="L16" i="7" s="1"/>
  <c r="DC15" i="3"/>
  <c r="Q16" i="7" s="1"/>
  <c r="A16" i="3"/>
  <c r="CY16" i="3"/>
  <c r="CZ16" i="3"/>
  <c r="DB16" i="3" s="1"/>
  <c r="L15" i="7" s="1"/>
  <c r="DA16" i="3"/>
  <c r="DC16" i="3"/>
  <c r="Q15" i="7" s="1"/>
  <c r="A17" i="3"/>
  <c r="CY17" i="3"/>
  <c r="CZ17" i="3"/>
  <c r="DB17" i="3" s="1"/>
  <c r="L14" i="7" s="1"/>
  <c r="DA17" i="3"/>
  <c r="DC17" i="3"/>
  <c r="Q14" i="7" s="1"/>
  <c r="A18" i="3"/>
  <c r="CY18" i="3"/>
  <c r="CZ18" i="3"/>
  <c r="DB18" i="3" s="1"/>
  <c r="L13" i="7" s="1"/>
  <c r="DA18" i="3"/>
  <c r="DC18" i="3"/>
  <c r="Q13" i="7" s="1"/>
  <c r="A19" i="3"/>
  <c r="CY19" i="3"/>
  <c r="CZ19" i="3"/>
  <c r="DB19" i="3" s="1"/>
  <c r="DA19" i="3"/>
  <c r="DC19" i="3"/>
  <c r="A20" i="3"/>
  <c r="CY20" i="3"/>
  <c r="CZ20" i="3"/>
  <c r="DA20" i="3"/>
  <c r="DB20" i="3"/>
  <c r="DC20" i="3"/>
  <c r="A21" i="3"/>
  <c r="CY21" i="3"/>
  <c r="CZ21" i="3"/>
  <c r="DB21" i="3" s="1"/>
  <c r="L20" i="7" s="1"/>
  <c r="DA21" i="3"/>
  <c r="DC21" i="3"/>
  <c r="Q20" i="7" s="1"/>
  <c r="A22" i="3"/>
  <c r="CY22" i="3"/>
  <c r="CZ22" i="3"/>
  <c r="DB22" i="3" s="1"/>
  <c r="L19" i="7" s="1"/>
  <c r="DA22" i="3"/>
  <c r="DC22" i="3"/>
  <c r="Q19" i="7" s="1"/>
  <c r="A23" i="3"/>
  <c r="CY23" i="3"/>
  <c r="CZ23" i="3"/>
  <c r="DA23" i="3"/>
  <c r="DB23" i="3"/>
  <c r="L18" i="7" s="1"/>
  <c r="DC23" i="3"/>
  <c r="Q18" i="7" s="1"/>
  <c r="A24" i="3"/>
  <c r="CY24" i="3"/>
  <c r="CZ24" i="3"/>
  <c r="DB24" i="3" s="1"/>
  <c r="DA24" i="3"/>
  <c r="DC24" i="3"/>
  <c r="A25" i="3"/>
  <c r="CY25" i="3"/>
  <c r="CZ25" i="3"/>
  <c r="DB25" i="3" s="1"/>
  <c r="L17" i="7" s="1"/>
  <c r="DA25" i="3"/>
  <c r="DC25" i="3"/>
  <c r="Q17" i="7" s="1"/>
  <c r="A26" i="3"/>
  <c r="CY26" i="3"/>
  <c r="CZ26" i="3"/>
  <c r="DB26" i="3" s="1"/>
  <c r="DA26" i="3"/>
  <c r="DC26" i="3"/>
  <c r="A27" i="3"/>
  <c r="CY27" i="3"/>
  <c r="CZ27" i="3"/>
  <c r="DB27" i="3" s="1"/>
  <c r="DA27" i="3"/>
  <c r="DC27" i="3"/>
  <c r="A28" i="3"/>
  <c r="CY28" i="3"/>
  <c r="CZ28" i="3"/>
  <c r="DA28" i="3"/>
  <c r="DB28" i="3"/>
  <c r="L26" i="7" s="1"/>
  <c r="DC28" i="3"/>
  <c r="Q26" i="7" s="1"/>
  <c r="A29" i="3"/>
  <c r="CY29" i="3"/>
  <c r="CZ29" i="3"/>
  <c r="DB29" i="3" s="1"/>
  <c r="L25" i="7" s="1"/>
  <c r="DA29" i="3"/>
  <c r="DC29" i="3"/>
  <c r="Q25" i="7" s="1"/>
  <c r="A30" i="3"/>
  <c r="CY30" i="3"/>
  <c r="CZ30" i="3"/>
  <c r="DB30" i="3" s="1"/>
  <c r="L24" i="7" s="1"/>
  <c r="DA30" i="3"/>
  <c r="DC30" i="3"/>
  <c r="Q24" i="7" s="1"/>
  <c r="A31" i="3"/>
  <c r="CY31" i="3"/>
  <c r="CZ31" i="3"/>
  <c r="DA31" i="3"/>
  <c r="DB31" i="3"/>
  <c r="L23" i="7" s="1"/>
  <c r="DC31" i="3"/>
  <c r="Q23" i="7" s="1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B34" i="3" s="1"/>
  <c r="DA34" i="3"/>
  <c r="DC34" i="3"/>
  <c r="A35" i="3"/>
  <c r="CY35" i="3"/>
  <c r="CZ35" i="3"/>
  <c r="DB35" i="3" s="1"/>
  <c r="DA35" i="3"/>
  <c r="DC35" i="3"/>
  <c r="A36" i="3"/>
  <c r="CY36" i="3"/>
  <c r="CZ36" i="3"/>
  <c r="DA36" i="3"/>
  <c r="DB36" i="3"/>
  <c r="DC36" i="3"/>
  <c r="A37" i="3"/>
  <c r="CY37" i="3"/>
  <c r="CZ37" i="3"/>
  <c r="DB37" i="3" s="1"/>
  <c r="L30" i="7" s="1"/>
  <c r="DA37" i="3"/>
  <c r="DC37" i="3"/>
  <c r="Q30" i="7" s="1"/>
  <c r="A38" i="3"/>
  <c r="CY38" i="3"/>
  <c r="CZ38" i="3"/>
  <c r="DB38" i="3" s="1"/>
  <c r="L29" i="7" s="1"/>
  <c r="DA38" i="3"/>
  <c r="DC38" i="3"/>
  <c r="Q29" i="7" s="1"/>
  <c r="A39" i="3"/>
  <c r="CY39" i="3"/>
  <c r="CZ39" i="3"/>
  <c r="DA39" i="3"/>
  <c r="DB39" i="3"/>
  <c r="L28" i="7" s="1"/>
  <c r="DC39" i="3"/>
  <c r="Q28" i="7" s="1"/>
  <c r="A40" i="3"/>
  <c r="CY40" i="3"/>
  <c r="CZ40" i="3"/>
  <c r="DB40" i="3" s="1"/>
  <c r="DA40" i="3"/>
  <c r="DC40" i="3"/>
  <c r="A41" i="3"/>
  <c r="CY41" i="3"/>
  <c r="CZ41" i="3"/>
  <c r="DB41" i="3" s="1"/>
  <c r="L27" i="7" s="1"/>
  <c r="DA41" i="3"/>
  <c r="DC41" i="3"/>
  <c r="Q27" i="7" s="1"/>
  <c r="A42" i="3"/>
  <c r="CY42" i="3"/>
  <c r="CZ42" i="3"/>
  <c r="DB42" i="3" s="1"/>
  <c r="DA42" i="3"/>
  <c r="DC42" i="3"/>
  <c r="A43" i="3"/>
  <c r="CY43" i="3"/>
  <c r="CZ43" i="3"/>
  <c r="DB43" i="3" s="1"/>
  <c r="DA43" i="3"/>
  <c r="DC43" i="3"/>
  <c r="A44" i="3"/>
  <c r="CY44" i="3"/>
  <c r="CZ44" i="3"/>
  <c r="DA44" i="3"/>
  <c r="DB44" i="3"/>
  <c r="L35" i="7" s="1"/>
  <c r="DC44" i="3"/>
  <c r="Q35" i="7" s="1"/>
  <c r="A45" i="3"/>
  <c r="CY45" i="3"/>
  <c r="CZ45" i="3"/>
  <c r="DB45" i="3" s="1"/>
  <c r="L34" i="7" s="1"/>
  <c r="DA45" i="3"/>
  <c r="DC45" i="3"/>
  <c r="Q34" i="7" s="1"/>
  <c r="A46" i="3"/>
  <c r="CY46" i="3"/>
  <c r="CZ46" i="3"/>
  <c r="DB46" i="3" s="1"/>
  <c r="L33" i="7" s="1"/>
  <c r="DA46" i="3"/>
  <c r="DC46" i="3"/>
  <c r="Q33" i="7" s="1"/>
  <c r="A47" i="3"/>
  <c r="CY47" i="3"/>
  <c r="CZ47" i="3"/>
  <c r="DA47" i="3"/>
  <c r="DB47" i="3"/>
  <c r="DC47" i="3"/>
  <c r="A48" i="3"/>
  <c r="CY48" i="3"/>
  <c r="CZ48" i="3"/>
  <c r="DB48" i="3" s="1"/>
  <c r="L37" i="7" s="1"/>
  <c r="DA48" i="3"/>
  <c r="DC48" i="3"/>
  <c r="Q37" i="7" s="1"/>
  <c r="A49" i="3"/>
  <c r="CY49" i="3"/>
  <c r="CZ49" i="3"/>
  <c r="DB49" i="3" s="1"/>
  <c r="L36" i="7" s="1"/>
  <c r="DA49" i="3"/>
  <c r="DC49" i="3"/>
  <c r="Q36" i="7" s="1"/>
  <c r="A50" i="3"/>
  <c r="CY50" i="3"/>
  <c r="CZ50" i="3"/>
  <c r="DB50" i="3" s="1"/>
  <c r="DA50" i="3"/>
  <c r="DC50" i="3"/>
  <c r="A51" i="3"/>
  <c r="CY51" i="3"/>
  <c r="CZ51" i="3"/>
  <c r="DB51" i="3" s="1"/>
  <c r="DA51" i="3"/>
  <c r="DC51" i="3"/>
  <c r="A52" i="3"/>
  <c r="CY52" i="3"/>
  <c r="CZ52" i="3"/>
  <c r="DA52" i="3"/>
  <c r="DB52" i="3"/>
  <c r="L41" i="7" s="1"/>
  <c r="DC52" i="3"/>
  <c r="Q41" i="7" s="1"/>
  <c r="A53" i="3"/>
  <c r="CY53" i="3"/>
  <c r="CZ53" i="3"/>
  <c r="DB53" i="3" s="1"/>
  <c r="L40" i="7" s="1"/>
  <c r="DA53" i="3"/>
  <c r="DC53" i="3"/>
  <c r="Q40" i="7" s="1"/>
  <c r="A54" i="3"/>
  <c r="CY54" i="3"/>
  <c r="CZ54" i="3"/>
  <c r="DB54" i="3" s="1"/>
  <c r="DA54" i="3"/>
  <c r="DC54" i="3"/>
  <c r="A55" i="3"/>
  <c r="CY55" i="3"/>
  <c r="CZ55" i="3"/>
  <c r="DA55" i="3"/>
  <c r="DB55" i="3"/>
  <c r="L43" i="7" s="1"/>
  <c r="DC55" i="3"/>
  <c r="Q43" i="7" s="1"/>
  <c r="A56" i="3"/>
  <c r="CY56" i="3"/>
  <c r="CZ56" i="3"/>
  <c r="DB56" i="3" s="1"/>
  <c r="L42" i="7" s="1"/>
  <c r="DA56" i="3"/>
  <c r="DC56" i="3"/>
  <c r="Q42" i="7" s="1"/>
  <c r="A57" i="3"/>
  <c r="CY57" i="3"/>
  <c r="CZ57" i="3"/>
  <c r="DB57" i="3" s="1"/>
  <c r="DA57" i="3"/>
  <c r="DC57" i="3"/>
  <c r="A58" i="3"/>
  <c r="CY58" i="3"/>
  <c r="CZ58" i="3"/>
  <c r="DB58" i="3" s="1"/>
  <c r="DA58" i="3"/>
  <c r="DC58" i="3"/>
  <c r="A59" i="3"/>
  <c r="CY59" i="3"/>
  <c r="CZ59" i="3"/>
  <c r="DB59" i="3" s="1"/>
  <c r="DA59" i="3"/>
  <c r="DC59" i="3"/>
  <c r="A60" i="3"/>
  <c r="CX60" i="3"/>
  <c r="CY60" i="3"/>
  <c r="CZ60" i="3"/>
  <c r="DB60" i="3" s="1"/>
  <c r="DA60" i="3"/>
  <c r="DC60" i="3"/>
  <c r="A61" i="3"/>
  <c r="CX61" i="3"/>
  <c r="CY61" i="3"/>
  <c r="CZ61" i="3"/>
  <c r="DB61" i="3" s="1"/>
  <c r="DA61" i="3"/>
  <c r="DC61" i="3"/>
  <c r="A62" i="3"/>
  <c r="CY62" i="3"/>
  <c r="CZ62" i="3"/>
  <c r="DB62" i="3" s="1"/>
  <c r="DA62" i="3"/>
  <c r="DC62" i="3"/>
  <c r="A63" i="3"/>
  <c r="CY63" i="3"/>
  <c r="CZ63" i="3"/>
  <c r="DB63" i="3" s="1"/>
  <c r="DA63" i="3"/>
  <c r="DC63" i="3"/>
  <c r="A64" i="3"/>
  <c r="CY64" i="3"/>
  <c r="CZ64" i="3"/>
  <c r="DA64" i="3"/>
  <c r="DB64" i="3"/>
  <c r="L47" i="7" s="1"/>
  <c r="DC64" i="3"/>
  <c r="Q47" i="7" s="1"/>
  <c r="A65" i="3"/>
  <c r="CY65" i="3"/>
  <c r="CZ65" i="3"/>
  <c r="DB65" i="3" s="1"/>
  <c r="L46" i="7" s="1"/>
  <c r="DA65" i="3"/>
  <c r="DC65" i="3"/>
  <c r="Q46" i="7" s="1"/>
  <c r="A66" i="3"/>
  <c r="CY66" i="3"/>
  <c r="CZ66" i="3"/>
  <c r="DB66" i="3" s="1"/>
  <c r="L45" i="7" s="1"/>
  <c r="DA66" i="3"/>
  <c r="DC66" i="3"/>
  <c r="Q45" i="7" s="1"/>
  <c r="A67" i="3"/>
  <c r="CY67" i="3"/>
  <c r="CZ67" i="3"/>
  <c r="DA67" i="3"/>
  <c r="DB67" i="3"/>
  <c r="L44" i="7" s="1"/>
  <c r="DC67" i="3"/>
  <c r="Q44" i="7" s="1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B70" i="3" s="1"/>
  <c r="L51" i="7" s="1"/>
  <c r="DA70" i="3"/>
  <c r="DC70" i="3"/>
  <c r="Q51" i="7" s="1"/>
  <c r="A71" i="3"/>
  <c r="CY71" i="3"/>
  <c r="CZ71" i="3"/>
  <c r="DB71" i="3" s="1"/>
  <c r="L50" i="7" s="1"/>
  <c r="DA71" i="3"/>
  <c r="DC71" i="3"/>
  <c r="Q50" i="7" s="1"/>
  <c r="A72" i="3"/>
  <c r="CY72" i="3"/>
  <c r="CZ72" i="3"/>
  <c r="DA72" i="3"/>
  <c r="DB72" i="3"/>
  <c r="L49" i="7" s="1"/>
  <c r="DC72" i="3"/>
  <c r="Q49" i="7" s="1"/>
  <c r="A73" i="3"/>
  <c r="CY73" i="3"/>
  <c r="CZ73" i="3"/>
  <c r="DB73" i="3" s="1"/>
  <c r="DA73" i="3"/>
  <c r="DC73" i="3"/>
  <c r="A74" i="3"/>
  <c r="CY74" i="3"/>
  <c r="CZ74" i="3"/>
  <c r="DB74" i="3" s="1"/>
  <c r="L48" i="7" s="1"/>
  <c r="DA74" i="3"/>
  <c r="DC74" i="3"/>
  <c r="Q48" i="7" s="1"/>
  <c r="A75" i="3"/>
  <c r="CY75" i="3"/>
  <c r="CZ75" i="3"/>
  <c r="DA75" i="3"/>
  <c r="DB75" i="3"/>
  <c r="DC75" i="3"/>
  <c r="A76" i="3"/>
  <c r="CY76" i="3"/>
  <c r="CZ76" i="3"/>
  <c r="DB76" i="3" s="1"/>
  <c r="DA76" i="3"/>
  <c r="DC76" i="3"/>
  <c r="A77" i="3"/>
  <c r="CY77" i="3"/>
  <c r="CZ77" i="3"/>
  <c r="DB77" i="3" s="1"/>
  <c r="L57" i="7" s="1"/>
  <c r="DA77" i="3"/>
  <c r="DC77" i="3"/>
  <c r="Q57" i="7" s="1"/>
  <c r="A78" i="3"/>
  <c r="CY78" i="3"/>
  <c r="CZ78" i="3"/>
  <c r="DB78" i="3" s="1"/>
  <c r="L56" i="7" s="1"/>
  <c r="DA78" i="3"/>
  <c r="DC78" i="3"/>
  <c r="Q56" i="7" s="1"/>
  <c r="A79" i="3"/>
  <c r="CY79" i="3"/>
  <c r="CZ79" i="3"/>
  <c r="DB79" i="3" s="1"/>
  <c r="L55" i="7" s="1"/>
  <c r="DA79" i="3"/>
  <c r="DC79" i="3"/>
  <c r="Q55" i="7" s="1"/>
  <c r="A80" i="3"/>
  <c r="CY80" i="3"/>
  <c r="CZ80" i="3"/>
  <c r="DA80" i="3"/>
  <c r="DB80" i="3"/>
  <c r="L54" i="7" s="1"/>
  <c r="DC80" i="3"/>
  <c r="Q54" i="7" s="1"/>
  <c r="A81" i="3"/>
  <c r="CY81" i="3"/>
  <c r="CZ81" i="3"/>
  <c r="DB81" i="3" s="1"/>
  <c r="DA81" i="3"/>
  <c r="DC81" i="3"/>
  <c r="A82" i="3"/>
  <c r="CY82" i="3"/>
  <c r="CZ82" i="3"/>
  <c r="DB82" i="3" s="1"/>
  <c r="DA82" i="3"/>
  <c r="DC82" i="3"/>
  <c r="A83" i="3"/>
  <c r="CY83" i="3"/>
  <c r="CZ83" i="3"/>
  <c r="DA83" i="3"/>
  <c r="DB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B86" i="3" s="1"/>
  <c r="L61" i="7" s="1"/>
  <c r="DA86" i="3"/>
  <c r="DC86" i="3"/>
  <c r="Q61" i="7" s="1"/>
  <c r="A87" i="3"/>
  <c r="CY87" i="3"/>
  <c r="CZ87" i="3"/>
  <c r="DB87" i="3" s="1"/>
  <c r="L60" i="7" s="1"/>
  <c r="DA87" i="3"/>
  <c r="DC87" i="3"/>
  <c r="Q60" i="7" s="1"/>
  <c r="A88" i="3"/>
  <c r="CY88" i="3"/>
  <c r="CZ88" i="3"/>
  <c r="DA88" i="3"/>
  <c r="DB88" i="3"/>
  <c r="L59" i="7" s="1"/>
  <c r="DC88" i="3"/>
  <c r="Q59" i="7" s="1"/>
  <c r="A89" i="3"/>
  <c r="CY89" i="3"/>
  <c r="CZ89" i="3"/>
  <c r="DB89" i="3" s="1"/>
  <c r="DA89" i="3"/>
  <c r="DC89" i="3"/>
  <c r="A90" i="3"/>
  <c r="CY90" i="3"/>
  <c r="CZ90" i="3"/>
  <c r="DB90" i="3" s="1"/>
  <c r="L58" i="7" s="1"/>
  <c r="DA90" i="3"/>
  <c r="DC90" i="3"/>
  <c r="Q58" i="7" s="1"/>
  <c r="A91" i="3"/>
  <c r="CY91" i="3"/>
  <c r="CZ91" i="3"/>
  <c r="DA91" i="3"/>
  <c r="DB91" i="3"/>
  <c r="DC91" i="3"/>
  <c r="A92" i="3"/>
  <c r="CY92" i="3"/>
  <c r="CZ92" i="3"/>
  <c r="DB92" i="3" s="1"/>
  <c r="DA92" i="3"/>
  <c r="DC92" i="3"/>
  <c r="A93" i="3"/>
  <c r="CY93" i="3"/>
  <c r="CZ93" i="3"/>
  <c r="DB93" i="3" s="1"/>
  <c r="L66" i="7" s="1"/>
  <c r="DA93" i="3"/>
  <c r="DC93" i="3"/>
  <c r="Q66" i="7" s="1"/>
  <c r="A94" i="3"/>
  <c r="CY94" i="3"/>
  <c r="CZ94" i="3"/>
  <c r="DB94" i="3" s="1"/>
  <c r="L65" i="7" s="1"/>
  <c r="DA94" i="3"/>
  <c r="DC94" i="3"/>
  <c r="Q65" i="7" s="1"/>
  <c r="A95" i="3"/>
  <c r="CY95" i="3"/>
  <c r="CZ95" i="3"/>
  <c r="DB95" i="3" s="1"/>
  <c r="L64" i="7" s="1"/>
  <c r="DA95" i="3"/>
  <c r="DC95" i="3"/>
  <c r="Q64" i="7" s="1"/>
  <c r="A96" i="3"/>
  <c r="CY96" i="3"/>
  <c r="CZ96" i="3"/>
  <c r="DA96" i="3"/>
  <c r="DB96" i="3"/>
  <c r="DC96" i="3"/>
  <c r="A97" i="3"/>
  <c r="CY97" i="3"/>
  <c r="CZ97" i="3"/>
  <c r="DB97" i="3" s="1"/>
  <c r="L68" i="7" s="1"/>
  <c r="DA97" i="3"/>
  <c r="DC97" i="3"/>
  <c r="Q68" i="7" s="1"/>
  <c r="A98" i="3"/>
  <c r="CY98" i="3"/>
  <c r="CZ98" i="3"/>
  <c r="DB98" i="3" s="1"/>
  <c r="L67" i="7" s="1"/>
  <c r="DA98" i="3"/>
  <c r="DC98" i="3"/>
  <c r="Q67" i="7" s="1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D28" i="1"/>
  <c r="E30" i="1"/>
  <c r="Z30" i="1"/>
  <c r="AA30" i="1"/>
  <c r="AM30" i="1"/>
  <c r="AN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C32" i="1"/>
  <c r="D32" i="1"/>
  <c r="I32" i="1"/>
  <c r="AC32" i="1"/>
  <c r="AE32" i="1"/>
  <c r="U37" i="5" s="1"/>
  <c r="AF32" i="1"/>
  <c r="AG32" i="1"/>
  <c r="CU32" i="1" s="1"/>
  <c r="T32" i="1" s="1"/>
  <c r="AH32" i="1"/>
  <c r="AI32" i="1"/>
  <c r="CW32" i="1" s="1"/>
  <c r="V32" i="1" s="1"/>
  <c r="AJ32" i="1"/>
  <c r="CX32" i="1" s="1"/>
  <c r="W32" i="1" s="1"/>
  <c r="CQ32" i="1"/>
  <c r="P32" i="1" s="1"/>
  <c r="J42" i="5" s="1"/>
  <c r="CV32" i="1"/>
  <c r="U32" i="1" s="1"/>
  <c r="K45" i="5" s="1"/>
  <c r="FR32" i="1"/>
  <c r="GL32" i="1"/>
  <c r="GN32" i="1"/>
  <c r="GO32" i="1"/>
  <c r="GV32" i="1"/>
  <c r="HC32" i="1" s="1"/>
  <c r="GX32" i="1" s="1"/>
  <c r="C33" i="1"/>
  <c r="D33" i="1"/>
  <c r="I33" i="1"/>
  <c r="AC33" i="1"/>
  <c r="AE33" i="1"/>
  <c r="AF33" i="1"/>
  <c r="AG33" i="1"/>
  <c r="CU33" i="1" s="1"/>
  <c r="T33" i="1" s="1"/>
  <c r="AH33" i="1"/>
  <c r="CV33" i="1" s="1"/>
  <c r="U33" i="1" s="1"/>
  <c r="K52" i="5" s="1"/>
  <c r="AI33" i="1"/>
  <c r="CW33" i="1" s="1"/>
  <c r="AJ33" i="1"/>
  <c r="CX33" i="1" s="1"/>
  <c r="CQ33" i="1"/>
  <c r="P33" i="1" s="1"/>
  <c r="J50" i="5" s="1"/>
  <c r="FR33" i="1"/>
  <c r="BY42" i="1" s="1"/>
  <c r="GL33" i="1"/>
  <c r="GN33" i="1"/>
  <c r="GO33" i="1"/>
  <c r="GV33" i="1"/>
  <c r="HC33" i="1" s="1"/>
  <c r="GX33" i="1" s="1"/>
  <c r="C34" i="1"/>
  <c r="D34" i="1"/>
  <c r="I34" i="1"/>
  <c r="AC34" i="1"/>
  <c r="CQ34" i="1" s="1"/>
  <c r="P34" i="1" s="1"/>
  <c r="AE34" i="1"/>
  <c r="AF34" i="1"/>
  <c r="AG34" i="1"/>
  <c r="AH34" i="1"/>
  <c r="CV34" i="1" s="1"/>
  <c r="U34" i="1" s="1"/>
  <c r="K58" i="5" s="1"/>
  <c r="AI34" i="1"/>
  <c r="CW34" i="1" s="1"/>
  <c r="AJ34" i="1"/>
  <c r="CX34" i="1" s="1"/>
  <c r="CU34" i="1"/>
  <c r="T34" i="1" s="1"/>
  <c r="FR34" i="1"/>
  <c r="GL34" i="1"/>
  <c r="GN34" i="1"/>
  <c r="GO34" i="1"/>
  <c r="GV34" i="1"/>
  <c r="HC34" i="1" s="1"/>
  <c r="GX34" i="1" s="1"/>
  <c r="C35" i="1"/>
  <c r="D35" i="1"/>
  <c r="I35" i="1"/>
  <c r="AC35" i="1"/>
  <c r="CQ35" i="1" s="1"/>
  <c r="P35" i="1" s="1"/>
  <c r="AE35" i="1"/>
  <c r="U60" i="5" s="1"/>
  <c r="AF35" i="1"/>
  <c r="AG35" i="1"/>
  <c r="AH35" i="1"/>
  <c r="AI35" i="1"/>
  <c r="CW35" i="1" s="1"/>
  <c r="V35" i="1" s="1"/>
  <c r="AJ35" i="1"/>
  <c r="CX35" i="1" s="1"/>
  <c r="W35" i="1" s="1"/>
  <c r="CU35" i="1"/>
  <c r="T35" i="1" s="1"/>
  <c r="CV35" i="1"/>
  <c r="U35" i="1" s="1"/>
  <c r="K67" i="5" s="1"/>
  <c r="FR35" i="1"/>
  <c r="GL35" i="1"/>
  <c r="GN35" i="1"/>
  <c r="CB42" i="1" s="1"/>
  <c r="GO35" i="1"/>
  <c r="GV35" i="1"/>
  <c r="HC35" i="1" s="1"/>
  <c r="GX35" i="1" s="1"/>
  <c r="C36" i="1"/>
  <c r="D36" i="1"/>
  <c r="AC36" i="1"/>
  <c r="CQ36" i="1" s="1"/>
  <c r="P36" i="1" s="1"/>
  <c r="AE36" i="1"/>
  <c r="AF36" i="1"/>
  <c r="AG36" i="1"/>
  <c r="CU36" i="1" s="1"/>
  <c r="T36" i="1" s="1"/>
  <c r="AH36" i="1"/>
  <c r="AI36" i="1"/>
  <c r="AJ36" i="1"/>
  <c r="CX36" i="1" s="1"/>
  <c r="W36" i="1" s="1"/>
  <c r="CR36" i="1"/>
  <c r="Q36" i="1" s="1"/>
  <c r="J70" i="5" s="1"/>
  <c r="I72" i="5" s="1"/>
  <c r="CS36" i="1"/>
  <c r="CV36" i="1"/>
  <c r="U36" i="1" s="1"/>
  <c r="CW36" i="1"/>
  <c r="V36" i="1" s="1"/>
  <c r="FR36" i="1"/>
  <c r="GL36" i="1"/>
  <c r="GN36" i="1"/>
  <c r="GO36" i="1"/>
  <c r="GV36" i="1"/>
  <c r="HC36" i="1" s="1"/>
  <c r="GX36" i="1" s="1"/>
  <c r="C37" i="1"/>
  <c r="D37" i="1"/>
  <c r="AC37" i="1"/>
  <c r="AE37" i="1"/>
  <c r="AF37" i="1"/>
  <c r="AG37" i="1"/>
  <c r="AH37" i="1"/>
  <c r="CV37" i="1" s="1"/>
  <c r="U37" i="1" s="1"/>
  <c r="AI37" i="1"/>
  <c r="CW37" i="1" s="1"/>
  <c r="V37" i="1" s="1"/>
  <c r="AJ37" i="1"/>
  <c r="CX37" i="1" s="1"/>
  <c r="W37" i="1" s="1"/>
  <c r="CQ37" i="1"/>
  <c r="P37" i="1" s="1"/>
  <c r="CU37" i="1"/>
  <c r="T37" i="1" s="1"/>
  <c r="FR37" i="1"/>
  <c r="GL37" i="1"/>
  <c r="GN37" i="1"/>
  <c r="GO37" i="1"/>
  <c r="GV37" i="1"/>
  <c r="HC37" i="1" s="1"/>
  <c r="GX37" i="1" s="1"/>
  <c r="C38" i="1"/>
  <c r="D38" i="1"/>
  <c r="I38" i="1"/>
  <c r="AC38" i="1"/>
  <c r="AE38" i="1"/>
  <c r="U77" i="5" s="1"/>
  <c r="AF38" i="1"/>
  <c r="AG38" i="1"/>
  <c r="AH38" i="1"/>
  <c r="AI38" i="1"/>
  <c r="CW38" i="1" s="1"/>
  <c r="V38" i="1" s="1"/>
  <c r="AJ38" i="1"/>
  <c r="CX38" i="1" s="1"/>
  <c r="W38" i="1" s="1"/>
  <c r="CQ38" i="1"/>
  <c r="P38" i="1" s="1"/>
  <c r="J82" i="5" s="1"/>
  <c r="CU38" i="1"/>
  <c r="T38" i="1" s="1"/>
  <c r="CV38" i="1"/>
  <c r="U38" i="1" s="1"/>
  <c r="K85" i="5" s="1"/>
  <c r="FR38" i="1"/>
  <c r="GL38" i="1"/>
  <c r="GN38" i="1"/>
  <c r="GO38" i="1"/>
  <c r="GV38" i="1"/>
  <c r="HC38" i="1" s="1"/>
  <c r="GX38" i="1" s="1"/>
  <c r="C39" i="1"/>
  <c r="D39" i="1"/>
  <c r="I39" i="1"/>
  <c r="AC39" i="1"/>
  <c r="AE39" i="1"/>
  <c r="AF39" i="1"/>
  <c r="AG39" i="1"/>
  <c r="CU39" i="1" s="1"/>
  <c r="T39" i="1" s="1"/>
  <c r="AH39" i="1"/>
  <c r="AI39" i="1"/>
  <c r="CW39" i="1" s="1"/>
  <c r="AJ39" i="1"/>
  <c r="CX39" i="1" s="1"/>
  <c r="CQ39" i="1"/>
  <c r="P39" i="1" s="1"/>
  <c r="J92" i="5" s="1"/>
  <c r="CR39" i="1"/>
  <c r="CV39" i="1"/>
  <c r="FR39" i="1"/>
  <c r="GL39" i="1"/>
  <c r="GN39" i="1"/>
  <c r="GO39" i="1"/>
  <c r="GV39" i="1"/>
  <c r="HC39" i="1" s="1"/>
  <c r="GX39" i="1" s="1"/>
  <c r="AC40" i="1"/>
  <c r="AE40" i="1"/>
  <c r="AF40" i="1"/>
  <c r="CT40" i="1" s="1"/>
  <c r="AG40" i="1"/>
  <c r="CU40" i="1" s="1"/>
  <c r="AH40" i="1"/>
  <c r="CV40" i="1" s="1"/>
  <c r="AI40" i="1"/>
  <c r="AJ40" i="1"/>
  <c r="CX40" i="1" s="1"/>
  <c r="CW40" i="1"/>
  <c r="FR40" i="1"/>
  <c r="GL40" i="1"/>
  <c r="GN40" i="1"/>
  <c r="GO40" i="1"/>
  <c r="GV40" i="1"/>
  <c r="HC40" i="1"/>
  <c r="B42" i="1"/>
  <c r="B30" i="1" s="1"/>
  <c r="C42" i="1"/>
  <c r="C30" i="1" s="1"/>
  <c r="D42" i="1"/>
  <c r="D30" i="1" s="1"/>
  <c r="F42" i="1"/>
  <c r="F30" i="1" s="1"/>
  <c r="G42" i="1"/>
  <c r="BX42" i="1"/>
  <c r="BX30" i="1" s="1"/>
  <c r="BZ42" i="1"/>
  <c r="CG42" i="1" s="1"/>
  <c r="CK42" i="1"/>
  <c r="CL42" i="1"/>
  <c r="CL30" i="1" s="1"/>
  <c r="D71" i="1"/>
  <c r="E73" i="1"/>
  <c r="Z73" i="1"/>
  <c r="AA73" i="1"/>
  <c r="AM73" i="1"/>
  <c r="AN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C75" i="1"/>
  <c r="D75" i="1"/>
  <c r="I75" i="1"/>
  <c r="AC75" i="1"/>
  <c r="AD75" i="1"/>
  <c r="AE75" i="1"/>
  <c r="AF75" i="1"/>
  <c r="AG75" i="1"/>
  <c r="CU75" i="1" s="1"/>
  <c r="T75" i="1" s="1"/>
  <c r="AH75" i="1"/>
  <c r="CV75" i="1" s="1"/>
  <c r="AI75" i="1"/>
  <c r="AJ75" i="1"/>
  <c r="CX75" i="1" s="1"/>
  <c r="W75" i="1" s="1"/>
  <c r="CQ75" i="1"/>
  <c r="P75" i="1" s="1"/>
  <c r="J108" i="5" s="1"/>
  <c r="CR75" i="1"/>
  <c r="CS75" i="1"/>
  <c r="CW75" i="1"/>
  <c r="V75" i="1" s="1"/>
  <c r="FR75" i="1"/>
  <c r="GL75" i="1"/>
  <c r="GN75" i="1"/>
  <c r="GO75" i="1"/>
  <c r="GV75" i="1"/>
  <c r="HC75" i="1" s="1"/>
  <c r="C76" i="1"/>
  <c r="D76" i="1"/>
  <c r="I76" i="1"/>
  <c r="AC76" i="1"/>
  <c r="AD76" i="1"/>
  <c r="AE76" i="1"/>
  <c r="AF76" i="1"/>
  <c r="AG76" i="1"/>
  <c r="CU76" i="1" s="1"/>
  <c r="AH76" i="1"/>
  <c r="CV76" i="1" s="1"/>
  <c r="U76" i="1" s="1"/>
  <c r="K120" i="5" s="1"/>
  <c r="AI76" i="1"/>
  <c r="AJ76" i="1"/>
  <c r="CX76" i="1" s="1"/>
  <c r="CQ76" i="1"/>
  <c r="CR76" i="1"/>
  <c r="Q76" i="1" s="1"/>
  <c r="J116" i="5" s="1"/>
  <c r="CS76" i="1"/>
  <c r="CW76" i="1"/>
  <c r="V76" i="1" s="1"/>
  <c r="FR76" i="1"/>
  <c r="GL76" i="1"/>
  <c r="GN76" i="1"/>
  <c r="GO76" i="1"/>
  <c r="GV76" i="1"/>
  <c r="HC76" i="1" s="1"/>
  <c r="GX76" i="1" s="1"/>
  <c r="C77" i="1"/>
  <c r="D77" i="1"/>
  <c r="I77" i="1"/>
  <c r="AC77" i="1"/>
  <c r="AE77" i="1"/>
  <c r="U122" i="5" s="1"/>
  <c r="AF77" i="1"/>
  <c r="AG77" i="1"/>
  <c r="CU77" i="1" s="1"/>
  <c r="T77" i="1" s="1"/>
  <c r="AH77" i="1"/>
  <c r="CV77" i="1" s="1"/>
  <c r="AI77" i="1"/>
  <c r="CW77" i="1" s="1"/>
  <c r="V77" i="1" s="1"/>
  <c r="AJ77" i="1"/>
  <c r="CX77" i="1" s="1"/>
  <c r="W77" i="1" s="1"/>
  <c r="CQ77" i="1"/>
  <c r="P77" i="1" s="1"/>
  <c r="CS77" i="1"/>
  <c r="FR77" i="1"/>
  <c r="GL77" i="1"/>
  <c r="BZ81" i="1" s="1"/>
  <c r="GN77" i="1"/>
  <c r="GO77" i="1"/>
  <c r="GV77" i="1"/>
  <c r="HC77" i="1"/>
  <c r="C78" i="1"/>
  <c r="D78" i="1"/>
  <c r="I78" i="1"/>
  <c r="AC78" i="1"/>
  <c r="AE78" i="1"/>
  <c r="U128" i="5" s="1"/>
  <c r="AF78" i="1"/>
  <c r="AG78" i="1"/>
  <c r="CU78" i="1" s="1"/>
  <c r="T78" i="1" s="1"/>
  <c r="AH78" i="1"/>
  <c r="CV78" i="1" s="1"/>
  <c r="U78" i="1" s="1"/>
  <c r="K137" i="5" s="1"/>
  <c r="AI78" i="1"/>
  <c r="CW78" i="1" s="1"/>
  <c r="V78" i="1" s="1"/>
  <c r="AJ78" i="1"/>
  <c r="CX78" i="1" s="1"/>
  <c r="CQ78" i="1"/>
  <c r="FR78" i="1"/>
  <c r="GL78" i="1"/>
  <c r="GN78" i="1"/>
  <c r="GO78" i="1"/>
  <c r="GV78" i="1"/>
  <c r="HC78" i="1" s="1"/>
  <c r="GX78" i="1" s="1"/>
  <c r="AC79" i="1"/>
  <c r="AD79" i="1"/>
  <c r="AB79" i="1" s="1"/>
  <c r="AE79" i="1"/>
  <c r="AF79" i="1"/>
  <c r="AG79" i="1"/>
  <c r="CU79" i="1" s="1"/>
  <c r="AH79" i="1"/>
  <c r="CV79" i="1" s="1"/>
  <c r="AI79" i="1"/>
  <c r="AJ79" i="1"/>
  <c r="CX79" i="1" s="1"/>
  <c r="CQ79" i="1"/>
  <c r="CR79" i="1"/>
  <c r="CS79" i="1"/>
  <c r="CW79" i="1"/>
  <c r="FR79" i="1"/>
  <c r="GL79" i="1"/>
  <c r="GN79" i="1"/>
  <c r="GO79" i="1"/>
  <c r="GV79" i="1"/>
  <c r="HC79" i="1" s="1"/>
  <c r="B81" i="1"/>
  <c r="B73" i="1" s="1"/>
  <c r="C81" i="1"/>
  <c r="C73" i="1" s="1"/>
  <c r="D81" i="1"/>
  <c r="D73" i="1" s="1"/>
  <c r="F81" i="1"/>
  <c r="F73" i="1" s="1"/>
  <c r="G81" i="1"/>
  <c r="BC81" i="1"/>
  <c r="BC73" i="1" s="1"/>
  <c r="BX81" i="1"/>
  <c r="CC81" i="1"/>
  <c r="CC73" i="1" s="1"/>
  <c r="CK81" i="1"/>
  <c r="CK73" i="1" s="1"/>
  <c r="CL81" i="1"/>
  <c r="CL73" i="1" s="1"/>
  <c r="D110" i="1"/>
  <c r="E112" i="1"/>
  <c r="Z112" i="1"/>
  <c r="AA112" i="1"/>
  <c r="AM112" i="1"/>
  <c r="AN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C114" i="1"/>
  <c r="D114" i="1"/>
  <c r="I114" i="1"/>
  <c r="AC114" i="1"/>
  <c r="CQ114" i="1" s="1"/>
  <c r="P114" i="1" s="1"/>
  <c r="J149" i="5" s="1"/>
  <c r="AE114" i="1"/>
  <c r="AF114" i="1"/>
  <c r="AG114" i="1"/>
  <c r="CU114" i="1" s="1"/>
  <c r="T114" i="1" s="1"/>
  <c r="AG117" i="1" s="1"/>
  <c r="AH114" i="1"/>
  <c r="CV114" i="1" s="1"/>
  <c r="U114" i="1" s="1"/>
  <c r="AI114" i="1"/>
  <c r="CW114" i="1" s="1"/>
  <c r="AJ114" i="1"/>
  <c r="CX114" i="1" s="1"/>
  <c r="W114" i="1" s="1"/>
  <c r="CT114" i="1"/>
  <c r="S114" i="1" s="1"/>
  <c r="J146" i="5" s="1"/>
  <c r="FR114" i="1"/>
  <c r="GL114" i="1"/>
  <c r="BZ117" i="1" s="1"/>
  <c r="GN114" i="1"/>
  <c r="CB117" i="1" s="1"/>
  <c r="GO114" i="1"/>
  <c r="GV114" i="1"/>
  <c r="HC114" i="1" s="1"/>
  <c r="C115" i="1"/>
  <c r="D115" i="1"/>
  <c r="I115" i="1"/>
  <c r="AC115" i="1"/>
  <c r="AE115" i="1"/>
  <c r="U154" i="5" s="1"/>
  <c r="AF115" i="1"/>
  <c r="AG115" i="1"/>
  <c r="CU115" i="1" s="1"/>
  <c r="T115" i="1" s="1"/>
  <c r="AH115" i="1"/>
  <c r="AI115" i="1"/>
  <c r="CW115" i="1" s="1"/>
  <c r="V115" i="1" s="1"/>
  <c r="AJ115" i="1"/>
  <c r="CT115" i="1"/>
  <c r="S115" i="1" s="1"/>
  <c r="J156" i="5" s="1"/>
  <c r="CV115" i="1"/>
  <c r="U115" i="1" s="1"/>
  <c r="K159" i="5" s="1"/>
  <c r="CX115" i="1"/>
  <c r="W115" i="1" s="1"/>
  <c r="FR115" i="1"/>
  <c r="GL115" i="1"/>
  <c r="GN115" i="1"/>
  <c r="GO115" i="1"/>
  <c r="GV115" i="1"/>
  <c r="HC115" i="1" s="1"/>
  <c r="GX115" i="1" s="1"/>
  <c r="B117" i="1"/>
  <c r="B112" i="1" s="1"/>
  <c r="C117" i="1"/>
  <c r="C112" i="1" s="1"/>
  <c r="D117" i="1"/>
  <c r="D112" i="1" s="1"/>
  <c r="F117" i="1"/>
  <c r="F112" i="1" s="1"/>
  <c r="G117" i="1"/>
  <c r="BX117" i="1"/>
  <c r="BY117" i="1"/>
  <c r="CC117" i="1"/>
  <c r="CK117" i="1"/>
  <c r="CL117" i="1"/>
  <c r="CL112" i="1" s="1"/>
  <c r="B146" i="1"/>
  <c r="B26" i="1" s="1"/>
  <c r="C146" i="1"/>
  <c r="C26" i="1" s="1"/>
  <c r="D146" i="1"/>
  <c r="D26" i="1" s="1"/>
  <c r="F146" i="1"/>
  <c r="F26" i="1" s="1"/>
  <c r="G146" i="1"/>
  <c r="D175" i="1"/>
  <c r="E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D179" i="1"/>
  <c r="E181" i="1"/>
  <c r="Z181" i="1"/>
  <c r="AA181" i="1"/>
  <c r="AM181" i="1"/>
  <c r="AN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C183" i="1"/>
  <c r="D183" i="1"/>
  <c r="I183" i="1"/>
  <c r="AC183" i="1"/>
  <c r="CQ183" i="1" s="1"/>
  <c r="P183" i="1" s="1"/>
  <c r="J176" i="5" s="1"/>
  <c r="AE183" i="1"/>
  <c r="CR183" i="1" s="1"/>
  <c r="Q183" i="1" s="1"/>
  <c r="J174" i="5" s="1"/>
  <c r="AF183" i="1"/>
  <c r="AG183" i="1"/>
  <c r="CU183" i="1" s="1"/>
  <c r="T183" i="1" s="1"/>
  <c r="AH183" i="1"/>
  <c r="CV183" i="1" s="1"/>
  <c r="U183" i="1" s="1"/>
  <c r="K179" i="5" s="1"/>
  <c r="AI183" i="1"/>
  <c r="CW183" i="1" s="1"/>
  <c r="V183" i="1" s="1"/>
  <c r="AJ183" i="1"/>
  <c r="CX183" i="1" s="1"/>
  <c r="W183" i="1" s="1"/>
  <c r="FR183" i="1"/>
  <c r="GL183" i="1"/>
  <c r="GN183" i="1"/>
  <c r="GO183" i="1"/>
  <c r="GV183" i="1"/>
  <c r="HC183" i="1" s="1"/>
  <c r="GX183" i="1" s="1"/>
  <c r="C184" i="1"/>
  <c r="D184" i="1"/>
  <c r="I184" i="1"/>
  <c r="AC184" i="1"/>
  <c r="AE184" i="1"/>
  <c r="AF184" i="1"/>
  <c r="AG184" i="1"/>
  <c r="CU184" i="1" s="1"/>
  <c r="T184" i="1" s="1"/>
  <c r="AH184" i="1"/>
  <c r="AI184" i="1"/>
  <c r="AJ184" i="1"/>
  <c r="CX184" i="1" s="1"/>
  <c r="W184" i="1" s="1"/>
  <c r="CQ184" i="1"/>
  <c r="P184" i="1" s="1"/>
  <c r="CR184" i="1"/>
  <c r="CS184" i="1"/>
  <c r="CV184" i="1"/>
  <c r="U184" i="1" s="1"/>
  <c r="K186" i="5" s="1"/>
  <c r="CW184" i="1"/>
  <c r="FR184" i="1"/>
  <c r="GL184" i="1"/>
  <c r="GN184" i="1"/>
  <c r="GO184" i="1"/>
  <c r="GV184" i="1"/>
  <c r="HC184" i="1" s="1"/>
  <c r="C185" i="1"/>
  <c r="D185" i="1"/>
  <c r="I185" i="1"/>
  <c r="AC185" i="1"/>
  <c r="CQ185" i="1" s="1"/>
  <c r="P185" i="1" s="1"/>
  <c r="AE185" i="1"/>
  <c r="AF185" i="1"/>
  <c r="AG185" i="1"/>
  <c r="AH185" i="1"/>
  <c r="CV185" i="1" s="1"/>
  <c r="U185" i="1" s="1"/>
  <c r="K192" i="5" s="1"/>
  <c r="AI185" i="1"/>
  <c r="CW185" i="1" s="1"/>
  <c r="V185" i="1" s="1"/>
  <c r="AJ185" i="1"/>
  <c r="CX185" i="1" s="1"/>
  <c r="W185" i="1" s="1"/>
  <c r="CS185" i="1"/>
  <c r="CU185" i="1"/>
  <c r="T185" i="1" s="1"/>
  <c r="FR185" i="1"/>
  <c r="GL185" i="1"/>
  <c r="BZ193" i="1" s="1"/>
  <c r="BZ181" i="1" s="1"/>
  <c r="GN185" i="1"/>
  <c r="GO185" i="1"/>
  <c r="GV185" i="1"/>
  <c r="HC185" i="1" s="1"/>
  <c r="GX185" i="1" s="1"/>
  <c r="C186" i="1"/>
  <c r="D186" i="1"/>
  <c r="I186" i="1"/>
  <c r="AC186" i="1"/>
  <c r="AE186" i="1"/>
  <c r="AF186" i="1"/>
  <c r="AG186" i="1"/>
  <c r="CU186" i="1" s="1"/>
  <c r="T186" i="1" s="1"/>
  <c r="AH186" i="1"/>
  <c r="AI186" i="1"/>
  <c r="CW186" i="1" s="1"/>
  <c r="V186" i="1" s="1"/>
  <c r="AJ186" i="1"/>
  <c r="CX186" i="1" s="1"/>
  <c r="CQ186" i="1"/>
  <c r="P186" i="1" s="1"/>
  <c r="CS186" i="1"/>
  <c r="CV186" i="1"/>
  <c r="U186" i="1" s="1"/>
  <c r="K201" i="5" s="1"/>
  <c r="FR186" i="1"/>
  <c r="GL186" i="1"/>
  <c r="GN186" i="1"/>
  <c r="GO186" i="1"/>
  <c r="GV186" i="1"/>
  <c r="HC186" i="1" s="1"/>
  <c r="C187" i="1"/>
  <c r="D187" i="1"/>
  <c r="AC187" i="1"/>
  <c r="CQ187" i="1" s="1"/>
  <c r="P187" i="1" s="1"/>
  <c r="AE187" i="1"/>
  <c r="AF187" i="1"/>
  <c r="AG187" i="1"/>
  <c r="CU187" i="1" s="1"/>
  <c r="T187" i="1" s="1"/>
  <c r="AH187" i="1"/>
  <c r="AI187" i="1"/>
  <c r="AJ187" i="1"/>
  <c r="CX187" i="1" s="1"/>
  <c r="W187" i="1" s="1"/>
  <c r="CR187" i="1"/>
  <c r="Q187" i="1" s="1"/>
  <c r="J204" i="5" s="1"/>
  <c r="I206" i="5" s="1"/>
  <c r="CV187" i="1"/>
  <c r="U187" i="1" s="1"/>
  <c r="CW187" i="1"/>
  <c r="V187" i="1" s="1"/>
  <c r="FR187" i="1"/>
  <c r="GL187" i="1"/>
  <c r="GN187" i="1"/>
  <c r="GO187" i="1"/>
  <c r="GV187" i="1"/>
  <c r="HC187" i="1"/>
  <c r="GX187" i="1" s="1"/>
  <c r="C188" i="1"/>
  <c r="D188" i="1"/>
  <c r="AC188" i="1"/>
  <c r="CQ188" i="1" s="1"/>
  <c r="P188" i="1" s="1"/>
  <c r="AE188" i="1"/>
  <c r="AF188" i="1"/>
  <c r="AG188" i="1"/>
  <c r="CU188" i="1" s="1"/>
  <c r="T188" i="1" s="1"/>
  <c r="AH188" i="1"/>
  <c r="CV188" i="1" s="1"/>
  <c r="U188" i="1" s="1"/>
  <c r="AI188" i="1"/>
  <c r="CW188" i="1" s="1"/>
  <c r="V188" i="1" s="1"/>
  <c r="AJ188" i="1"/>
  <c r="CT188" i="1"/>
  <c r="S188" i="1" s="1"/>
  <c r="CX188" i="1"/>
  <c r="W188" i="1" s="1"/>
  <c r="FR188" i="1"/>
  <c r="GL188" i="1"/>
  <c r="GN188" i="1"/>
  <c r="GO188" i="1"/>
  <c r="GV188" i="1"/>
  <c r="HC188" i="1" s="1"/>
  <c r="GX188" i="1" s="1"/>
  <c r="C189" i="1"/>
  <c r="D189" i="1"/>
  <c r="I189" i="1"/>
  <c r="AC189" i="1"/>
  <c r="CQ189" i="1" s="1"/>
  <c r="P189" i="1" s="1"/>
  <c r="J216" i="5" s="1"/>
  <c r="AE189" i="1"/>
  <c r="AF189" i="1"/>
  <c r="AG189" i="1"/>
  <c r="CU189" i="1" s="1"/>
  <c r="T189" i="1" s="1"/>
  <c r="AH189" i="1"/>
  <c r="CV189" i="1" s="1"/>
  <c r="U189" i="1" s="1"/>
  <c r="K219" i="5" s="1"/>
  <c r="AI189" i="1"/>
  <c r="AJ189" i="1"/>
  <c r="CX189" i="1" s="1"/>
  <c r="CR189" i="1"/>
  <c r="Q189" i="1" s="1"/>
  <c r="J214" i="5" s="1"/>
  <c r="CS189" i="1"/>
  <c r="CW189" i="1"/>
  <c r="V189" i="1" s="1"/>
  <c r="FR189" i="1"/>
  <c r="GL189" i="1"/>
  <c r="GN189" i="1"/>
  <c r="GO189" i="1"/>
  <c r="GV189" i="1"/>
  <c r="HC189" i="1"/>
  <c r="GX189" i="1" s="1"/>
  <c r="C190" i="1"/>
  <c r="D190" i="1"/>
  <c r="I190" i="1"/>
  <c r="AC190" i="1"/>
  <c r="CQ190" i="1" s="1"/>
  <c r="P190" i="1" s="1"/>
  <c r="J226" i="5" s="1"/>
  <c r="AE190" i="1"/>
  <c r="CS190" i="1" s="1"/>
  <c r="AF190" i="1"/>
  <c r="AG190" i="1"/>
  <c r="CU190" i="1" s="1"/>
  <c r="T190" i="1" s="1"/>
  <c r="AH190" i="1"/>
  <c r="AI190" i="1"/>
  <c r="CW190" i="1" s="1"/>
  <c r="V190" i="1" s="1"/>
  <c r="AJ190" i="1"/>
  <c r="CX190" i="1" s="1"/>
  <c r="CV190" i="1"/>
  <c r="U190" i="1" s="1"/>
  <c r="K230" i="5" s="1"/>
  <c r="FR190" i="1"/>
  <c r="GL190" i="1"/>
  <c r="GN190" i="1"/>
  <c r="GO190" i="1"/>
  <c r="GV190" i="1"/>
  <c r="HC190" i="1" s="1"/>
  <c r="GX190" i="1" s="1"/>
  <c r="AC191" i="1"/>
  <c r="AD191" i="1"/>
  <c r="AE191" i="1"/>
  <c r="AF191" i="1"/>
  <c r="AG191" i="1"/>
  <c r="AH191" i="1"/>
  <c r="CV191" i="1" s="1"/>
  <c r="AI191" i="1"/>
  <c r="AJ191" i="1"/>
  <c r="CX191" i="1" s="1"/>
  <c r="CQ191" i="1"/>
  <c r="CR191" i="1"/>
  <c r="CS191" i="1"/>
  <c r="CT191" i="1"/>
  <c r="CU191" i="1"/>
  <c r="CW191" i="1"/>
  <c r="FR191" i="1"/>
  <c r="GL191" i="1"/>
  <c r="GN191" i="1"/>
  <c r="GO191" i="1"/>
  <c r="GV191" i="1"/>
  <c r="HC191" i="1" s="1"/>
  <c r="B193" i="1"/>
  <c r="B181" i="1" s="1"/>
  <c r="C193" i="1"/>
  <c r="C181" i="1" s="1"/>
  <c r="D193" i="1"/>
  <c r="D181" i="1" s="1"/>
  <c r="F193" i="1"/>
  <c r="F181" i="1" s="1"/>
  <c r="G193" i="1"/>
  <c r="BX193" i="1"/>
  <c r="BX181" i="1" s="1"/>
  <c r="CC193" i="1"/>
  <c r="CC181" i="1" s="1"/>
  <c r="CK193" i="1"/>
  <c r="CK181" i="1" s="1"/>
  <c r="CL193" i="1"/>
  <c r="CL181" i="1" s="1"/>
  <c r="D222" i="1"/>
  <c r="E224" i="1"/>
  <c r="Z224" i="1"/>
  <c r="AA224" i="1"/>
  <c r="AM224" i="1"/>
  <c r="AN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C226" i="1"/>
  <c r="D226" i="1"/>
  <c r="I226" i="1"/>
  <c r="AC226" i="1"/>
  <c r="AE226" i="1"/>
  <c r="AF226" i="1"/>
  <c r="AG226" i="1"/>
  <c r="AH226" i="1"/>
  <c r="CV226" i="1" s="1"/>
  <c r="U226" i="1" s="1"/>
  <c r="K245" i="5" s="1"/>
  <c r="AI226" i="1"/>
  <c r="CW226" i="1" s="1"/>
  <c r="V226" i="1" s="1"/>
  <c r="AJ226" i="1"/>
  <c r="CX226" i="1" s="1"/>
  <c r="CS226" i="1"/>
  <c r="CU226" i="1"/>
  <c r="FR226" i="1"/>
  <c r="GL226" i="1"/>
  <c r="GN226" i="1"/>
  <c r="GO226" i="1"/>
  <c r="GV226" i="1"/>
  <c r="HC226" i="1" s="1"/>
  <c r="C227" i="1"/>
  <c r="D227" i="1"/>
  <c r="I227" i="1"/>
  <c r="AC227" i="1"/>
  <c r="AD227" i="1"/>
  <c r="AB227" i="1" s="1"/>
  <c r="AE227" i="1"/>
  <c r="AF227" i="1"/>
  <c r="AG227" i="1"/>
  <c r="CU227" i="1" s="1"/>
  <c r="T227" i="1" s="1"/>
  <c r="AH227" i="1"/>
  <c r="CV227" i="1" s="1"/>
  <c r="U227" i="1" s="1"/>
  <c r="K254" i="5" s="1"/>
  <c r="AI227" i="1"/>
  <c r="CW227" i="1" s="1"/>
  <c r="AJ227" i="1"/>
  <c r="CX227" i="1" s="1"/>
  <c r="W227" i="1" s="1"/>
  <c r="CQ227" i="1"/>
  <c r="P227" i="1" s="1"/>
  <c r="CR227" i="1"/>
  <c r="Q227" i="1" s="1"/>
  <c r="J250" i="5" s="1"/>
  <c r="FR227" i="1"/>
  <c r="GL227" i="1"/>
  <c r="GN227" i="1"/>
  <c r="GO227" i="1"/>
  <c r="GV227" i="1"/>
  <c r="HC227" i="1" s="1"/>
  <c r="GX227" i="1" s="1"/>
  <c r="C228" i="1"/>
  <c r="D228" i="1"/>
  <c r="I228" i="1"/>
  <c r="AC228" i="1"/>
  <c r="CQ228" i="1" s="1"/>
  <c r="P228" i="1" s="1"/>
  <c r="AE228" i="1"/>
  <c r="AF228" i="1"/>
  <c r="AG228" i="1"/>
  <c r="CU228" i="1" s="1"/>
  <c r="T228" i="1" s="1"/>
  <c r="AH228" i="1"/>
  <c r="CV228" i="1" s="1"/>
  <c r="U228" i="1" s="1"/>
  <c r="K260" i="5" s="1"/>
  <c r="AI228" i="1"/>
  <c r="CW228" i="1" s="1"/>
  <c r="V228" i="1" s="1"/>
  <c r="AJ228" i="1"/>
  <c r="CS228" i="1"/>
  <c r="CX228" i="1"/>
  <c r="W228" i="1" s="1"/>
  <c r="FR228" i="1"/>
  <c r="GL228" i="1"/>
  <c r="GN228" i="1"/>
  <c r="CB232" i="1" s="1"/>
  <c r="CB224" i="1" s="1"/>
  <c r="GO228" i="1"/>
  <c r="CC232" i="1" s="1"/>
  <c r="GV228" i="1"/>
  <c r="HC228" i="1"/>
  <c r="GX228" i="1" s="1"/>
  <c r="C229" i="1"/>
  <c r="D229" i="1"/>
  <c r="I229" i="1"/>
  <c r="AC229" i="1"/>
  <c r="CQ229" i="1" s="1"/>
  <c r="P229" i="1" s="1"/>
  <c r="AE229" i="1"/>
  <c r="AF229" i="1"/>
  <c r="AG229" i="1"/>
  <c r="CU229" i="1" s="1"/>
  <c r="T229" i="1" s="1"/>
  <c r="AH229" i="1"/>
  <c r="AI229" i="1"/>
  <c r="CW229" i="1" s="1"/>
  <c r="V229" i="1" s="1"/>
  <c r="AJ229" i="1"/>
  <c r="CX229" i="1" s="1"/>
  <c r="W229" i="1" s="1"/>
  <c r="CV229" i="1"/>
  <c r="U229" i="1" s="1"/>
  <c r="K271" i="5" s="1"/>
  <c r="FR229" i="1"/>
  <c r="GL229" i="1"/>
  <c r="GN229" i="1"/>
  <c r="GO229" i="1"/>
  <c r="GV229" i="1"/>
  <c r="HC229" i="1"/>
  <c r="GX229" i="1" s="1"/>
  <c r="I230" i="1"/>
  <c r="AC230" i="1"/>
  <c r="AE230" i="1"/>
  <c r="AF230" i="1"/>
  <c r="CT230" i="1" s="1"/>
  <c r="S230" i="1" s="1"/>
  <c r="AG230" i="1"/>
  <c r="AH230" i="1"/>
  <c r="AI230" i="1"/>
  <c r="AJ230" i="1"/>
  <c r="CS230" i="1"/>
  <c r="CU230" i="1"/>
  <c r="T230" i="1" s="1"/>
  <c r="CV230" i="1"/>
  <c r="U230" i="1" s="1"/>
  <c r="CW230" i="1"/>
  <c r="V230" i="1" s="1"/>
  <c r="CX230" i="1"/>
  <c r="W230" i="1" s="1"/>
  <c r="FR230" i="1"/>
  <c r="GL230" i="1"/>
  <c r="GN230" i="1"/>
  <c r="GO230" i="1"/>
  <c r="GV230" i="1"/>
  <c r="HC230" i="1" s="1"/>
  <c r="GX230" i="1" s="1"/>
  <c r="B232" i="1"/>
  <c r="B224" i="1" s="1"/>
  <c r="C232" i="1"/>
  <c r="C224" i="1" s="1"/>
  <c r="D232" i="1"/>
  <c r="D224" i="1" s="1"/>
  <c r="F232" i="1"/>
  <c r="F224" i="1" s="1"/>
  <c r="G232" i="1"/>
  <c r="AO232" i="1"/>
  <c r="AO224" i="1" s="1"/>
  <c r="AP232" i="1"/>
  <c r="AP224" i="1" s="1"/>
  <c r="BX232" i="1"/>
  <c r="BX224" i="1" s="1"/>
  <c r="BY232" i="1"/>
  <c r="BY224" i="1" s="1"/>
  <c r="BZ232" i="1"/>
  <c r="BZ224" i="1" s="1"/>
  <c r="CK232" i="1"/>
  <c r="CK224" i="1" s="1"/>
  <c r="CL232" i="1"/>
  <c r="CL224" i="1" s="1"/>
  <c r="D261" i="1"/>
  <c r="E263" i="1"/>
  <c r="Z263" i="1"/>
  <c r="AA263" i="1"/>
  <c r="AM263" i="1"/>
  <c r="AN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GU263" i="1"/>
  <c r="GV263" i="1"/>
  <c r="GW263" i="1"/>
  <c r="GX263" i="1"/>
  <c r="C265" i="1"/>
  <c r="D265" i="1"/>
  <c r="I265" i="1"/>
  <c r="AC265" i="1"/>
  <c r="AE265" i="1"/>
  <c r="AF265" i="1"/>
  <c r="AG265" i="1"/>
  <c r="AH265" i="1"/>
  <c r="AI265" i="1"/>
  <c r="AJ265" i="1"/>
  <c r="CQ265" i="1"/>
  <c r="P265" i="1" s="1"/>
  <c r="J283" i="5" s="1"/>
  <c r="CS265" i="1"/>
  <c r="CT265" i="1"/>
  <c r="CU265" i="1"/>
  <c r="T265" i="1" s="1"/>
  <c r="CV265" i="1"/>
  <c r="CW265" i="1"/>
  <c r="CX265" i="1"/>
  <c r="FR265" i="1"/>
  <c r="BY268" i="1" s="1"/>
  <c r="GL265" i="1"/>
  <c r="GN265" i="1"/>
  <c r="GO265" i="1"/>
  <c r="CC268" i="1" s="1"/>
  <c r="GV265" i="1"/>
  <c r="HC265" i="1" s="1"/>
  <c r="GX265" i="1" s="1"/>
  <c r="C266" i="1"/>
  <c r="D266" i="1"/>
  <c r="I266" i="1"/>
  <c r="AC266" i="1"/>
  <c r="CQ266" i="1" s="1"/>
  <c r="P266" i="1" s="1"/>
  <c r="J291" i="5" s="1"/>
  <c r="AE266" i="1"/>
  <c r="AF266" i="1"/>
  <c r="AG266" i="1"/>
  <c r="AH266" i="1"/>
  <c r="AI266" i="1"/>
  <c r="AJ266" i="1"/>
  <c r="CR266" i="1"/>
  <c r="Q266" i="1" s="1"/>
  <c r="CS266" i="1"/>
  <c r="CT266" i="1"/>
  <c r="CU266" i="1"/>
  <c r="T266" i="1" s="1"/>
  <c r="CV266" i="1"/>
  <c r="U266" i="1" s="1"/>
  <c r="K293" i="5" s="1"/>
  <c r="CW266" i="1"/>
  <c r="CX266" i="1"/>
  <c r="FR266" i="1"/>
  <c r="GL266" i="1"/>
  <c r="BZ268" i="1" s="1"/>
  <c r="BZ263" i="1" s="1"/>
  <c r="GN266" i="1"/>
  <c r="GO266" i="1"/>
  <c r="GV266" i="1"/>
  <c r="HC266" i="1"/>
  <c r="GX266" i="1" s="1"/>
  <c r="B268" i="1"/>
  <c r="B263" i="1" s="1"/>
  <c r="C268" i="1"/>
  <c r="C263" i="1" s="1"/>
  <c r="D268" i="1"/>
  <c r="D263" i="1" s="1"/>
  <c r="F268" i="1"/>
  <c r="F263" i="1" s="1"/>
  <c r="G268" i="1"/>
  <c r="BB268" i="1"/>
  <c r="BB263" i="1" s="1"/>
  <c r="BX268" i="1"/>
  <c r="AO268" i="1" s="1"/>
  <c r="CB268" i="1"/>
  <c r="AS268" i="1" s="1"/>
  <c r="CK268" i="1"/>
  <c r="CK263" i="1" s="1"/>
  <c r="CL268" i="1"/>
  <c r="CL263" i="1" s="1"/>
  <c r="B297" i="1"/>
  <c r="B177" i="1" s="1"/>
  <c r="C297" i="1"/>
  <c r="C177" i="1" s="1"/>
  <c r="D297" i="1"/>
  <c r="D177" i="1" s="1"/>
  <c r="F297" i="1"/>
  <c r="F177" i="1" s="1"/>
  <c r="G297" i="1"/>
  <c r="B326" i="1"/>
  <c r="B22" i="1" s="1"/>
  <c r="C326" i="1"/>
  <c r="C22" i="1" s="1"/>
  <c r="D326" i="1"/>
  <c r="D22" i="1" s="1"/>
  <c r="F326" i="1"/>
  <c r="F22" i="1" s="1"/>
  <c r="G326" i="1"/>
  <c r="B355" i="1"/>
  <c r="B18" i="1" s="1"/>
  <c r="C355" i="1"/>
  <c r="C18" i="1" s="1"/>
  <c r="D355" i="1"/>
  <c r="D18" i="1" s="1"/>
  <c r="F355" i="1"/>
  <c r="F18" i="1" s="1"/>
  <c r="G355" i="1"/>
  <c r="R190" i="1" l="1"/>
  <c r="V221" i="5"/>
  <c r="M9" i="7"/>
  <c r="O9" i="7"/>
  <c r="AS117" i="1"/>
  <c r="CB112" i="1"/>
  <c r="O60" i="7"/>
  <c r="M60" i="7"/>
  <c r="M50" i="7"/>
  <c r="O50" i="7"/>
  <c r="CC224" i="1"/>
  <c r="AT232" i="1"/>
  <c r="BZ112" i="1"/>
  <c r="AQ117" i="1"/>
  <c r="CI117" i="1"/>
  <c r="CG30" i="1"/>
  <c r="AX42" i="1"/>
  <c r="BY30" i="1"/>
  <c r="AP42" i="1"/>
  <c r="O37" i="7"/>
  <c r="F18" i="6" s="1"/>
  <c r="M37" i="7"/>
  <c r="M15" i="7"/>
  <c r="O15" i="7"/>
  <c r="CC263" i="1"/>
  <c r="AT268" i="1"/>
  <c r="M42" i="7"/>
  <c r="O42" i="7"/>
  <c r="BY263" i="1"/>
  <c r="AP268" i="1"/>
  <c r="CG117" i="1"/>
  <c r="CG112" i="1" s="1"/>
  <c r="AH117" i="1"/>
  <c r="K152" i="5"/>
  <c r="CB30" i="1"/>
  <c r="AS42" i="1"/>
  <c r="M64" i="7"/>
  <c r="O64" i="7"/>
  <c r="M55" i="7"/>
  <c r="O55" i="7"/>
  <c r="Q262" i="5"/>
  <c r="S262" i="5"/>
  <c r="AD228" i="1"/>
  <c r="U256" i="5"/>
  <c r="CS188" i="1"/>
  <c r="U207" i="5"/>
  <c r="D45" i="8"/>
  <c r="C195" i="5"/>
  <c r="E194" i="5"/>
  <c r="CS183" i="1"/>
  <c r="S73" i="5"/>
  <c r="Q73" i="5"/>
  <c r="O54" i="7"/>
  <c r="M54" i="7"/>
  <c r="O49" i="7"/>
  <c r="M49" i="7"/>
  <c r="M44" i="7"/>
  <c r="O44" i="7"/>
  <c r="O47" i="7"/>
  <c r="M47" i="7"/>
  <c r="O43" i="7"/>
  <c r="M43" i="7"/>
  <c r="O35" i="7"/>
  <c r="M35" i="7"/>
  <c r="M28" i="7"/>
  <c r="O28" i="7"/>
  <c r="O23" i="7"/>
  <c r="M23" i="7"/>
  <c r="O16" i="7"/>
  <c r="M16" i="7"/>
  <c r="O12" i="7"/>
  <c r="M12" i="7"/>
  <c r="D59" i="8"/>
  <c r="I68" i="7"/>
  <c r="I67" i="7"/>
  <c r="E288" i="5"/>
  <c r="C289" i="5"/>
  <c r="W265" i="1"/>
  <c r="AJ268" i="1" s="1"/>
  <c r="S265" i="1"/>
  <c r="J280" i="5" s="1"/>
  <c r="S278" i="5"/>
  <c r="Q278" i="5"/>
  <c r="R230" i="1"/>
  <c r="GK230" i="1" s="1"/>
  <c r="V268" i="5"/>
  <c r="AD230" i="1"/>
  <c r="P62" i="7"/>
  <c r="S62" i="7"/>
  <c r="T62" i="7" s="1"/>
  <c r="U268" i="5"/>
  <c r="CT229" i="1"/>
  <c r="S229" i="1" s="1"/>
  <c r="J264" i="5" s="1"/>
  <c r="AD229" i="1"/>
  <c r="U262" i="5"/>
  <c r="CR228" i="1"/>
  <c r="Q228" i="1" s="1"/>
  <c r="CP228" i="1" s="1"/>
  <c r="O228" i="1" s="1"/>
  <c r="GX226" i="1"/>
  <c r="R226" i="1"/>
  <c r="J241" i="5" s="1"/>
  <c r="V237" i="5"/>
  <c r="J244" i="5" s="1"/>
  <c r="AD226" i="1"/>
  <c r="AB226" i="1" s="1"/>
  <c r="U237" i="5"/>
  <c r="G181" i="1"/>
  <c r="A233" i="5"/>
  <c r="AB191" i="1"/>
  <c r="N52" i="7"/>
  <c r="K52" i="7"/>
  <c r="I46" i="7"/>
  <c r="I44" i="7"/>
  <c r="D48" i="8"/>
  <c r="I47" i="7"/>
  <c r="I45" i="7"/>
  <c r="E211" i="5"/>
  <c r="C212" i="5"/>
  <c r="CR188" i="1"/>
  <c r="Q188" i="1" s="1"/>
  <c r="J208" i="5" s="1"/>
  <c r="I210" i="5" s="1"/>
  <c r="Q203" i="5"/>
  <c r="S203" i="5"/>
  <c r="W186" i="1"/>
  <c r="CT186" i="1"/>
  <c r="S186" i="1" s="1"/>
  <c r="J196" i="5" s="1"/>
  <c r="S194" i="5"/>
  <c r="Q194" i="5"/>
  <c r="R185" i="1"/>
  <c r="GK185" i="1" s="1"/>
  <c r="V188" i="5"/>
  <c r="AD185" i="1"/>
  <c r="AB185" i="1" s="1"/>
  <c r="U188" i="5"/>
  <c r="CT184" i="1"/>
  <c r="S184" i="1" s="1"/>
  <c r="J183" i="5" s="1"/>
  <c r="S181" i="5"/>
  <c r="Q181" i="5"/>
  <c r="I42" i="7"/>
  <c r="D43" i="8"/>
  <c r="I43" i="7"/>
  <c r="E181" i="5"/>
  <c r="C182" i="5"/>
  <c r="G26" i="1"/>
  <c r="A165" i="5"/>
  <c r="AF165" i="5"/>
  <c r="BC117" i="1"/>
  <c r="D38" i="8"/>
  <c r="I34" i="7"/>
  <c r="I35" i="7"/>
  <c r="I33" i="7"/>
  <c r="C145" i="5"/>
  <c r="E144" i="5"/>
  <c r="BX112" i="1"/>
  <c r="F97" i="1"/>
  <c r="BB81" i="1"/>
  <c r="N31" i="7"/>
  <c r="K31" i="7"/>
  <c r="CR78" i="1"/>
  <c r="Q78" i="1" s="1"/>
  <c r="J131" i="5" s="1"/>
  <c r="AD78" i="1"/>
  <c r="D35" i="8"/>
  <c r="I30" i="7"/>
  <c r="I28" i="7"/>
  <c r="I29" i="7"/>
  <c r="E128" i="5"/>
  <c r="I27" i="7"/>
  <c r="C129" i="5"/>
  <c r="CR77" i="1"/>
  <c r="AD77" i="1"/>
  <c r="P76" i="1"/>
  <c r="S21" i="7"/>
  <c r="P21" i="7"/>
  <c r="U93" i="5"/>
  <c r="U39" i="1"/>
  <c r="K96" i="5" s="1"/>
  <c r="W39" i="1"/>
  <c r="CT39" i="1"/>
  <c r="S39" i="1" s="1"/>
  <c r="J89" i="5" s="1"/>
  <c r="S87" i="5"/>
  <c r="Q87" i="5"/>
  <c r="CT37" i="1"/>
  <c r="S37" i="1" s="1"/>
  <c r="CZ37" i="1" s="1"/>
  <c r="Y37" i="1" s="1"/>
  <c r="T73" i="5" s="1"/>
  <c r="CS37" i="1"/>
  <c r="U73" i="5"/>
  <c r="CC42" i="1"/>
  <c r="Q69" i="5"/>
  <c r="S69" i="5"/>
  <c r="CX8" i="3"/>
  <c r="D24" i="8"/>
  <c r="E54" i="5"/>
  <c r="C55" i="5"/>
  <c r="W33" i="1"/>
  <c r="CT33" i="1"/>
  <c r="S33" i="1" s="1"/>
  <c r="S47" i="5"/>
  <c r="Q47" i="5"/>
  <c r="T67" i="7"/>
  <c r="R67" i="7"/>
  <c r="T64" i="7"/>
  <c r="R64" i="7"/>
  <c r="O65" i="7"/>
  <c r="M65" i="7"/>
  <c r="T58" i="7"/>
  <c r="R58" i="7"/>
  <c r="T60" i="7"/>
  <c r="R60" i="7"/>
  <c r="M61" i="7"/>
  <c r="O61" i="7"/>
  <c r="T55" i="7"/>
  <c r="R55" i="7"/>
  <c r="O56" i="7"/>
  <c r="M56" i="7"/>
  <c r="T48" i="7"/>
  <c r="R48" i="7"/>
  <c r="T50" i="7"/>
  <c r="R50" i="7"/>
  <c r="O51" i="7"/>
  <c r="M51" i="7"/>
  <c r="T45" i="7"/>
  <c r="R45" i="7"/>
  <c r="T42" i="7"/>
  <c r="R42" i="7"/>
  <c r="T37" i="7"/>
  <c r="R37" i="7"/>
  <c r="T33" i="7"/>
  <c r="R33" i="7"/>
  <c r="T29" i="7"/>
  <c r="R29" i="7"/>
  <c r="T24" i="7"/>
  <c r="R24" i="7"/>
  <c r="T19" i="7"/>
  <c r="R19" i="7"/>
  <c r="M13" i="7"/>
  <c r="O13" i="7"/>
  <c r="T15" i="7"/>
  <c r="R15" i="7"/>
  <c r="T11" i="7"/>
  <c r="R11" i="7"/>
  <c r="T9" i="7"/>
  <c r="R9" i="7"/>
  <c r="O10" i="7"/>
  <c r="M10" i="7"/>
  <c r="D58" i="8"/>
  <c r="I66" i="7"/>
  <c r="I64" i="7"/>
  <c r="I65" i="7"/>
  <c r="E278" i="5"/>
  <c r="C279" i="5"/>
  <c r="R228" i="1"/>
  <c r="GK228" i="1" s="1"/>
  <c r="V256" i="5"/>
  <c r="CT226" i="1"/>
  <c r="S226" i="1" s="1"/>
  <c r="J239" i="5" s="1"/>
  <c r="S237" i="5"/>
  <c r="Q237" i="5"/>
  <c r="AT193" i="1"/>
  <c r="AD190" i="1"/>
  <c r="AB190" i="1" s="1"/>
  <c r="U221" i="5"/>
  <c r="P206" i="5"/>
  <c r="K206" i="5"/>
  <c r="CP186" i="1"/>
  <c r="O186" i="1" s="1"/>
  <c r="CT185" i="1"/>
  <c r="S185" i="1" s="1"/>
  <c r="J190" i="5" s="1"/>
  <c r="Q188" i="5"/>
  <c r="S188" i="5"/>
  <c r="R77" i="1"/>
  <c r="GK77" i="1" s="1"/>
  <c r="V122" i="5"/>
  <c r="G30" i="1"/>
  <c r="A99" i="5"/>
  <c r="S93" i="5"/>
  <c r="T57" i="7"/>
  <c r="R57" i="7"/>
  <c r="O41" i="7"/>
  <c r="M41" i="7"/>
  <c r="M34" i="7"/>
  <c r="O34" i="7"/>
  <c r="T27" i="7"/>
  <c r="R27" i="7"/>
  <c r="M26" i="7"/>
  <c r="O26" i="7"/>
  <c r="O18" i="7"/>
  <c r="F13" i="6" s="1"/>
  <c r="M18" i="7"/>
  <c r="T14" i="7"/>
  <c r="R14" i="7"/>
  <c r="G18" i="1"/>
  <c r="A3" i="6"/>
  <c r="AF305" i="5"/>
  <c r="A305" i="5"/>
  <c r="W266" i="1"/>
  <c r="S266" i="1"/>
  <c r="J290" i="5" s="1"/>
  <c r="Q288" i="5"/>
  <c r="S288" i="5"/>
  <c r="V265" i="1"/>
  <c r="R265" i="1"/>
  <c r="J282" i="5" s="1"/>
  <c r="V278" i="5"/>
  <c r="J285" i="5" s="1"/>
  <c r="AD265" i="1"/>
  <c r="U278" i="5"/>
  <c r="F241" i="1"/>
  <c r="G224" i="1"/>
  <c r="A274" i="5"/>
  <c r="CR230" i="1"/>
  <c r="Q230" i="1" s="1"/>
  <c r="AB230" i="1"/>
  <c r="K62" i="7"/>
  <c r="N62" i="7"/>
  <c r="CS229" i="1"/>
  <c r="J267" i="5"/>
  <c r="CX83" i="3"/>
  <c r="D54" i="8"/>
  <c r="C257" i="5"/>
  <c r="E256" i="5"/>
  <c r="CT227" i="1"/>
  <c r="S227" i="1" s="1"/>
  <c r="J249" i="5" s="1"/>
  <c r="Q247" i="5"/>
  <c r="S247" i="5"/>
  <c r="D53" i="8"/>
  <c r="E247" i="5"/>
  <c r="C248" i="5"/>
  <c r="CR226" i="1"/>
  <c r="Q226" i="1" s="1"/>
  <c r="J240" i="5" s="1"/>
  <c r="Q227" i="5"/>
  <c r="CR190" i="1"/>
  <c r="Q190" i="1" s="1"/>
  <c r="J224" i="5" s="1"/>
  <c r="I50" i="7"/>
  <c r="I48" i="7"/>
  <c r="D49" i="8"/>
  <c r="I51" i="7"/>
  <c r="I49" i="7"/>
  <c r="E221" i="5"/>
  <c r="C222" i="5"/>
  <c r="W189" i="1"/>
  <c r="CT189" i="1"/>
  <c r="S189" i="1" s="1"/>
  <c r="J213" i="5" s="1"/>
  <c r="Q211" i="5"/>
  <c r="S211" i="5"/>
  <c r="CB193" i="1"/>
  <c r="CT187" i="1"/>
  <c r="S187" i="1" s="1"/>
  <c r="CY187" i="1" s="1"/>
  <c r="X187" i="1" s="1"/>
  <c r="R203" i="5" s="1"/>
  <c r="AD187" i="1"/>
  <c r="U203" i="5"/>
  <c r="GX186" i="1"/>
  <c r="R186" i="1"/>
  <c r="V194" i="5"/>
  <c r="J200" i="5" s="1"/>
  <c r="AD186" i="1"/>
  <c r="AB186" i="1" s="1"/>
  <c r="U194" i="5"/>
  <c r="CR185" i="1"/>
  <c r="Q185" i="1" s="1"/>
  <c r="GX184" i="1"/>
  <c r="R184" i="1"/>
  <c r="GK184" i="1" s="1"/>
  <c r="V181" i="5"/>
  <c r="U181" i="5"/>
  <c r="I40" i="7"/>
  <c r="D42" i="8"/>
  <c r="I41" i="7"/>
  <c r="C172" i="5"/>
  <c r="E171" i="5"/>
  <c r="G112" i="1"/>
  <c r="A162" i="5"/>
  <c r="GX114" i="1"/>
  <c r="CJ117" i="1" s="1"/>
  <c r="Q144" i="5"/>
  <c r="S144" i="5"/>
  <c r="AT81" i="1"/>
  <c r="CT79" i="1"/>
  <c r="S134" i="5"/>
  <c r="Q134" i="5"/>
  <c r="I79" i="1"/>
  <c r="P78" i="1"/>
  <c r="J133" i="5" s="1"/>
  <c r="CT76" i="1"/>
  <c r="S113" i="5"/>
  <c r="Q113" i="5"/>
  <c r="CB81" i="1"/>
  <c r="CT75" i="1"/>
  <c r="S75" i="1" s="1"/>
  <c r="J105" i="5" s="1"/>
  <c r="Q103" i="5"/>
  <c r="S103" i="5"/>
  <c r="D32" i="8"/>
  <c r="I26" i="7"/>
  <c r="I24" i="7"/>
  <c r="I25" i="7"/>
  <c r="C104" i="5"/>
  <c r="I23" i="7"/>
  <c r="E103" i="5"/>
  <c r="CS40" i="1"/>
  <c r="AD40" i="1"/>
  <c r="V39" i="1"/>
  <c r="U87" i="5"/>
  <c r="CR38" i="1"/>
  <c r="Q38" i="1" s="1"/>
  <c r="J80" i="5" s="1"/>
  <c r="CR37" i="1"/>
  <c r="Q37" i="1" s="1"/>
  <c r="J74" i="5" s="1"/>
  <c r="I76" i="5" s="1"/>
  <c r="AD37" i="1"/>
  <c r="AB37" i="1" s="1"/>
  <c r="AD36" i="1"/>
  <c r="U69" i="5"/>
  <c r="D25" i="8"/>
  <c r="E60" i="5"/>
  <c r="C61" i="5"/>
  <c r="W34" i="1"/>
  <c r="CT34" i="1"/>
  <c r="S34" i="1" s="1"/>
  <c r="S54" i="5"/>
  <c r="Q54" i="5"/>
  <c r="V33" i="1"/>
  <c r="U47" i="5"/>
  <c r="T68" i="7"/>
  <c r="R68" i="7"/>
  <c r="M66" i="7"/>
  <c r="O66" i="7"/>
  <c r="M57" i="7"/>
  <c r="O57" i="7"/>
  <c r="T46" i="7"/>
  <c r="R46" i="7"/>
  <c r="T40" i="7"/>
  <c r="R40" i="7"/>
  <c r="M36" i="7"/>
  <c r="O36" i="7"/>
  <c r="F19" i="6" s="1"/>
  <c r="T34" i="7"/>
  <c r="R34" i="7"/>
  <c r="O27" i="7"/>
  <c r="M27" i="7"/>
  <c r="T30" i="7"/>
  <c r="R30" i="7"/>
  <c r="T25" i="7"/>
  <c r="R25" i="7"/>
  <c r="M17" i="7"/>
  <c r="O17" i="7"/>
  <c r="T20" i="7"/>
  <c r="R20" i="7"/>
  <c r="O14" i="7"/>
  <c r="M14" i="7"/>
  <c r="T12" i="7"/>
  <c r="R12" i="7"/>
  <c r="Q268" i="5"/>
  <c r="S268" i="5"/>
  <c r="D52" i="8"/>
  <c r="I57" i="7"/>
  <c r="I55" i="7"/>
  <c r="I56" i="7"/>
  <c r="I54" i="7"/>
  <c r="E237" i="5"/>
  <c r="C238" i="5"/>
  <c r="J184" i="5"/>
  <c r="AD183" i="1"/>
  <c r="AB183" i="1" s="1"/>
  <c r="U171" i="5"/>
  <c r="AO117" i="1"/>
  <c r="AO112" i="1" s="1"/>
  <c r="GX79" i="1"/>
  <c r="CS78" i="1"/>
  <c r="D33" i="8"/>
  <c r="E113" i="5"/>
  <c r="C114" i="5"/>
  <c r="D29" i="8"/>
  <c r="I19" i="7"/>
  <c r="I17" i="7"/>
  <c r="D22" i="6" s="1"/>
  <c r="I18" i="7"/>
  <c r="E87" i="5"/>
  <c r="I20" i="7"/>
  <c r="C88" i="5"/>
  <c r="CT38" i="1"/>
  <c r="S38" i="1" s="1"/>
  <c r="J79" i="5" s="1"/>
  <c r="Q77" i="5"/>
  <c r="S77" i="5"/>
  <c r="K72" i="5"/>
  <c r="P72" i="5"/>
  <c r="D23" i="8"/>
  <c r="I11" i="7"/>
  <c r="C48" i="5"/>
  <c r="I12" i="7"/>
  <c r="E47" i="5"/>
  <c r="CT32" i="1"/>
  <c r="S32" i="1" s="1"/>
  <c r="S37" i="5"/>
  <c r="Q37" i="5"/>
  <c r="M68" i="7"/>
  <c r="O68" i="7"/>
  <c r="T66" i="7"/>
  <c r="R66" i="7"/>
  <c r="M59" i="7"/>
  <c r="O59" i="7"/>
  <c r="M46" i="7"/>
  <c r="O46" i="7"/>
  <c r="M40" i="7"/>
  <c r="O40" i="7"/>
  <c r="T36" i="7"/>
  <c r="R36" i="7"/>
  <c r="O30" i="7"/>
  <c r="M30" i="7"/>
  <c r="O25" i="7"/>
  <c r="M25" i="7"/>
  <c r="T17" i="7"/>
  <c r="R17" i="7"/>
  <c r="O20" i="7"/>
  <c r="M20" i="7"/>
  <c r="G177" i="1"/>
  <c r="A299" i="5"/>
  <c r="AF299" i="5"/>
  <c r="G22" i="1"/>
  <c r="A302" i="5"/>
  <c r="F281" i="1"/>
  <c r="G263" i="1"/>
  <c r="A296" i="5"/>
  <c r="V266" i="1"/>
  <c r="R266" i="1"/>
  <c r="GK266" i="1" s="1"/>
  <c r="V288" i="5"/>
  <c r="AD266" i="1"/>
  <c r="U288" i="5"/>
  <c r="U265" i="1"/>
  <c r="CR265" i="1"/>
  <c r="Q265" i="1" s="1"/>
  <c r="F236" i="1"/>
  <c r="CQ230" i="1"/>
  <c r="P230" i="1" s="1"/>
  <c r="AC232" i="1" s="1"/>
  <c r="D56" i="8"/>
  <c r="I62" i="7"/>
  <c r="E268" i="5"/>
  <c r="CR229" i="1"/>
  <c r="Q229" i="1" s="1"/>
  <c r="J265" i="5" s="1"/>
  <c r="D55" i="8"/>
  <c r="I61" i="7"/>
  <c r="I59" i="7"/>
  <c r="I60" i="7"/>
  <c r="I58" i="7"/>
  <c r="E262" i="5"/>
  <c r="C263" i="5"/>
  <c r="CT228" i="1"/>
  <c r="S228" i="1" s="1"/>
  <c r="J258" i="5" s="1"/>
  <c r="S256" i="5"/>
  <c r="Q256" i="5"/>
  <c r="V227" i="1"/>
  <c r="CS227" i="1"/>
  <c r="U247" i="5"/>
  <c r="CQ226" i="1"/>
  <c r="P226" i="1" s="1"/>
  <c r="J242" i="5" s="1"/>
  <c r="BB193" i="1"/>
  <c r="S52" i="7"/>
  <c r="P52" i="7"/>
  <c r="U227" i="5"/>
  <c r="W190" i="1"/>
  <c r="CT190" i="1"/>
  <c r="S190" i="1" s="1"/>
  <c r="J223" i="5" s="1"/>
  <c r="Q221" i="5"/>
  <c r="S221" i="5"/>
  <c r="BY193" i="1"/>
  <c r="R189" i="1"/>
  <c r="V211" i="5"/>
  <c r="J218" i="5" s="1"/>
  <c r="AD189" i="1"/>
  <c r="AB189" i="1" s="1"/>
  <c r="U211" i="5"/>
  <c r="S207" i="5"/>
  <c r="Q207" i="5"/>
  <c r="CS187" i="1"/>
  <c r="CR186" i="1"/>
  <c r="Q186" i="1" s="1"/>
  <c r="J197" i="5" s="1"/>
  <c r="CX57" i="3"/>
  <c r="D44" i="8"/>
  <c r="E188" i="5"/>
  <c r="C189" i="5"/>
  <c r="V184" i="1"/>
  <c r="Q184" i="1"/>
  <c r="CP184" i="1" s="1"/>
  <c r="O184" i="1" s="1"/>
  <c r="AD184" i="1"/>
  <c r="CT183" i="1"/>
  <c r="S183" i="1" s="1"/>
  <c r="J173" i="5" s="1"/>
  <c r="S171" i="5"/>
  <c r="Q171" i="5"/>
  <c r="S154" i="5"/>
  <c r="Q154" i="5"/>
  <c r="D39" i="8"/>
  <c r="I36" i="7"/>
  <c r="D19" i="6" s="1"/>
  <c r="I37" i="7"/>
  <c r="D18" i="6" s="1"/>
  <c r="E154" i="5"/>
  <c r="C155" i="5"/>
  <c r="V114" i="1"/>
  <c r="AI117" i="1" s="1"/>
  <c r="U144" i="5"/>
  <c r="G73" i="1"/>
  <c r="A140" i="5"/>
  <c r="R79" i="1"/>
  <c r="GK79" i="1" s="1"/>
  <c r="V134" i="5"/>
  <c r="S31" i="7"/>
  <c r="P31" i="7"/>
  <c r="U134" i="5"/>
  <c r="W78" i="1"/>
  <c r="CT78" i="1"/>
  <c r="S78" i="1" s="1"/>
  <c r="J130" i="5" s="1"/>
  <c r="S128" i="5"/>
  <c r="Q128" i="5"/>
  <c r="CT77" i="1"/>
  <c r="S77" i="1" s="1"/>
  <c r="J124" i="5" s="1"/>
  <c r="S122" i="5"/>
  <c r="Q122" i="5"/>
  <c r="CX34" i="3"/>
  <c r="D34" i="8"/>
  <c r="E122" i="5"/>
  <c r="C123" i="5"/>
  <c r="V113" i="5"/>
  <c r="J119" i="5" s="1"/>
  <c r="U113" i="5"/>
  <c r="R76" i="1"/>
  <c r="R75" i="1"/>
  <c r="J107" i="5" s="1"/>
  <c r="V103" i="5"/>
  <c r="J110" i="5" s="1"/>
  <c r="U103" i="5"/>
  <c r="BC42" i="1"/>
  <c r="AO42" i="1"/>
  <c r="CR40" i="1"/>
  <c r="N21" i="7"/>
  <c r="K21" i="7"/>
  <c r="Q39" i="1"/>
  <c r="J90" i="5" s="1"/>
  <c r="D28" i="8"/>
  <c r="I15" i="7"/>
  <c r="I13" i="7"/>
  <c r="D15" i="6" s="1"/>
  <c r="I14" i="7"/>
  <c r="I16" i="7"/>
  <c r="E77" i="5"/>
  <c r="C78" i="5"/>
  <c r="CP37" i="1"/>
  <c r="O37" i="1" s="1"/>
  <c r="R36" i="1"/>
  <c r="J71" i="5" s="1"/>
  <c r="V69" i="5"/>
  <c r="CT35" i="1"/>
  <c r="S35" i="1" s="1"/>
  <c r="S60" i="5"/>
  <c r="Q60" i="5"/>
  <c r="V34" i="1"/>
  <c r="U54" i="5"/>
  <c r="D22" i="8"/>
  <c r="I9" i="7"/>
  <c r="D21" i="6" s="1"/>
  <c r="I10" i="7"/>
  <c r="C38" i="5"/>
  <c r="E37" i="5"/>
  <c r="O67" i="7"/>
  <c r="M67" i="7"/>
  <c r="T65" i="7"/>
  <c r="R65" i="7"/>
  <c r="O58" i="7"/>
  <c r="M58" i="7"/>
  <c r="T59" i="7"/>
  <c r="R59" i="7"/>
  <c r="T61" i="7"/>
  <c r="R61" i="7"/>
  <c r="T54" i="7"/>
  <c r="R54" i="7"/>
  <c r="T56" i="7"/>
  <c r="R56" i="7"/>
  <c r="M48" i="7"/>
  <c r="O48" i="7"/>
  <c r="T49" i="7"/>
  <c r="R49" i="7"/>
  <c r="T51" i="7"/>
  <c r="R51" i="7"/>
  <c r="T44" i="7"/>
  <c r="R44" i="7"/>
  <c r="O45" i="7"/>
  <c r="M45" i="7"/>
  <c r="T47" i="7"/>
  <c r="R47" i="7"/>
  <c r="T43" i="7"/>
  <c r="R43" i="7"/>
  <c r="T41" i="7"/>
  <c r="R41" i="7"/>
  <c r="O33" i="7"/>
  <c r="M33" i="7"/>
  <c r="T35" i="7"/>
  <c r="R35" i="7"/>
  <c r="T28" i="7"/>
  <c r="R28" i="7"/>
  <c r="O29" i="7"/>
  <c r="M29" i="7"/>
  <c r="T23" i="7"/>
  <c r="R23" i="7"/>
  <c r="M24" i="7"/>
  <c r="O24" i="7"/>
  <c r="T26" i="7"/>
  <c r="R26" i="7"/>
  <c r="T18" i="7"/>
  <c r="R18" i="7"/>
  <c r="M19" i="7"/>
  <c r="O19" i="7"/>
  <c r="F12" i="6" s="1"/>
  <c r="T13" i="7"/>
  <c r="R13" i="7"/>
  <c r="T16" i="7"/>
  <c r="R16" i="7"/>
  <c r="M11" i="7"/>
  <c r="O11" i="7"/>
  <c r="T10" i="7"/>
  <c r="R10" i="7"/>
  <c r="AB266" i="1"/>
  <c r="CJ268" i="1"/>
  <c r="AG268" i="1"/>
  <c r="CP265" i="1"/>
  <c r="O265" i="1" s="1"/>
  <c r="AC268" i="1"/>
  <c r="CZ230" i="1"/>
  <c r="Y230" i="1" s="1"/>
  <c r="T268" i="5" s="1"/>
  <c r="CY230" i="1"/>
  <c r="X230" i="1" s="1"/>
  <c r="R268" i="5" s="1"/>
  <c r="AD232" i="1"/>
  <c r="F272" i="1"/>
  <c r="AO263" i="1"/>
  <c r="F285" i="1"/>
  <c r="AS263" i="1"/>
  <c r="CP266" i="1"/>
  <c r="O266" i="1" s="1"/>
  <c r="CY265" i="1"/>
  <c r="X265" i="1" s="1"/>
  <c r="R278" i="5" s="1"/>
  <c r="J284" i="5" s="1"/>
  <c r="AF268" i="1"/>
  <c r="CZ265" i="1"/>
  <c r="Y265" i="1" s="1"/>
  <c r="T278" i="5" s="1"/>
  <c r="CY229" i="1"/>
  <c r="X229" i="1" s="1"/>
  <c r="R262" i="5" s="1"/>
  <c r="J269" i="5" s="1"/>
  <c r="CZ229" i="1"/>
  <c r="Y229" i="1" s="1"/>
  <c r="T262" i="5" s="1"/>
  <c r="AB228" i="1"/>
  <c r="CJ232" i="1"/>
  <c r="GK226" i="1"/>
  <c r="CY266" i="1"/>
  <c r="X266" i="1" s="1"/>
  <c r="R288" i="5" s="1"/>
  <c r="J292" i="5" s="1"/>
  <c r="CZ266" i="1"/>
  <c r="Y266" i="1" s="1"/>
  <c r="T288" i="5" s="1"/>
  <c r="AI268" i="1"/>
  <c r="GK265" i="1"/>
  <c r="AE268" i="1"/>
  <c r="AH232" i="1"/>
  <c r="AI232" i="1"/>
  <c r="AB265" i="1"/>
  <c r="CY228" i="1"/>
  <c r="X228" i="1" s="1"/>
  <c r="CZ228" i="1"/>
  <c r="Y228" i="1" s="1"/>
  <c r="T256" i="5" s="1"/>
  <c r="CX96" i="3"/>
  <c r="CX98" i="3"/>
  <c r="CX97" i="3"/>
  <c r="CX92" i="3"/>
  <c r="CX91" i="3"/>
  <c r="CX95" i="3"/>
  <c r="CX94" i="3"/>
  <c r="CX93" i="3"/>
  <c r="BB232" i="1"/>
  <c r="AB229" i="1"/>
  <c r="CX84" i="3"/>
  <c r="CX88" i="3"/>
  <c r="CX87" i="3"/>
  <c r="CX86" i="3"/>
  <c r="CX90" i="3"/>
  <c r="CX85" i="3"/>
  <c r="CX89" i="3"/>
  <c r="CX82" i="3"/>
  <c r="CX81" i="3"/>
  <c r="CY188" i="1"/>
  <c r="X188" i="1" s="1"/>
  <c r="R207" i="5" s="1"/>
  <c r="CZ188" i="1"/>
  <c r="Y188" i="1" s="1"/>
  <c r="T207" i="5" s="1"/>
  <c r="CY185" i="1"/>
  <c r="X185" i="1" s="1"/>
  <c r="R188" i="5" s="1"/>
  <c r="J191" i="5" s="1"/>
  <c r="CZ185" i="1"/>
  <c r="Y185" i="1" s="1"/>
  <c r="T188" i="5" s="1"/>
  <c r="AH112" i="1"/>
  <c r="U117" i="1"/>
  <c r="CI268" i="1"/>
  <c r="BC268" i="1"/>
  <c r="AQ268" i="1"/>
  <c r="CB263" i="1"/>
  <c r="BX263" i="1"/>
  <c r="CG232" i="1"/>
  <c r="AS232" i="1"/>
  <c r="CX76" i="3"/>
  <c r="CX80" i="3"/>
  <c r="CX75" i="3"/>
  <c r="CX79" i="3"/>
  <c r="CX78" i="3"/>
  <c r="CX77" i="3"/>
  <c r="CP190" i="1"/>
  <c r="O190" i="1" s="1"/>
  <c r="CZ186" i="1"/>
  <c r="Y186" i="1" s="1"/>
  <c r="T194" i="5" s="1"/>
  <c r="CY184" i="1"/>
  <c r="X184" i="1" s="1"/>
  <c r="CZ184" i="1"/>
  <c r="Y184" i="1" s="1"/>
  <c r="T181" i="5" s="1"/>
  <c r="AG112" i="1"/>
  <c r="T117" i="1"/>
  <c r="CB181" i="1"/>
  <c r="AS193" i="1"/>
  <c r="CP183" i="1"/>
  <c r="O183" i="1" s="1"/>
  <c r="CY115" i="1"/>
  <c r="X115" i="1" s="1"/>
  <c r="R154" i="5" s="1"/>
  <c r="J158" i="5" s="1"/>
  <c r="CZ115" i="1"/>
  <c r="Y115" i="1" s="1"/>
  <c r="T154" i="5" s="1"/>
  <c r="CJ112" i="1"/>
  <c r="BA117" i="1"/>
  <c r="CB73" i="1"/>
  <c r="AS81" i="1"/>
  <c r="CG268" i="1"/>
  <c r="CI232" i="1"/>
  <c r="BC232" i="1"/>
  <c r="AQ232" i="1"/>
  <c r="T226" i="1"/>
  <c r="AG232" i="1" s="1"/>
  <c r="W226" i="1"/>
  <c r="AJ232" i="1" s="1"/>
  <c r="CY190" i="1"/>
  <c r="X190" i="1" s="1"/>
  <c r="R221" i="5" s="1"/>
  <c r="CZ190" i="1"/>
  <c r="Y190" i="1" s="1"/>
  <c r="T221" i="5" s="1"/>
  <c r="CI193" i="1"/>
  <c r="BY181" i="1"/>
  <c r="AP193" i="1"/>
  <c r="CP185" i="1"/>
  <c r="O185" i="1" s="1"/>
  <c r="CY183" i="1"/>
  <c r="X183" i="1" s="1"/>
  <c r="R171" i="5" s="1"/>
  <c r="J177" i="5" s="1"/>
  <c r="CZ183" i="1"/>
  <c r="Y183" i="1" s="1"/>
  <c r="T171" i="5" s="1"/>
  <c r="CX68" i="3"/>
  <c r="CX72" i="3"/>
  <c r="CX71" i="3"/>
  <c r="CX70" i="3"/>
  <c r="CX74" i="3"/>
  <c r="CX69" i="3"/>
  <c r="CX73" i="3"/>
  <c r="CX64" i="3"/>
  <c r="CX63" i="3"/>
  <c r="CX67" i="3"/>
  <c r="CX62" i="3"/>
  <c r="CX66" i="3"/>
  <c r="CX65" i="3"/>
  <c r="CX59" i="3"/>
  <c r="CX58" i="3"/>
  <c r="AB184" i="1"/>
  <c r="CX56" i="3"/>
  <c r="CX55" i="3"/>
  <c r="CX54" i="3"/>
  <c r="CX52" i="3"/>
  <c r="CX51" i="3"/>
  <c r="CX50" i="3"/>
  <c r="CX53" i="3"/>
  <c r="F134" i="1"/>
  <c r="AS112" i="1"/>
  <c r="AI112" i="1"/>
  <c r="V117" i="1"/>
  <c r="CY114" i="1"/>
  <c r="X114" i="1" s="1"/>
  <c r="AF117" i="1"/>
  <c r="AD114" i="1"/>
  <c r="AB114" i="1" s="1"/>
  <c r="CS114" i="1"/>
  <c r="CY77" i="1"/>
  <c r="X77" i="1" s="1"/>
  <c r="R122" i="5" s="1"/>
  <c r="J125" i="5" s="1"/>
  <c r="CZ77" i="1"/>
  <c r="Y77" i="1" s="1"/>
  <c r="T122" i="5" s="1"/>
  <c r="AB77" i="1"/>
  <c r="CY75" i="1"/>
  <c r="X75" i="1" s="1"/>
  <c r="R103" i="5" s="1"/>
  <c r="J109" i="5" s="1"/>
  <c r="CZ75" i="1"/>
  <c r="Y75" i="1" s="1"/>
  <c r="T103" i="5" s="1"/>
  <c r="AB75" i="1"/>
  <c r="CY38" i="1"/>
  <c r="X38" i="1" s="1"/>
  <c r="R77" i="5" s="1"/>
  <c r="J83" i="5" s="1"/>
  <c r="CZ38" i="1"/>
  <c r="Y38" i="1" s="1"/>
  <c r="T77" i="5" s="1"/>
  <c r="CG193" i="1"/>
  <c r="AO193" i="1"/>
  <c r="AD188" i="1"/>
  <c r="AB188" i="1" s="1"/>
  <c r="AB187" i="1"/>
  <c r="F121" i="1"/>
  <c r="BB117" i="1"/>
  <c r="CK112" i="1"/>
  <c r="AT117" i="1"/>
  <c r="CC112" i="1"/>
  <c r="AP117" i="1"/>
  <c r="BY112" i="1"/>
  <c r="CZ114" i="1"/>
  <c r="Y114" i="1" s="1"/>
  <c r="CR114" i="1"/>
  <c r="Q114" i="1" s="1"/>
  <c r="J147" i="5" s="1"/>
  <c r="T79" i="1"/>
  <c r="V79" i="1"/>
  <c r="AI81" i="1" s="1"/>
  <c r="GK75" i="1"/>
  <c r="I191" i="1"/>
  <c r="CI112" i="1"/>
  <c r="AZ117" i="1"/>
  <c r="AD115" i="1"/>
  <c r="CS115" i="1"/>
  <c r="AJ117" i="1"/>
  <c r="F211" i="1"/>
  <c r="BC193" i="1"/>
  <c r="AQ193" i="1"/>
  <c r="AX117" i="1"/>
  <c r="CR115" i="1"/>
  <c r="Q115" i="1" s="1"/>
  <c r="CQ115" i="1"/>
  <c r="P115" i="1" s="1"/>
  <c r="J157" i="5" s="1"/>
  <c r="I160" i="5" s="1"/>
  <c r="AB115" i="1"/>
  <c r="Q79" i="1"/>
  <c r="U79" i="1"/>
  <c r="CX48" i="3"/>
  <c r="CX47" i="3"/>
  <c r="CX49" i="3"/>
  <c r="CX44" i="3"/>
  <c r="CX43" i="3"/>
  <c r="CX42" i="3"/>
  <c r="CX46" i="3"/>
  <c r="CX45" i="3"/>
  <c r="BX73" i="1"/>
  <c r="AO81" i="1"/>
  <c r="CG81" i="1"/>
  <c r="CX28" i="3"/>
  <c r="CX27" i="3"/>
  <c r="CX31" i="3"/>
  <c r="CX26" i="3"/>
  <c r="CX30" i="3"/>
  <c r="CX29" i="3"/>
  <c r="AX30" i="1"/>
  <c r="F49" i="1"/>
  <c r="CY39" i="1"/>
  <c r="X39" i="1" s="1"/>
  <c r="R87" i="5" s="1"/>
  <c r="CZ39" i="1"/>
  <c r="Y39" i="1" s="1"/>
  <c r="T87" i="5" s="1"/>
  <c r="CC30" i="1"/>
  <c r="AT42" i="1"/>
  <c r="CT36" i="1"/>
  <c r="S36" i="1" s="1"/>
  <c r="AB36" i="1"/>
  <c r="AD35" i="1"/>
  <c r="AB35" i="1" s="1"/>
  <c r="CS35" i="1"/>
  <c r="CR35" i="1"/>
  <c r="Q35" i="1" s="1"/>
  <c r="J63" i="5" s="1"/>
  <c r="AD34" i="1"/>
  <c r="AB34" i="1" s="1"/>
  <c r="CS34" i="1"/>
  <c r="CR34" i="1"/>
  <c r="Q34" i="1" s="1"/>
  <c r="CP34" i="1" s="1"/>
  <c r="O34" i="1" s="1"/>
  <c r="AD33" i="1"/>
  <c r="AB33" i="1" s="1"/>
  <c r="CS33" i="1"/>
  <c r="CR33" i="1"/>
  <c r="Q33" i="1" s="1"/>
  <c r="AD32" i="1"/>
  <c r="AB32" i="1" s="1"/>
  <c r="CS32" i="1"/>
  <c r="CR32" i="1"/>
  <c r="Q32" i="1" s="1"/>
  <c r="J40" i="5" s="1"/>
  <c r="CP78" i="1"/>
  <c r="O78" i="1" s="1"/>
  <c r="CX36" i="3"/>
  <c r="CX40" i="3"/>
  <c r="CX35" i="3"/>
  <c r="CX39" i="3"/>
  <c r="CX38" i="3"/>
  <c r="CX37" i="3"/>
  <c r="CX41" i="3"/>
  <c r="GX77" i="1"/>
  <c r="CX32" i="3"/>
  <c r="CX33" i="3"/>
  <c r="GX75" i="1"/>
  <c r="AP30" i="1"/>
  <c r="F51" i="1"/>
  <c r="BZ73" i="1"/>
  <c r="AQ81" i="1"/>
  <c r="W79" i="1"/>
  <c r="S79" i="1"/>
  <c r="CY78" i="1"/>
  <c r="X78" i="1" s="1"/>
  <c r="R128" i="5" s="1"/>
  <c r="CZ78" i="1"/>
  <c r="Y78" i="1" s="1"/>
  <c r="T128" i="5" s="1"/>
  <c r="AB78" i="1"/>
  <c r="Q77" i="1"/>
  <c r="CP77" i="1" s="1"/>
  <c r="O77" i="1" s="1"/>
  <c r="U77" i="1"/>
  <c r="K126" i="5" s="1"/>
  <c r="T76" i="1"/>
  <c r="AG81" i="1" s="1"/>
  <c r="W76" i="1"/>
  <c r="AJ81" i="1" s="1"/>
  <c r="S76" i="1"/>
  <c r="AB76" i="1"/>
  <c r="BY81" i="1"/>
  <c r="Q75" i="1"/>
  <c r="U75" i="1"/>
  <c r="CK30" i="1"/>
  <c r="BB42" i="1"/>
  <c r="CI42" i="1"/>
  <c r="BZ30" i="1"/>
  <c r="AQ42" i="1"/>
  <c r="AB40" i="1"/>
  <c r="CQ40" i="1"/>
  <c r="AD39" i="1"/>
  <c r="AB39" i="1" s="1"/>
  <c r="CS39" i="1"/>
  <c r="AD38" i="1"/>
  <c r="AB38" i="1" s="1"/>
  <c r="CS38" i="1"/>
  <c r="CP36" i="1"/>
  <c r="O36" i="1" s="1"/>
  <c r="CP35" i="1"/>
  <c r="O35" i="1" s="1"/>
  <c r="CP33" i="1"/>
  <c r="O33" i="1" s="1"/>
  <c r="CP32" i="1"/>
  <c r="O32" i="1" s="1"/>
  <c r="CP39" i="1"/>
  <c r="O39" i="1" s="1"/>
  <c r="CP38" i="1"/>
  <c r="O38" i="1" s="1"/>
  <c r="CY37" i="1"/>
  <c r="X37" i="1" s="1"/>
  <c r="CY32" i="1"/>
  <c r="X32" i="1" s="1"/>
  <c r="R37" i="5" s="1"/>
  <c r="J43" i="5" s="1"/>
  <c r="CX20" i="3"/>
  <c r="CX24" i="3"/>
  <c r="CX19" i="3"/>
  <c r="CX23" i="3"/>
  <c r="CX22" i="3"/>
  <c r="CX21" i="3"/>
  <c r="CX25" i="3"/>
  <c r="CX16" i="3"/>
  <c r="CX15" i="3"/>
  <c r="CX14" i="3"/>
  <c r="CX18" i="3"/>
  <c r="CX13" i="3"/>
  <c r="CX17" i="3"/>
  <c r="CX10" i="3"/>
  <c r="CX9" i="3"/>
  <c r="CX7" i="3"/>
  <c r="CX6" i="3"/>
  <c r="CX5" i="3"/>
  <c r="CX4" i="3"/>
  <c r="CX3" i="3"/>
  <c r="CX2" i="3"/>
  <c r="CX1" i="3"/>
  <c r="I40" i="1"/>
  <c r="P160" i="5" l="1"/>
  <c r="K160" i="5"/>
  <c r="GK76" i="1"/>
  <c r="J117" i="5"/>
  <c r="R187" i="1"/>
  <c r="J205" i="5" s="1"/>
  <c r="V203" i="5"/>
  <c r="AS30" i="1"/>
  <c r="F59" i="1"/>
  <c r="AT224" i="1"/>
  <c r="F250" i="1"/>
  <c r="F21" i="6"/>
  <c r="U40" i="1"/>
  <c r="AH42" i="1" s="1"/>
  <c r="D30" i="8"/>
  <c r="I21" i="7"/>
  <c r="D17" i="6" s="1"/>
  <c r="E93" i="5"/>
  <c r="GP37" i="1"/>
  <c r="R73" i="5"/>
  <c r="R38" i="1"/>
  <c r="V77" i="5"/>
  <c r="J84" i="5" s="1"/>
  <c r="AD81" i="1"/>
  <c r="J106" i="5"/>
  <c r="R34" i="1"/>
  <c r="GK34" i="1" s="1"/>
  <c r="V54" i="5"/>
  <c r="R115" i="1"/>
  <c r="GK115" i="1" s="1"/>
  <c r="V154" i="5"/>
  <c r="U191" i="1"/>
  <c r="AH193" i="1" s="1"/>
  <c r="AH181" i="1" s="1"/>
  <c r="I52" i="7"/>
  <c r="D16" i="6" s="1"/>
  <c r="D50" i="8"/>
  <c r="E227" i="5"/>
  <c r="CP187" i="1"/>
  <c r="O187" i="1" s="1"/>
  <c r="GM187" i="1" s="1"/>
  <c r="CZ187" i="1"/>
  <c r="Y187" i="1" s="1"/>
  <c r="T203" i="5" s="1"/>
  <c r="CY186" i="1"/>
  <c r="X186" i="1" s="1"/>
  <c r="GP228" i="1"/>
  <c r="R256" i="5"/>
  <c r="J259" i="5" s="1"/>
  <c r="I261" i="5" s="1"/>
  <c r="CZ227" i="1"/>
  <c r="Y227" i="1" s="1"/>
  <c r="T247" i="5" s="1"/>
  <c r="D11" i="6"/>
  <c r="E17" i="6"/>
  <c r="O21" i="7"/>
  <c r="D10" i="6"/>
  <c r="D12" i="6"/>
  <c r="K76" i="5"/>
  <c r="P76" i="5"/>
  <c r="I112" i="5"/>
  <c r="O62" i="7"/>
  <c r="AT181" i="1"/>
  <c r="AT297" i="1"/>
  <c r="R37" i="1"/>
  <c r="J75" i="5" s="1"/>
  <c r="V73" i="5"/>
  <c r="O31" i="7"/>
  <c r="BC112" i="1"/>
  <c r="F133" i="1"/>
  <c r="M52" i="7"/>
  <c r="R62" i="7"/>
  <c r="R183" i="1"/>
  <c r="V171" i="5"/>
  <c r="J178" i="5" s="1"/>
  <c r="F11" i="6"/>
  <c r="AH81" i="1"/>
  <c r="K111" i="5"/>
  <c r="AF81" i="1"/>
  <c r="J115" i="5"/>
  <c r="I121" i="5" s="1"/>
  <c r="BC30" i="1"/>
  <c r="BC146" i="1"/>
  <c r="F58" i="1"/>
  <c r="CY34" i="1"/>
  <c r="X34" i="1" s="1"/>
  <c r="R54" i="5" s="1"/>
  <c r="J57" i="5" s="1"/>
  <c r="J56" i="5"/>
  <c r="CZ34" i="1"/>
  <c r="Y34" i="1" s="1"/>
  <c r="T54" i="5" s="1"/>
  <c r="R33" i="1"/>
  <c r="GK33" i="1" s="1"/>
  <c r="V47" i="5"/>
  <c r="AK117" i="1"/>
  <c r="R144" i="5"/>
  <c r="J150" i="5" s="1"/>
  <c r="CZ189" i="1"/>
  <c r="Y189" i="1" s="1"/>
  <c r="T211" i="5" s="1"/>
  <c r="CP189" i="1"/>
  <c r="O189" i="1" s="1"/>
  <c r="CP230" i="1"/>
  <c r="O230" i="1" s="1"/>
  <c r="J268" i="5" s="1"/>
  <c r="CY227" i="1"/>
  <c r="X227" i="1" s="1"/>
  <c r="R247" i="5" s="1"/>
  <c r="J252" i="5" s="1"/>
  <c r="CY35" i="1"/>
  <c r="X35" i="1" s="1"/>
  <c r="R60" i="5" s="1"/>
  <c r="J65" i="5" s="1"/>
  <c r="J62" i="5"/>
  <c r="CZ35" i="1"/>
  <c r="Y35" i="1" s="1"/>
  <c r="T60" i="5" s="1"/>
  <c r="D9" i="6"/>
  <c r="I127" i="5"/>
  <c r="I180" i="5"/>
  <c r="GK189" i="1"/>
  <c r="J215" i="5"/>
  <c r="T52" i="7"/>
  <c r="AD268" i="1"/>
  <c r="J281" i="5"/>
  <c r="F10" i="6"/>
  <c r="I86" i="5"/>
  <c r="F22" i="6"/>
  <c r="V93" i="5"/>
  <c r="M62" i="7"/>
  <c r="F15" i="6"/>
  <c r="CY33" i="1"/>
  <c r="X33" i="1" s="1"/>
  <c r="R47" i="5" s="1"/>
  <c r="J51" i="5" s="1"/>
  <c r="J49" i="5"/>
  <c r="CZ33" i="1"/>
  <c r="Y33" i="1" s="1"/>
  <c r="T47" i="5" s="1"/>
  <c r="BB73" i="1"/>
  <c r="F94" i="1"/>
  <c r="O52" i="7"/>
  <c r="F16" i="6" s="1"/>
  <c r="E16" i="6"/>
  <c r="I272" i="5"/>
  <c r="F9" i="6"/>
  <c r="AP263" i="1"/>
  <c r="F277" i="1"/>
  <c r="AQ112" i="1"/>
  <c r="F127" i="1"/>
  <c r="J229" i="5"/>
  <c r="R35" i="1"/>
  <c r="V60" i="5"/>
  <c r="J66" i="5" s="1"/>
  <c r="BB181" i="1"/>
  <c r="F206" i="1"/>
  <c r="GK186" i="1"/>
  <c r="J198" i="5"/>
  <c r="R229" i="1"/>
  <c r="V262" i="5"/>
  <c r="J270" i="5" s="1"/>
  <c r="M31" i="7"/>
  <c r="K210" i="5"/>
  <c r="P210" i="5"/>
  <c r="CJ81" i="1"/>
  <c r="R39" i="1"/>
  <c r="V87" i="5"/>
  <c r="J95" i="5" s="1"/>
  <c r="R32" i="1"/>
  <c r="J41" i="5" s="1"/>
  <c r="V37" i="5"/>
  <c r="J44" i="5" s="1"/>
  <c r="CP79" i="1"/>
  <c r="O79" i="1" s="1"/>
  <c r="J134" i="5" s="1"/>
  <c r="AL117" i="1"/>
  <c r="T144" i="5"/>
  <c r="R114" i="1"/>
  <c r="J148" i="5" s="1"/>
  <c r="V144" i="5"/>
  <c r="J151" i="5" s="1"/>
  <c r="CP188" i="1"/>
  <c r="O188" i="1" s="1"/>
  <c r="CY189" i="1"/>
  <c r="X189" i="1" s="1"/>
  <c r="R211" i="5" s="1"/>
  <c r="J217" i="5" s="1"/>
  <c r="I220" i="5" s="1"/>
  <c r="GM184" i="1"/>
  <c r="R181" i="5"/>
  <c r="J185" i="5" s="1"/>
  <c r="I187" i="5" s="1"/>
  <c r="CP227" i="1"/>
  <c r="O227" i="1" s="1"/>
  <c r="D20" i="6"/>
  <c r="D14" i="6"/>
  <c r="AO30" i="1"/>
  <c r="F46" i="1"/>
  <c r="V227" i="5"/>
  <c r="R227" i="1"/>
  <c r="V247" i="5"/>
  <c r="J253" i="5" s="1"/>
  <c r="I255" i="5" s="1"/>
  <c r="AH268" i="1"/>
  <c r="K286" i="5"/>
  <c r="J39" i="5"/>
  <c r="I46" i="5" s="1"/>
  <c r="CZ32" i="1"/>
  <c r="Y32" i="1" s="1"/>
  <c r="T37" i="5" s="1"/>
  <c r="D13" i="6"/>
  <c r="V128" i="5"/>
  <c r="J136" i="5" s="1"/>
  <c r="R78" i="1"/>
  <c r="F14" i="6"/>
  <c r="P79" i="1"/>
  <c r="AC81" i="1" s="1"/>
  <c r="I31" i="7"/>
  <c r="R31" i="7" s="1"/>
  <c r="D36" i="8"/>
  <c r="E134" i="5"/>
  <c r="AT73" i="1"/>
  <c r="F99" i="1"/>
  <c r="S227" i="5"/>
  <c r="CP229" i="1"/>
  <c r="O229" i="1" s="1"/>
  <c r="I294" i="5"/>
  <c r="Q93" i="5"/>
  <c r="I193" i="5"/>
  <c r="F20" i="6"/>
  <c r="I287" i="5"/>
  <c r="R188" i="1"/>
  <c r="J209" i="5" s="1"/>
  <c r="V207" i="5"/>
  <c r="AT263" i="1"/>
  <c r="F286" i="1"/>
  <c r="GK190" i="1"/>
  <c r="J225" i="5"/>
  <c r="AH30" i="1"/>
  <c r="U42" i="1"/>
  <c r="S81" i="1"/>
  <c r="AF73" i="1"/>
  <c r="GP77" i="1"/>
  <c r="GM77" i="1"/>
  <c r="U193" i="1"/>
  <c r="AG73" i="1"/>
  <c r="T81" i="1"/>
  <c r="W81" i="1"/>
  <c r="AJ73" i="1"/>
  <c r="V40" i="1"/>
  <c r="AI42" i="1" s="1"/>
  <c r="CI30" i="1"/>
  <c r="AZ42" i="1"/>
  <c r="BB30" i="1"/>
  <c r="F55" i="1"/>
  <c r="BB146" i="1"/>
  <c r="CI81" i="1"/>
  <c r="BY73" i="1"/>
  <c r="AP81" i="1"/>
  <c r="AQ73" i="1"/>
  <c r="F91" i="1"/>
  <c r="S40" i="1"/>
  <c r="CP75" i="1"/>
  <c r="O75" i="1" s="1"/>
  <c r="BC181" i="1"/>
  <c r="F209" i="1"/>
  <c r="BC297" i="1"/>
  <c r="AJ112" i="1"/>
  <c r="W117" i="1"/>
  <c r="AK112" i="1"/>
  <c r="X117" i="1"/>
  <c r="R191" i="1"/>
  <c r="AG224" i="1"/>
  <c r="T232" i="1"/>
  <c r="AX268" i="1"/>
  <c r="CG263" i="1"/>
  <c r="GP188" i="1"/>
  <c r="GM188" i="1"/>
  <c r="F138" i="1"/>
  <c r="T112" i="1"/>
  <c r="T191" i="1"/>
  <c r="AG193" i="1" s="1"/>
  <c r="CG224" i="1"/>
  <c r="AX232" i="1"/>
  <c r="F284" i="1"/>
  <c r="BC263" i="1"/>
  <c r="GP184" i="1"/>
  <c r="GP186" i="1"/>
  <c r="Q191" i="1"/>
  <c r="AD193" i="1" s="1"/>
  <c r="BB224" i="1"/>
  <c r="BB297" i="1"/>
  <c r="F245" i="1"/>
  <c r="GM230" i="1"/>
  <c r="GP230" i="1"/>
  <c r="AI263" i="1"/>
  <c r="V268" i="1"/>
  <c r="AF263" i="1"/>
  <c r="S268" i="1"/>
  <c r="AD224" i="1"/>
  <c r="Q232" i="1"/>
  <c r="GP265" i="1"/>
  <c r="AB268" i="1"/>
  <c r="GM265" i="1"/>
  <c r="GP33" i="1"/>
  <c r="P40" i="1"/>
  <c r="GX40" i="1"/>
  <c r="CJ42" i="1" s="1"/>
  <c r="GK32" i="1"/>
  <c r="GP32" i="1" s="1"/>
  <c r="AT30" i="1"/>
  <c r="F60" i="1"/>
  <c r="AT146" i="1"/>
  <c r="Q40" i="1"/>
  <c r="AD42" i="1" s="1"/>
  <c r="AP112" i="1"/>
  <c r="F126" i="1"/>
  <c r="BB112" i="1"/>
  <c r="F130" i="1"/>
  <c r="F197" i="1"/>
  <c r="AO181" i="1"/>
  <c r="AO297" i="1"/>
  <c r="GK114" i="1"/>
  <c r="AE117" i="1"/>
  <c r="V112" i="1"/>
  <c r="F140" i="1"/>
  <c r="GP185" i="1"/>
  <c r="GM185" i="1"/>
  <c r="CI181" i="1"/>
  <c r="AZ193" i="1"/>
  <c r="W191" i="1"/>
  <c r="AJ193" i="1" s="1"/>
  <c r="AQ224" i="1"/>
  <c r="F242" i="1"/>
  <c r="F98" i="1"/>
  <c r="AS73" i="1"/>
  <c r="AS146" i="1"/>
  <c r="AS181" i="1"/>
  <c r="AS297" i="1"/>
  <c r="F210" i="1"/>
  <c r="S191" i="1"/>
  <c r="CI263" i="1"/>
  <c r="AZ268" i="1"/>
  <c r="V191" i="1"/>
  <c r="AI193" i="1" s="1"/>
  <c r="AH224" i="1"/>
  <c r="U232" i="1"/>
  <c r="CJ224" i="1"/>
  <c r="BA232" i="1"/>
  <c r="AK268" i="1"/>
  <c r="AG263" i="1"/>
  <c r="T268" i="1"/>
  <c r="R40" i="1"/>
  <c r="GK40" i="1" s="1"/>
  <c r="GM34" i="1"/>
  <c r="AQ30" i="1"/>
  <c r="F52" i="1"/>
  <c r="AQ146" i="1"/>
  <c r="GM37" i="1"/>
  <c r="AH73" i="1"/>
  <c r="U81" i="1"/>
  <c r="CY76" i="1"/>
  <c r="X76" i="1" s="1"/>
  <c r="R113" i="5" s="1"/>
  <c r="J118" i="5" s="1"/>
  <c r="CZ76" i="1"/>
  <c r="Y76" i="1" s="1"/>
  <c r="T113" i="5" s="1"/>
  <c r="CZ79" i="1"/>
  <c r="Y79" i="1" s="1"/>
  <c r="T134" i="5" s="1"/>
  <c r="CY79" i="1"/>
  <c r="X79" i="1" s="1"/>
  <c r="CP76" i="1"/>
  <c r="O76" i="1" s="1"/>
  <c r="W40" i="1"/>
  <c r="AJ42" i="1" s="1"/>
  <c r="CG73" i="1"/>
  <c r="AX81" i="1"/>
  <c r="AI73" i="1"/>
  <c r="V81" i="1"/>
  <c r="AX112" i="1"/>
  <c r="F124" i="1"/>
  <c r="AD117" i="1"/>
  <c r="CP114" i="1"/>
  <c r="O114" i="1" s="1"/>
  <c r="CG181" i="1"/>
  <c r="AX193" i="1"/>
  <c r="CY226" i="1"/>
  <c r="X226" i="1" s="1"/>
  <c r="CZ226" i="1"/>
  <c r="Y226" i="1" s="1"/>
  <c r="AF232" i="1"/>
  <c r="BC224" i="1"/>
  <c r="F248" i="1"/>
  <c r="GX191" i="1"/>
  <c r="CJ193" i="1" s="1"/>
  <c r="GP190" i="1"/>
  <c r="GM190" i="1"/>
  <c r="U112" i="1"/>
  <c r="F139" i="1"/>
  <c r="AI224" i="1"/>
  <c r="V232" i="1"/>
  <c r="GM228" i="1"/>
  <c r="AE263" i="1"/>
  <c r="R268" i="1"/>
  <c r="CE232" i="1"/>
  <c r="P232" i="1"/>
  <c r="CF232" i="1"/>
  <c r="AC224" i="1"/>
  <c r="CH232" i="1"/>
  <c r="AJ263" i="1"/>
  <c r="W268" i="1"/>
  <c r="BA268" i="1"/>
  <c r="CJ263" i="1"/>
  <c r="T40" i="1"/>
  <c r="AG42" i="1" s="1"/>
  <c r="AD73" i="1"/>
  <c r="Q81" i="1"/>
  <c r="CJ73" i="1"/>
  <c r="BA81" i="1"/>
  <c r="CZ36" i="1"/>
  <c r="Y36" i="1" s="1"/>
  <c r="T69" i="5" s="1"/>
  <c r="CY36" i="1"/>
  <c r="X36" i="1" s="1"/>
  <c r="AC73" i="1"/>
  <c r="CE81" i="1"/>
  <c r="P81" i="1"/>
  <c r="CH81" i="1"/>
  <c r="CF81" i="1"/>
  <c r="AO73" i="1"/>
  <c r="F85" i="1"/>
  <c r="AO146" i="1"/>
  <c r="AC117" i="1"/>
  <c r="CP115" i="1"/>
  <c r="O115" i="1" s="1"/>
  <c r="F203" i="1"/>
  <c r="AQ181" i="1"/>
  <c r="AQ297" i="1"/>
  <c r="AZ112" i="1"/>
  <c r="F128" i="1"/>
  <c r="AL112" i="1"/>
  <c r="Y117" i="1"/>
  <c r="AT112" i="1"/>
  <c r="F135" i="1"/>
  <c r="AK81" i="1"/>
  <c r="S117" i="1"/>
  <c r="AF112" i="1"/>
  <c r="AP181" i="1"/>
  <c r="F202" i="1"/>
  <c r="AP297" i="1"/>
  <c r="AJ224" i="1"/>
  <c r="W232" i="1"/>
  <c r="CI224" i="1"/>
  <c r="AZ232" i="1"/>
  <c r="BA112" i="1"/>
  <c r="F137" i="1"/>
  <c r="CP226" i="1"/>
  <c r="O226" i="1" s="1"/>
  <c r="P191" i="1"/>
  <c r="AS224" i="1"/>
  <c r="F249" i="1"/>
  <c r="AQ263" i="1"/>
  <c r="F278" i="1"/>
  <c r="AL268" i="1"/>
  <c r="GP266" i="1"/>
  <c r="GM266" i="1"/>
  <c r="CH268" i="1"/>
  <c r="CE268" i="1"/>
  <c r="AC263" i="1"/>
  <c r="P268" i="1"/>
  <c r="CF268" i="1"/>
  <c r="P220" i="5" l="1"/>
  <c r="K220" i="5"/>
  <c r="P255" i="5"/>
  <c r="K255" i="5"/>
  <c r="P261" i="5"/>
  <c r="K261" i="5"/>
  <c r="P187" i="5"/>
  <c r="K187" i="5"/>
  <c r="P46" i="5"/>
  <c r="K46" i="5"/>
  <c r="P127" i="5"/>
  <c r="K127" i="5"/>
  <c r="F17" i="6"/>
  <c r="E23" i="6" s="1"/>
  <c r="GK38" i="1"/>
  <c r="J81" i="5"/>
  <c r="GM35" i="1"/>
  <c r="GP187" i="1"/>
  <c r="GP34" i="1"/>
  <c r="GM189" i="1"/>
  <c r="GK227" i="1"/>
  <c r="J251" i="5"/>
  <c r="AE232" i="1"/>
  <c r="I53" i="5"/>
  <c r="I59" i="5"/>
  <c r="BC26" i="1"/>
  <c r="F162" i="1"/>
  <c r="R21" i="7"/>
  <c r="AT177" i="1"/>
  <c r="F315" i="1"/>
  <c r="R52" i="7"/>
  <c r="GP35" i="1"/>
  <c r="GM79" i="1"/>
  <c r="R134" i="5"/>
  <c r="J135" i="5" s="1"/>
  <c r="I138" i="5" s="1"/>
  <c r="GP189" i="1"/>
  <c r="P287" i="5"/>
  <c r="I296" i="5" s="1"/>
  <c r="K287" i="5"/>
  <c r="P294" i="5"/>
  <c r="K294" i="5"/>
  <c r="AH263" i="1"/>
  <c r="U268" i="1"/>
  <c r="GK39" i="1"/>
  <c r="J91" i="5"/>
  <c r="P272" i="5"/>
  <c r="K272" i="5"/>
  <c r="Q268" i="1"/>
  <c r="AD263" i="1"/>
  <c r="I153" i="5"/>
  <c r="J175" i="5"/>
  <c r="GK183" i="1"/>
  <c r="T31" i="7"/>
  <c r="GM186" i="1"/>
  <c r="R194" i="5"/>
  <c r="J199" i="5" s="1"/>
  <c r="I202" i="5" s="1"/>
  <c r="GM36" i="1"/>
  <c r="R69" i="5"/>
  <c r="AK232" i="1"/>
  <c r="AK224" i="1" s="1"/>
  <c r="R237" i="5"/>
  <c r="J243" i="5" s="1"/>
  <c r="I246" i="5" s="1"/>
  <c r="P193" i="5"/>
  <c r="K193" i="5"/>
  <c r="GK78" i="1"/>
  <c r="J132" i="5"/>
  <c r="GK229" i="1"/>
  <c r="J266" i="5"/>
  <c r="AE81" i="1"/>
  <c r="P121" i="5"/>
  <c r="K121" i="5"/>
  <c r="P112" i="5"/>
  <c r="K112" i="5"/>
  <c r="AL232" i="1"/>
  <c r="T237" i="5"/>
  <c r="AL81" i="1"/>
  <c r="GM33" i="1"/>
  <c r="GM229" i="1"/>
  <c r="GP229" i="1"/>
  <c r="GK35" i="1"/>
  <c r="J64" i="5"/>
  <c r="T21" i="7"/>
  <c r="P86" i="5"/>
  <c r="K86" i="5"/>
  <c r="P180" i="5"/>
  <c r="K180" i="5"/>
  <c r="I68" i="5"/>
  <c r="M21" i="7"/>
  <c r="AD30" i="1"/>
  <c r="Q42" i="1"/>
  <c r="CH263" i="1"/>
  <c r="AY268" i="1"/>
  <c r="S112" i="1"/>
  <c r="F132" i="1"/>
  <c r="W224" i="1"/>
  <c r="F256" i="1"/>
  <c r="P73" i="1"/>
  <c r="F84" i="1"/>
  <c r="F292" i="1"/>
  <c r="W263" i="1"/>
  <c r="CF224" i="1"/>
  <c r="AW232" i="1"/>
  <c r="AX181" i="1"/>
  <c r="F200" i="1"/>
  <c r="AX297" i="1"/>
  <c r="V73" i="1"/>
  <c r="F104" i="1"/>
  <c r="W42" i="1"/>
  <c r="AJ30" i="1"/>
  <c r="F289" i="1"/>
  <c r="T263" i="1"/>
  <c r="AZ263" i="1"/>
  <c r="F279" i="1"/>
  <c r="CZ191" i="1"/>
  <c r="Y191" i="1" s="1"/>
  <c r="CY191" i="1"/>
  <c r="X191" i="1" s="1"/>
  <c r="AF193" i="1"/>
  <c r="AS26" i="1"/>
  <c r="F163" i="1"/>
  <c r="AS326" i="1"/>
  <c r="BA42" i="1"/>
  <c r="CJ30" i="1"/>
  <c r="CD268" i="1"/>
  <c r="BB177" i="1"/>
  <c r="F310" i="1"/>
  <c r="W112" i="1"/>
  <c r="F141" i="1"/>
  <c r="CI73" i="1"/>
  <c r="AZ81" i="1"/>
  <c r="AZ146" i="1" s="1"/>
  <c r="F53" i="1"/>
  <c r="AZ30" i="1"/>
  <c r="GP36" i="1"/>
  <c r="F215" i="1"/>
  <c r="U181" i="1"/>
  <c r="U297" i="1"/>
  <c r="CP191" i="1"/>
  <c r="O191" i="1" s="1"/>
  <c r="J227" i="5" s="1"/>
  <c r="AC193" i="1"/>
  <c r="CE263" i="1"/>
  <c r="AV268" i="1"/>
  <c r="AL263" i="1"/>
  <c r="Y268" i="1"/>
  <c r="GP115" i="1"/>
  <c r="GM115" i="1"/>
  <c r="CE73" i="1"/>
  <c r="AV81" i="1"/>
  <c r="Q73" i="1"/>
  <c r="F93" i="1"/>
  <c r="P224" i="1"/>
  <c r="F235" i="1"/>
  <c r="AF224" i="1"/>
  <c r="S232" i="1"/>
  <c r="GP76" i="1"/>
  <c r="GM76" i="1"/>
  <c r="AQ26" i="1"/>
  <c r="F156" i="1"/>
  <c r="AQ326" i="1"/>
  <c r="F254" i="1"/>
  <c r="U224" i="1"/>
  <c r="W193" i="1"/>
  <c r="AJ181" i="1"/>
  <c r="AE112" i="1"/>
  <c r="R117" i="1"/>
  <c r="CP40" i="1"/>
  <c r="O40" i="1" s="1"/>
  <c r="J93" i="5" s="1"/>
  <c r="AC42" i="1"/>
  <c r="Q224" i="1"/>
  <c r="F244" i="1"/>
  <c r="V263" i="1"/>
  <c r="F291" i="1"/>
  <c r="T193" i="1"/>
  <c r="AG181" i="1"/>
  <c r="GK191" i="1"/>
  <c r="AE193" i="1"/>
  <c r="GP75" i="1"/>
  <c r="GM75" i="1"/>
  <c r="AB81" i="1"/>
  <c r="BB26" i="1"/>
  <c r="F159" i="1"/>
  <c r="BB326" i="1"/>
  <c r="GM32" i="1"/>
  <c r="W73" i="1"/>
  <c r="F105" i="1"/>
  <c r="S73" i="1"/>
  <c r="F96" i="1"/>
  <c r="AZ224" i="1"/>
  <c r="F243" i="1"/>
  <c r="AP177" i="1"/>
  <c r="F306" i="1"/>
  <c r="Y112" i="1"/>
  <c r="F143" i="1"/>
  <c r="AQ177" i="1"/>
  <c r="F307" i="1"/>
  <c r="CH117" i="1"/>
  <c r="AC112" i="1"/>
  <c r="P117" i="1"/>
  <c r="CF117" i="1"/>
  <c r="CE117" i="1"/>
  <c r="CF73" i="1"/>
  <c r="AW81" i="1"/>
  <c r="CH224" i="1"/>
  <c r="AY232" i="1"/>
  <c r="CE224" i="1"/>
  <c r="AV232" i="1"/>
  <c r="V224" i="1"/>
  <c r="F255" i="1"/>
  <c r="CJ181" i="1"/>
  <c r="BA193" i="1"/>
  <c r="AL224" i="1"/>
  <c r="Y232" i="1"/>
  <c r="GP114" i="1"/>
  <c r="CD117" i="1" s="1"/>
  <c r="AB117" i="1"/>
  <c r="GM114" i="1"/>
  <c r="CA117" i="1" s="1"/>
  <c r="AX73" i="1"/>
  <c r="F88" i="1"/>
  <c r="AX146" i="1"/>
  <c r="U73" i="1"/>
  <c r="F103" i="1"/>
  <c r="AK263" i="1"/>
  <c r="X268" i="1"/>
  <c r="AS177" i="1"/>
  <c r="F314" i="1"/>
  <c r="F204" i="1"/>
  <c r="AZ181" i="1"/>
  <c r="AZ297" i="1"/>
  <c r="AE42" i="1"/>
  <c r="CA268" i="1"/>
  <c r="AD181" i="1"/>
  <c r="Q193" i="1"/>
  <c r="AX263" i="1"/>
  <c r="F275" i="1"/>
  <c r="F142" i="1"/>
  <c r="X112" i="1"/>
  <c r="BC177" i="1"/>
  <c r="F313" i="1"/>
  <c r="BC326" i="1"/>
  <c r="AP73" i="1"/>
  <c r="F90" i="1"/>
  <c r="AP146" i="1"/>
  <c r="AI30" i="1"/>
  <c r="V42" i="1"/>
  <c r="GP79" i="1"/>
  <c r="T73" i="1"/>
  <c r="F102" i="1"/>
  <c r="U30" i="1"/>
  <c r="F64" i="1"/>
  <c r="U146" i="1"/>
  <c r="AW268" i="1"/>
  <c r="CF263" i="1"/>
  <c r="P263" i="1"/>
  <c r="F271" i="1"/>
  <c r="GP226" i="1"/>
  <c r="GM226" i="1"/>
  <c r="AB232" i="1"/>
  <c r="X81" i="1"/>
  <c r="AK73" i="1"/>
  <c r="AO26" i="1"/>
  <c r="F150" i="1"/>
  <c r="AO326" i="1"/>
  <c r="CH73" i="1"/>
  <c r="AY81" i="1"/>
  <c r="BA73" i="1"/>
  <c r="F101" i="1"/>
  <c r="AG30" i="1"/>
  <c r="T42" i="1"/>
  <c r="F288" i="1"/>
  <c r="BA263" i="1"/>
  <c r="R263" i="1"/>
  <c r="F282" i="1"/>
  <c r="X232" i="1"/>
  <c r="AL73" i="1"/>
  <c r="Y81" i="1"/>
  <c r="AD112" i="1"/>
  <c r="Q117" i="1"/>
  <c r="F252" i="1"/>
  <c r="BA224" i="1"/>
  <c r="AI181" i="1"/>
  <c r="V193" i="1"/>
  <c r="AO177" i="1"/>
  <c r="F301" i="1"/>
  <c r="AT26" i="1"/>
  <c r="F164" i="1"/>
  <c r="AT326" i="1"/>
  <c r="AB263" i="1"/>
  <c r="O268" i="1"/>
  <c r="S263" i="1"/>
  <c r="F283" i="1"/>
  <c r="AX224" i="1"/>
  <c r="F239" i="1"/>
  <c r="T224" i="1"/>
  <c r="F253" i="1"/>
  <c r="CY40" i="1"/>
  <c r="X40" i="1" s="1"/>
  <c r="CZ40" i="1"/>
  <c r="Y40" i="1" s="1"/>
  <c r="AF42" i="1"/>
  <c r="GM227" i="1" l="1"/>
  <c r="GP227" i="1"/>
  <c r="GM78" i="1"/>
  <c r="GP78" i="1"/>
  <c r="P153" i="5"/>
  <c r="I162" i="5" s="1"/>
  <c r="K153" i="5"/>
  <c r="P53" i="5"/>
  <c r="K53" i="5"/>
  <c r="AL42" i="1"/>
  <c r="AL30" i="1" s="1"/>
  <c r="T93" i="5"/>
  <c r="AK42" i="1"/>
  <c r="R93" i="5"/>
  <c r="J94" i="5" s="1"/>
  <c r="I97" i="5" s="1"/>
  <c r="CA232" i="1"/>
  <c r="CA224" i="1" s="1"/>
  <c r="AK193" i="1"/>
  <c r="R227" i="5"/>
  <c r="J228" i="5" s="1"/>
  <c r="I231" i="5" s="1"/>
  <c r="P68" i="5"/>
  <c r="K68" i="5"/>
  <c r="GM183" i="1"/>
  <c r="GP183" i="1"/>
  <c r="F280" i="1"/>
  <c r="Q263" i="1"/>
  <c r="GP39" i="1"/>
  <c r="GM39" i="1"/>
  <c r="P138" i="5"/>
  <c r="I140" i="5" s="1"/>
  <c r="K138" i="5"/>
  <c r="AE224" i="1"/>
  <c r="R232" i="1"/>
  <c r="GP38" i="1"/>
  <c r="GM38" i="1"/>
  <c r="R81" i="1"/>
  <c r="AE73" i="1"/>
  <c r="CD232" i="1"/>
  <c r="CA81" i="1"/>
  <c r="CA73" i="1" s="1"/>
  <c r="AL193" i="1"/>
  <c r="T227" i="5"/>
  <c r="P246" i="5"/>
  <c r="I274" i="5" s="1"/>
  <c r="K246" i="5"/>
  <c r="P202" i="5"/>
  <c r="K202" i="5"/>
  <c r="U263" i="1"/>
  <c r="F290" i="1"/>
  <c r="P59" i="5"/>
  <c r="K59" i="5"/>
  <c r="Y42" i="1"/>
  <c r="AK30" i="1"/>
  <c r="X42" i="1"/>
  <c r="AF30" i="1"/>
  <c r="S42" i="1"/>
  <c r="O263" i="1"/>
  <c r="F270" i="1"/>
  <c r="X224" i="1"/>
  <c r="F257" i="1"/>
  <c r="AO22" i="1"/>
  <c r="F330" i="1"/>
  <c r="AO355" i="1"/>
  <c r="U26" i="1"/>
  <c r="F168" i="1"/>
  <c r="U326" i="1"/>
  <c r="AP26" i="1"/>
  <c r="F155" i="1"/>
  <c r="AP326" i="1"/>
  <c r="CA263" i="1"/>
  <c r="AR268" i="1"/>
  <c r="CD112" i="1"/>
  <c r="AU117" i="1"/>
  <c r="CD81" i="1"/>
  <c r="T181" i="1"/>
  <c r="F214" i="1"/>
  <c r="T297" i="1"/>
  <c r="AV73" i="1"/>
  <c r="F86" i="1"/>
  <c r="F294" i="1"/>
  <c r="Y263" i="1"/>
  <c r="CE193" i="1"/>
  <c r="P193" i="1"/>
  <c r="CF193" i="1"/>
  <c r="AC181" i="1"/>
  <c r="CH193" i="1"/>
  <c r="CD263" i="1"/>
  <c r="AU268" i="1"/>
  <c r="AL181" i="1"/>
  <c r="Y193" i="1"/>
  <c r="AT22" i="1"/>
  <c r="F344" i="1"/>
  <c r="F16" i="2" s="1"/>
  <c r="F18" i="2" s="1"/>
  <c r="AT355" i="1"/>
  <c r="Q112" i="1"/>
  <c r="F129" i="1"/>
  <c r="X73" i="1"/>
  <c r="F106" i="1"/>
  <c r="AB224" i="1"/>
  <c r="O232" i="1"/>
  <c r="AE30" i="1"/>
  <c r="R42" i="1"/>
  <c r="Y224" i="1"/>
  <c r="F258" i="1"/>
  <c r="AY224" i="1"/>
  <c r="F240" i="1"/>
  <c r="CE112" i="1"/>
  <c r="AV117" i="1"/>
  <c r="CH112" i="1"/>
  <c r="AY117" i="1"/>
  <c r="AE181" i="1"/>
  <c r="R193" i="1"/>
  <c r="AC30" i="1"/>
  <c r="P42" i="1"/>
  <c r="CF42" i="1"/>
  <c r="CH42" i="1"/>
  <c r="CE42" i="1"/>
  <c r="AQ22" i="1"/>
  <c r="F336" i="1"/>
  <c r="AQ355" i="1"/>
  <c r="GM191" i="1"/>
  <c r="CA193" i="1" s="1"/>
  <c r="GP191" i="1"/>
  <c r="CD193" i="1" s="1"/>
  <c r="AB193" i="1"/>
  <c r="AZ73" i="1"/>
  <c r="F92" i="1"/>
  <c r="T30" i="1"/>
  <c r="F63" i="1"/>
  <c r="T146" i="1"/>
  <c r="AY73" i="1"/>
  <c r="F89" i="1"/>
  <c r="V30" i="1"/>
  <c r="F65" i="1"/>
  <c r="V146" i="1"/>
  <c r="F205" i="1"/>
  <c r="Q181" i="1"/>
  <c r="Q297" i="1"/>
  <c r="AZ177" i="1"/>
  <c r="F308" i="1"/>
  <c r="CA112" i="1"/>
  <c r="AR117" i="1"/>
  <c r="AW117" i="1"/>
  <c r="CF112" i="1"/>
  <c r="O81" i="1"/>
  <c r="AB73" i="1"/>
  <c r="GP40" i="1"/>
  <c r="CD42" i="1" s="1"/>
  <c r="GM40" i="1"/>
  <c r="AB42" i="1"/>
  <c r="W181" i="1"/>
  <c r="F217" i="1"/>
  <c r="W297" i="1"/>
  <c r="S224" i="1"/>
  <c r="F247" i="1"/>
  <c r="F273" i="1"/>
  <c r="AV263" i="1"/>
  <c r="U177" i="1"/>
  <c r="F319" i="1"/>
  <c r="AZ26" i="1"/>
  <c r="F157" i="1"/>
  <c r="AZ326" i="1"/>
  <c r="BA30" i="1"/>
  <c r="F62" i="1"/>
  <c r="BA146" i="1"/>
  <c r="S193" i="1"/>
  <c r="AF181" i="1"/>
  <c r="W30" i="1"/>
  <c r="F66" i="1"/>
  <c r="W146" i="1"/>
  <c r="F238" i="1"/>
  <c r="AW224" i="1"/>
  <c r="Q30" i="1"/>
  <c r="F54" i="1"/>
  <c r="Q146" i="1"/>
  <c r="F107" i="1"/>
  <c r="Y73" i="1"/>
  <c r="V181" i="1"/>
  <c r="F216" i="1"/>
  <c r="V297" i="1"/>
  <c r="CD224" i="1"/>
  <c r="AU232" i="1"/>
  <c r="F274" i="1"/>
  <c r="AW263" i="1"/>
  <c r="BC22" i="1"/>
  <c r="BC355" i="1"/>
  <c r="F342" i="1"/>
  <c r="F293" i="1"/>
  <c r="X263" i="1"/>
  <c r="AX26" i="1"/>
  <c r="F153" i="1"/>
  <c r="AX326" i="1"/>
  <c r="AB112" i="1"/>
  <c r="O117" i="1"/>
  <c r="F213" i="1"/>
  <c r="BA181" i="1"/>
  <c r="BA297" i="1"/>
  <c r="AV224" i="1"/>
  <c r="F237" i="1"/>
  <c r="F87" i="1"/>
  <c r="AW73" i="1"/>
  <c r="F120" i="1"/>
  <c r="P112" i="1"/>
  <c r="BB22" i="1"/>
  <c r="F339" i="1"/>
  <c r="BB355" i="1"/>
  <c r="R112" i="1"/>
  <c r="F131" i="1"/>
  <c r="AS22" i="1"/>
  <c r="AS355" i="1"/>
  <c r="F343" i="1"/>
  <c r="E16" i="2" s="1"/>
  <c r="X193" i="1"/>
  <c r="AK181" i="1"/>
  <c r="AX177" i="1"/>
  <c r="F304" i="1"/>
  <c r="F276" i="1"/>
  <c r="AY263" i="1"/>
  <c r="CA42" i="1" l="1"/>
  <c r="AR232" i="1"/>
  <c r="P97" i="5"/>
  <c r="K97" i="5"/>
  <c r="R224" i="1"/>
  <c r="F246" i="1"/>
  <c r="P231" i="5"/>
  <c r="I299" i="5" s="1"/>
  <c r="K231" i="5"/>
  <c r="AR81" i="1"/>
  <c r="R73" i="1"/>
  <c r="F95" i="1"/>
  <c r="CD30" i="1"/>
  <c r="AU42" i="1"/>
  <c r="CA30" i="1"/>
  <c r="AR42" i="1"/>
  <c r="BB18" i="1"/>
  <c r="F368" i="1"/>
  <c r="O112" i="1"/>
  <c r="F119" i="1"/>
  <c r="BC18" i="1"/>
  <c r="F371" i="1"/>
  <c r="AU224" i="1"/>
  <c r="F251" i="1"/>
  <c r="W26" i="1"/>
  <c r="F170" i="1"/>
  <c r="W326" i="1"/>
  <c r="S181" i="1"/>
  <c r="F208" i="1"/>
  <c r="S297" i="1"/>
  <c r="AZ22" i="1"/>
  <c r="F337" i="1"/>
  <c r="AZ355" i="1"/>
  <c r="O42" i="1"/>
  <c r="AB30" i="1"/>
  <c r="O73" i="1"/>
  <c r="F83" i="1"/>
  <c r="AR112" i="1"/>
  <c r="F144" i="1"/>
  <c r="Q177" i="1"/>
  <c r="F309" i="1"/>
  <c r="CD181" i="1"/>
  <c r="AU193" i="1"/>
  <c r="F45" i="1"/>
  <c r="P30" i="1"/>
  <c r="P146" i="1"/>
  <c r="AY112" i="1"/>
  <c r="F125" i="1"/>
  <c r="R30" i="1"/>
  <c r="F56" i="1"/>
  <c r="R146" i="1"/>
  <c r="AT18" i="1"/>
  <c r="F373" i="1"/>
  <c r="I22" i="5" s="1"/>
  <c r="T177" i="1"/>
  <c r="F318" i="1"/>
  <c r="AU112" i="1"/>
  <c r="F136" i="1"/>
  <c r="AP22" i="1"/>
  <c r="F335" i="1"/>
  <c r="G16" i="2" s="1"/>
  <c r="G18" i="2" s="1"/>
  <c r="AP355" i="1"/>
  <c r="BA177" i="1"/>
  <c r="F317" i="1"/>
  <c r="BA26" i="1"/>
  <c r="F166" i="1"/>
  <c r="BA326" i="1"/>
  <c r="W177" i="1"/>
  <c r="F321" i="1"/>
  <c r="CA181" i="1"/>
  <c r="AR193" i="1"/>
  <c r="CE30" i="1"/>
  <c r="AV42" i="1"/>
  <c r="AU263" i="1"/>
  <c r="F287" i="1"/>
  <c r="CF181" i="1"/>
  <c r="AW193" i="1"/>
  <c r="F57" i="1"/>
  <c r="S30" i="1"/>
  <c r="S146" i="1"/>
  <c r="Y30" i="1"/>
  <c r="F68" i="1"/>
  <c r="Y146" i="1"/>
  <c r="E18" i="2"/>
  <c r="AS18" i="1"/>
  <c r="F372" i="1"/>
  <c r="I21" i="5" s="1"/>
  <c r="AR73" i="1"/>
  <c r="F108" i="1"/>
  <c r="AX22" i="1"/>
  <c r="F333" i="1"/>
  <c r="AX355" i="1"/>
  <c r="V177" i="1"/>
  <c r="F320" i="1"/>
  <c r="AR224" i="1"/>
  <c r="F259" i="1"/>
  <c r="T26" i="1"/>
  <c r="F167" i="1"/>
  <c r="T326" i="1"/>
  <c r="AQ18" i="1"/>
  <c r="F365" i="1"/>
  <c r="CH30" i="1"/>
  <c r="AY42" i="1"/>
  <c r="R181" i="1"/>
  <c r="F207" i="1"/>
  <c r="R297" i="1"/>
  <c r="F122" i="1"/>
  <c r="AV112" i="1"/>
  <c r="O224" i="1"/>
  <c r="F234" i="1"/>
  <c r="F196" i="1"/>
  <c r="P181" i="1"/>
  <c r="P297" i="1"/>
  <c r="AR263" i="1"/>
  <c r="F295" i="1"/>
  <c r="AO18" i="1"/>
  <c r="F359" i="1"/>
  <c r="X181" i="1"/>
  <c r="F218" i="1"/>
  <c r="X297" i="1"/>
  <c r="Q26" i="1"/>
  <c r="F158" i="1"/>
  <c r="Q326" i="1"/>
  <c r="AW112" i="1"/>
  <c r="F123" i="1"/>
  <c r="V26" i="1"/>
  <c r="F169" i="1"/>
  <c r="V326" i="1"/>
  <c r="O193" i="1"/>
  <c r="AB181" i="1"/>
  <c r="CF30" i="1"/>
  <c r="AW42" i="1"/>
  <c r="F219" i="1"/>
  <c r="Y181" i="1"/>
  <c r="Y297" i="1"/>
  <c r="CH181" i="1"/>
  <c r="AY193" i="1"/>
  <c r="CE181" i="1"/>
  <c r="AV193" i="1"/>
  <c r="CD73" i="1"/>
  <c r="AU81" i="1"/>
  <c r="U22" i="1"/>
  <c r="F348" i="1"/>
  <c r="U355" i="1"/>
  <c r="X30" i="1"/>
  <c r="F67" i="1"/>
  <c r="X146" i="1"/>
  <c r="I165" i="5" l="1"/>
  <c r="I305" i="5"/>
  <c r="I99" i="5"/>
  <c r="I302" i="5"/>
  <c r="I233" i="5"/>
  <c r="X26" i="1"/>
  <c r="F171" i="1"/>
  <c r="X326" i="1"/>
  <c r="R177" i="1"/>
  <c r="F311" i="1"/>
  <c r="AP18" i="1"/>
  <c r="F364" i="1"/>
  <c r="I23" i="5" s="1"/>
  <c r="F69" i="1"/>
  <c r="AR30" i="1"/>
  <c r="AR146" i="1"/>
  <c r="AY181" i="1"/>
  <c r="F201" i="1"/>
  <c r="AY297" i="1"/>
  <c r="F195" i="1"/>
  <c r="O181" i="1"/>
  <c r="O297" i="1"/>
  <c r="P177" i="1"/>
  <c r="F300" i="1"/>
  <c r="F199" i="1"/>
  <c r="AW181" i="1"/>
  <c r="AW297" i="1"/>
  <c r="AV30" i="1"/>
  <c r="F47" i="1"/>
  <c r="AV146" i="1"/>
  <c r="R26" i="1"/>
  <c r="F160" i="1"/>
  <c r="R326" i="1"/>
  <c r="AU181" i="1"/>
  <c r="F212" i="1"/>
  <c r="AU297" i="1"/>
  <c r="W22" i="1"/>
  <c r="F350" i="1"/>
  <c r="W355" i="1"/>
  <c r="AU73" i="1"/>
  <c r="F100" i="1"/>
  <c r="U18" i="1"/>
  <c r="F377" i="1"/>
  <c r="AW30" i="1"/>
  <c r="F48" i="1"/>
  <c r="AW146" i="1"/>
  <c r="V22" i="1"/>
  <c r="F349" i="1"/>
  <c r="V355" i="1"/>
  <c r="X177" i="1"/>
  <c r="F322" i="1"/>
  <c r="AX18" i="1"/>
  <c r="F362" i="1"/>
  <c r="S26" i="1"/>
  <c r="F161" i="1"/>
  <c r="S326" i="1"/>
  <c r="P26" i="1"/>
  <c r="F149" i="1"/>
  <c r="P326" i="1"/>
  <c r="F44" i="1"/>
  <c r="O30" i="1"/>
  <c r="O146" i="1"/>
  <c r="S177" i="1"/>
  <c r="F312" i="1"/>
  <c r="F61" i="1"/>
  <c r="AU30" i="1"/>
  <c r="AU146" i="1"/>
  <c r="AV181" i="1"/>
  <c r="F198" i="1"/>
  <c r="AV297" i="1"/>
  <c r="Y177" i="1"/>
  <c r="F323" i="1"/>
  <c r="Q22" i="1"/>
  <c r="Q355" i="1"/>
  <c r="F338" i="1"/>
  <c r="AY30" i="1"/>
  <c r="F50" i="1"/>
  <c r="AY146" i="1"/>
  <c r="T22" i="1"/>
  <c r="T355" i="1"/>
  <c r="F347" i="1"/>
  <c r="Y26" i="1"/>
  <c r="F172" i="1"/>
  <c r="Y326" i="1"/>
  <c r="F220" i="1"/>
  <c r="AR181" i="1"/>
  <c r="AR297" i="1"/>
  <c r="BA22" i="1"/>
  <c r="F346" i="1"/>
  <c r="BA355" i="1"/>
  <c r="AZ18" i="1"/>
  <c r="F366" i="1"/>
  <c r="BA18" i="1" l="1"/>
  <c r="F375" i="1"/>
  <c r="AY26" i="1"/>
  <c r="F154" i="1"/>
  <c r="AY326" i="1"/>
  <c r="Q18" i="1"/>
  <c r="F367" i="1"/>
  <c r="AV177" i="1"/>
  <c r="F302" i="1"/>
  <c r="O26" i="1"/>
  <c r="F148" i="1"/>
  <c r="O326" i="1"/>
  <c r="AW26" i="1"/>
  <c r="F152" i="1"/>
  <c r="AW326" i="1"/>
  <c r="AV26" i="1"/>
  <c r="F151" i="1"/>
  <c r="AV326" i="1"/>
  <c r="O177" i="1"/>
  <c r="F299" i="1"/>
  <c r="V18" i="1"/>
  <c r="F378" i="1"/>
  <c r="R22" i="1"/>
  <c r="F340" i="1"/>
  <c r="R355" i="1"/>
  <c r="X22" i="1"/>
  <c r="X355" i="1"/>
  <c r="F351" i="1"/>
  <c r="Y22" i="1"/>
  <c r="F352" i="1"/>
  <c r="Y355" i="1"/>
  <c r="T18" i="1"/>
  <c r="F376" i="1"/>
  <c r="S22" i="1"/>
  <c r="F341" i="1"/>
  <c r="J16" i="2" s="1"/>
  <c r="J18" i="2" s="1"/>
  <c r="S355" i="1"/>
  <c r="AU177" i="1"/>
  <c r="F316" i="1"/>
  <c r="AR26" i="1"/>
  <c r="F173" i="1"/>
  <c r="AR326" i="1"/>
  <c r="AR177" i="1"/>
  <c r="F324" i="1"/>
  <c r="AU26" i="1"/>
  <c r="F165" i="1"/>
  <c r="AU326" i="1"/>
  <c r="P22" i="1"/>
  <c r="P355" i="1"/>
  <c r="F329" i="1"/>
  <c r="W18" i="1"/>
  <c r="F379" i="1"/>
  <c r="AW177" i="1"/>
  <c r="F303" i="1"/>
  <c r="AY177" i="1"/>
  <c r="F305" i="1"/>
  <c r="P18" i="1" l="1"/>
  <c r="F358" i="1"/>
  <c r="S18" i="1"/>
  <c r="F370" i="1"/>
  <c r="I25" i="5" s="1"/>
  <c r="O22" i="1"/>
  <c r="F328" i="1"/>
  <c r="O355" i="1"/>
  <c r="Y18" i="1"/>
  <c r="F381" i="1"/>
  <c r="X18" i="1"/>
  <c r="F380" i="1"/>
  <c r="AW22" i="1"/>
  <c r="F332" i="1"/>
  <c r="AW355" i="1"/>
  <c r="AU22" i="1"/>
  <c r="AU355" i="1"/>
  <c r="F345" i="1"/>
  <c r="H16" i="2" s="1"/>
  <c r="AV22" i="1"/>
  <c r="AV355" i="1"/>
  <c r="F331" i="1"/>
  <c r="AR22" i="1"/>
  <c r="F353" i="1"/>
  <c r="AR355" i="1"/>
  <c r="R18" i="1"/>
  <c r="F369" i="1"/>
  <c r="AY22" i="1"/>
  <c r="AY355" i="1"/>
  <c r="F334" i="1"/>
  <c r="AU18" i="1" l="1"/>
  <c r="F374" i="1"/>
  <c r="I24" i="5" s="1"/>
  <c r="AR18" i="1"/>
  <c r="F382" i="1"/>
  <c r="AV18" i="1"/>
  <c r="F360" i="1"/>
  <c r="O18" i="1"/>
  <c r="F357" i="1"/>
  <c r="AY18" i="1"/>
  <c r="F363" i="1"/>
  <c r="AW18" i="1"/>
  <c r="F361" i="1"/>
  <c r="H18" i="2"/>
  <c r="I16" i="2"/>
  <c r="I18" i="2" s="1"/>
  <c r="F383" i="1" l="1"/>
  <c r="I306" i="5" s="1"/>
  <c r="I20" i="5"/>
  <c r="F384" i="1"/>
  <c r="F385" i="1" l="1"/>
  <c r="I307" i="5"/>
  <c r="F386" i="1" l="1"/>
  <c r="I308" i="5"/>
  <c r="F387" i="1" l="1"/>
  <c r="I310" i="5" s="1"/>
  <c r="I309" i="5"/>
</calcChain>
</file>

<file path=xl/sharedStrings.xml><?xml version="1.0" encoding="utf-8"?>
<sst xmlns="http://schemas.openxmlformats.org/spreadsheetml/2006/main" count="3904" uniqueCount="356">
  <si>
    <t>Smeta.RU  (495) 974-1589</t>
  </si>
  <si>
    <t>_PS_</t>
  </si>
  <si>
    <t>Smeta.RU</t>
  </si>
  <si>
    <t/>
  </si>
  <si>
    <t>Новый объект_(Копия)_(Копия)</t>
  </si>
  <si>
    <t>Реализация Программы восстановительных посадок деревьев и кустарников, взамен утраченных в результате неблагоприятных погодных явлений 29.05.2020 и 30.06.2020_(Вариант 2-1)</t>
  </si>
  <si>
    <t>А.Б.Юрков</t>
  </si>
  <si>
    <t>инженер-сметчик</t>
  </si>
  <si>
    <t>А.В.Козовков</t>
  </si>
  <si>
    <t>начальник отдела благоустройства</t>
  </si>
  <si>
    <t>З.Н.Орлова</t>
  </si>
  <si>
    <t>Директор ГБУ "Жилищник района Нагатино-Садовники"</t>
  </si>
  <si>
    <t>С.К.Федоров</t>
  </si>
  <si>
    <t>Глава управы района Нагатино-Садовники</t>
  </si>
  <si>
    <t>Сметные нормы списания</t>
  </si>
  <si>
    <t>Коды ОКП для СН-2012 - 2020 г.</t>
  </si>
  <si>
    <t>СН-2012 - 2020 г_глава_1-5,7</t>
  </si>
  <si>
    <t>Типовой расчет для СН-2012 - 2020 г</t>
  </si>
  <si>
    <t>СН-2012-2020 г. База данных "Сборник стоимостных нормативов"</t>
  </si>
  <si>
    <t>Поправки для СН-2012-2020 в ценах на 01.10.2019 г</t>
  </si>
  <si>
    <t>Новая локальная смета</t>
  </si>
  <si>
    <t>Новый раздел</t>
  </si>
  <si>
    <t>Посадка деревьев V группы (на видовых территориях - центральная часть города, административных округов); ком. 1,7*1,7*0,65; 100% замена земли</t>
  </si>
  <si>
    <t>Новый подраздел</t>
  </si>
  <si>
    <t>Посадка деревьев</t>
  </si>
  <si>
    <t>1</t>
  </si>
  <si>
    <t>5.4-3103-2-30/1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</si>
  <si>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100% 49ямх0,75=36,75 ям</t>
  </si>
  <si>
    <t>10 ям</t>
  </si>
  <si>
    <t>СН-2012-2020.5. База. Сб.4-3103-2-30/1</t>
  </si>
  <si>
    <t>СН-2012</t>
  </si>
  <si>
    <t>Подрядные работы, гл. 1-5,7</t>
  </si>
  <si>
    <t>работа</t>
  </si>
  <si>
    <t>2</t>
  </si>
  <si>
    <t>5.4-3103-4-30/1</t>
  </si>
  <si>
    <t>Подготовка стандартных посадочных мест вручную с квадратным комом земли размером 1,7х1,7х0,65 м с добавлением растительной земли до 100% 49ямх0,25=12,25 ям</t>
  </si>
  <si>
    <t>СН-2012-2020.5. База. Сб.4-3103-4-30/1</t>
  </si>
  <si>
    <t>3</t>
  </si>
  <si>
    <t>1.1-3101-6-1/1</t>
  </si>
  <si>
    <t>Погрузка грунта вручную в автомобили-самосвалы с выгрузкой (6,08-1,88)х49ямх0,25=51,45м3</t>
  </si>
  <si>
    <t>100 м3</t>
  </si>
  <si>
    <t>СН-2012-2020.1. База. Сб.1-3101-6-1/1</t>
  </si>
  <si>
    <t>4</t>
  </si>
  <si>
    <t>2.12-3105-6-1/1</t>
  </si>
  <si>
    <t>Погрузка грунта экскаватором в самосвал (6,08-1,88)х49ямх0,75=154,35 м3</t>
  </si>
  <si>
    <t>10 м3</t>
  </si>
  <si>
    <t>СН-2012-2020.2. База. Сб.12-3105-6-1/1</t>
  </si>
  <si>
    <t>5</t>
  </si>
  <si>
    <t>2.49-3401-1-1/1</t>
  </si>
  <si>
    <t>Перевозка грунта автосамосвалами грузоподъемностью до 10 т на расстояние 1 км (6,08-1,88)*49=205,8 м3</t>
  </si>
  <si>
    <t>м3</t>
  </si>
  <si>
    <t>СН-2012-2020.2. База. Сб.49-3401-1-1/1</t>
  </si>
  <si>
    <t>Подрядные работы, гл. 1 перевозка мусора</t>
  </si>
  <si>
    <t>6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</si>
  <si>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</si>
  <si>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 (6,08-1,88)*49=205,8 м3</t>
  </si>
  <si>
    <t>СН-2012-2020.2. База. Сб.49-3401-1-2/1</t>
  </si>
  <si>
    <t>)*41</t>
  </si>
  <si>
    <t>7</t>
  </si>
  <si>
    <t>5.4-3303-6-11/1</t>
  </si>
  <si>
    <t>Заготовка деревьев и кустарников с комом земли размером 1,7х1,7х0,65 м</t>
  </si>
  <si>
    <t>10 шт.</t>
  </si>
  <si>
    <t>СН-2012-2020.5. База. Сб.4-3303-6-11/1</t>
  </si>
  <si>
    <t>8</t>
  </si>
  <si>
    <t>5.4-3103-6-10/1</t>
  </si>
  <si>
    <t>Посадка деревьев и кустарников с комом земли размером 1,7х1,7х0,65 м (без стоимости деревьев и кустарников)</t>
  </si>
  <si>
    <t>СН-2012-2020.5. База. Сб.4-3103-6-10/1</t>
  </si>
  <si>
    <t>8,1</t>
  </si>
  <si>
    <t>21.4-1-6</t>
  </si>
  <si>
    <t>Деревья декоративные лиственных пород с комом земли, порода: береза, ива, рябина, тополь, черемуха, яблоня, размер кома: 1,7х1,7х0,65 м</t>
  </si>
  <si>
    <t>шт.</t>
  </si>
  <si>
    <t>СН-2012-2020.21. База. Р.4, о.1, поз.6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</si>
  <si>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</si>
  <si>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</si>
  <si>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</si>
  <si>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</si>
  <si>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</si>
  <si>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</si>
  <si>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</si>
  <si>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</si>
  <si>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</si>
  <si>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</si>
  <si>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</si>
  <si>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</si>
  <si>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</si>
  <si>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</si>
  <si>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</si>
  <si>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</si>
  <si>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</si>
  <si>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</si>
  <si>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</si>
  <si>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</si>
  <si>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</si>
  <si>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</si>
  <si>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</si>
  <si>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</si>
  <si>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</si>
  <si>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</si>
  <si>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</si>
  <si>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</si>
  <si>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</si>
  <si>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</si>
  <si>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</si>
  <si>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</si>
  <si>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</si>
  <si>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</si>
  <si>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</si>
  <si>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</si>
  <si>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</si>
  <si>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</si>
  <si>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</si>
  <si>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</si>
  <si>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</si>
  <si>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</si>
  <si>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</si>
  <si>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</si>
  <si>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</si>
  <si>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</si>
  <si>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</si>
  <si>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</si>
  <si>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</si>
  <si>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</si>
  <si>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</si>
  <si>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</si>
  <si>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Восстановление отпада</t>
  </si>
  <si>
    <t>9</t>
  </si>
  <si>
    <t>10</t>
  </si>
  <si>
    <t>5.4-3103-2-26/1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</si>
  <si>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в естественном грунте 3*0,75=2,25</t>
  </si>
  <si>
    <t>СН-2012-2020.5. База. Сб.4-3103-2-26/1</t>
  </si>
  <si>
    <t>11</t>
  </si>
  <si>
    <t>5.4-3103-4-26/1</t>
  </si>
  <si>
    <t>Подготовка стандартных посадочных мест вручную с квадратным комом земли размером 1,7х1,7х0,65 м в естественном грунте 3*0,25=0,75</t>
  </si>
  <si>
    <t>СН-2012-2020.5. База. Сб.4-3103-4-26/1</t>
  </si>
  <si>
    <t>12</t>
  </si>
  <si>
    <t>12,1</t>
  </si>
  <si>
    <t>Уход за деревьями на видовых центральных территориях</t>
  </si>
  <si>
    <t>13</t>
  </si>
  <si>
    <t>5.4-3405-1-10/1</t>
  </si>
  <si>
    <t>Уход за деревьями или кустарниками с комом земли в течение года после посадки (комплексные расценки) - ком размером 1,7х1,7х0,65 м</t>
  </si>
  <si>
    <t>СН-2012-2020.5. База. Сб.4-3405-1-10/1</t>
  </si>
  <si>
    <t>14</t>
  </si>
  <si>
    <t>5.4-3103-20-3/1</t>
  </si>
  <si>
    <t>Внесение минеральных удобрений при посадке деревьев и кустарников для стандартных саженцев 1,88*49ям=92,12м3</t>
  </si>
  <si>
    <t>10 м3 ям</t>
  </si>
  <si>
    <t>СН-2012-2020.5. База. Сб.4-3103-20-3/1</t>
  </si>
  <si>
    <t>Посадка на внутридворовых территориях деревьев IV группы, ком 1,3*1,3*0,6, 75% замена земли</t>
  </si>
  <si>
    <t>Посадка деревьев 120 шт</t>
  </si>
  <si>
    <t>15</t>
  </si>
  <si>
    <t>5.4-3103-2-18/1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</si>
  <si>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50% 120х0,75=90 ям</t>
  </si>
  <si>
    <t>СН-2012-2020.5. База. Сб.4-3103-2-18/1</t>
  </si>
  <si>
    <t>16</t>
  </si>
  <si>
    <t>5.4-3103-4-17/1</t>
  </si>
  <si>
    <t>Подготовка стандартных посадочных мест вручную с квадратным комом земли размером 1,3х1,3х0,6 м с добавлением растительной земли до 25% 120х0,25=30 ям</t>
  </si>
  <si>
    <t>СН-2012-2020.5. База. Сб.4-3103-4-17/1</t>
  </si>
  <si>
    <t>17</t>
  </si>
  <si>
    <t>Погрузка грунта вручную в автомобили-самосвалы с выгрузкой (4,11-1,01)=3,1х120ямх0,25=93м3</t>
  </si>
  <si>
    <t>18</t>
  </si>
  <si>
    <t>Погрузка грунта экскаватором в самосвал (4,11-1,01)=3,1х120ямх0,75=279 м3</t>
  </si>
  <si>
    <t>19</t>
  </si>
  <si>
    <t>Перевозка грунта автосамосвалами грузоподъемностью до 10 т на расстояние 1 км (4,11-1,01)=3,1*120=372 м3</t>
  </si>
  <si>
    <t>20</t>
  </si>
  <si>
    <t>Перевозка грунта автосамосвалами грузоподъемностью до 10 т - добавляется на каждый последующий 1 км до 100 км (к поз. 49-3401-1-1)</t>
  </si>
  <si>
    <t>21</t>
  </si>
  <si>
    <t>5.4-3303-6-9/1</t>
  </si>
  <si>
    <t>Заготовка деревьев и кустарников с комом земли размером 1,3х1,3х0,6 м</t>
  </si>
  <si>
    <t>СН-2012-2020.5. База. Сб.4-3303-6-9/1</t>
  </si>
  <si>
    <t>22</t>
  </si>
  <si>
    <t>5.4-3103-6-8/1</t>
  </si>
  <si>
    <t>Посадка деревьев и кустарников с комом земли размером 1,3х1,3х0,6 м (без стоимости деревьев и кустарников)</t>
  </si>
  <si>
    <t>СН-2012-2020.5. База. Сб.4-3103-6-8/1</t>
  </si>
  <si>
    <t>22,1</t>
  </si>
  <si>
    <t>21.4-1-5</t>
  </si>
  <si>
    <t>Деревья декоративные лиственных пород с комом земли, порода: бархат амурский, вяз, дуб, каштан, клен, липа, орех, ясень, размер кома: 1,3х1,3х0,6 м</t>
  </si>
  <si>
    <t>СН-2012-2020.21. База. Р.4, о.1, поз.5</t>
  </si>
  <si>
    <t>Восстановление отпада деревьев 5%</t>
  </si>
  <si>
    <t>23</t>
  </si>
  <si>
    <t>24</t>
  </si>
  <si>
    <t>5.4-3103-2-16/1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</si>
  <si>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в естественном грунте 6х0,75=4,5м2</t>
  </si>
  <si>
    <t>СН-2012-2020.5. База. Сб.4-3103-2-16/1</t>
  </si>
  <si>
    <t>25</t>
  </si>
  <si>
    <t>5.4-3103-4-16/1</t>
  </si>
  <si>
    <t>Подготовка стандартных посадочных мест вручную с квадратным комом земли размером 1,3х1,3х0,6 м в естественном грунте 6х0,25=1,5ям</t>
  </si>
  <si>
    <t>СН-2012-2020.5. База. Сб.4-3103-4-16/1</t>
  </si>
  <si>
    <t>26</t>
  </si>
  <si>
    <t>26,1</t>
  </si>
  <si>
    <t>Уход за деревьями - внутридворовые территории</t>
  </si>
  <si>
    <t>27</t>
  </si>
  <si>
    <t>5.4-3405-1-8/1</t>
  </si>
  <si>
    <t>Уход за деревьями или кустарниками с комом земли в течение года после посадки (комплексные расценки) - ком размером 1,3х1,3х0,6 м</t>
  </si>
  <si>
    <t>СН-2012-2020.5. База. Сб.4-3405-1-8/1</t>
  </si>
  <si>
    <t>28</t>
  </si>
  <si>
    <t>Внесение минеральных удобрений при посадке деревьев и кустарников для стандартных саженцев 1,01х120=121,2 м3</t>
  </si>
  <si>
    <t>Итог</t>
  </si>
  <si>
    <t>Всего по смете</t>
  </si>
  <si>
    <t>Без ОЗП и ЗПМ</t>
  </si>
  <si>
    <t>Всего без ОЗП и ЗПМ</t>
  </si>
  <si>
    <t>НДС 20%</t>
  </si>
  <si>
    <t>Итого с НДС</t>
  </si>
  <si>
    <t>Итого с понижающим коэффициентом (к-0,8596728801643)</t>
  </si>
  <si>
    <t>Уровень цен на 01.10.2019 г</t>
  </si>
  <si>
    <t>_OBSM_</t>
  </si>
  <si>
    <t>9999990008</t>
  </si>
  <si>
    <t>Трудозатраты рабочих</t>
  </si>
  <si>
    <t>чел.-ч.</t>
  </si>
  <si>
    <t>22.1-1-24</t>
  </si>
  <si>
    <t>СН-2012-2020.22. База. п.1-1-24 (010501)</t>
  </si>
  <si>
    <t>Экскаваторы на пневмоколесном тракторе гидравлические, объем ковша до 0,25 м3</t>
  </si>
  <si>
    <t>маш.-ч</t>
  </si>
  <si>
    <t>21.4-6-15</t>
  </si>
  <si>
    <t>СН-2012-2020.21. База. Р.4, о.6, поз.15</t>
  </si>
  <si>
    <t>Торф</t>
  </si>
  <si>
    <t>21.4-6-5</t>
  </si>
  <si>
    <t>СН-2012-2020.21. База. Р.4, о.6, поз.5</t>
  </si>
  <si>
    <t>Земля растительная</t>
  </si>
  <si>
    <t>22.1-1-25</t>
  </si>
  <si>
    <t>СН-2012-2020.22. База. п.1-1-25 (010601)</t>
  </si>
  <si>
    <t>Экскаваторы-планировщики на автомобиле, объем ковша до 0,63 м3</t>
  </si>
  <si>
    <t>22.1-18-13</t>
  </si>
  <si>
    <t>СН-2012-2020.22. База. п.1-18-13 (184002)</t>
  </si>
  <si>
    <t>Автомобили-самосвалы, грузоподъемность до 10 т</t>
  </si>
  <si>
    <t>22.1-30-84</t>
  </si>
  <si>
    <t>СН-2012-2020.22. База. п.1-30-84 (303401)</t>
  </si>
  <si>
    <t>Пилы бензиновые мощностью до 4 кВт, тип "Husqvarna"</t>
  </si>
  <si>
    <t>21.1-11-46</t>
  </si>
  <si>
    <t>СН-2012-2020.21. База. Р.1, о.11, поз.46</t>
  </si>
  <si>
    <t>Гвозди строительные</t>
  </si>
  <si>
    <t>т</t>
  </si>
  <si>
    <t>21.1-20-5</t>
  </si>
  <si>
    <t>СН-2012-2020.21. База. Р.1, о.20, поз.5</t>
  </si>
  <si>
    <t>Веревка пеньковая техническая</t>
  </si>
  <si>
    <t>кг</t>
  </si>
  <si>
    <t>21.1-9-57</t>
  </si>
  <si>
    <t>СН-2012-2020.21. База. Р.1, о.9, поз.57</t>
  </si>
  <si>
    <t>Доски хвойных пород, обрезные, длина 2-6,5 м, сорт III, толщина 40-60 мм</t>
  </si>
  <si>
    <t>21.1-9-90</t>
  </si>
  <si>
    <t>СН-2012-2020.21. База. Р.1, о.9, поз.90</t>
  </si>
  <si>
    <t>Бревна строительные окоренные, лиственных пород, длина 3-6,5 м, диаметр 14-24 см, сорт III</t>
  </si>
  <si>
    <t>22.1-5-18</t>
  </si>
  <si>
    <t>СН-2012-2020.22. База. п.1-5-18 (050902)</t>
  </si>
  <si>
    <t>Поливомоечные машины, емкость цистерны более 5000 л</t>
  </si>
  <si>
    <t>21.1-20-17</t>
  </si>
  <si>
    <t>СН-2012-2020.21. База. Р.1, о.20, поз.17</t>
  </si>
  <si>
    <t>Мешковина</t>
  </si>
  <si>
    <t>м2</t>
  </si>
  <si>
    <t>21.1-20-54</t>
  </si>
  <si>
    <t>СН-2012-2020.21. База. Р.1, о.20, поз.54</t>
  </si>
  <si>
    <t>Шпагат пеньковый</t>
  </si>
  <si>
    <t>21.1-25-13</t>
  </si>
  <si>
    <t>СН-2012-2020.21. База. Р.1, о.25, поз.13</t>
  </si>
  <si>
    <t>Вода</t>
  </si>
  <si>
    <t>21.4-6-7</t>
  </si>
  <si>
    <t>СН-2012-2020.21. База. Р.4, о.6, поз.7</t>
  </si>
  <si>
    <t>Колья деревянные для подвязки деревьев до 2,5м</t>
  </si>
  <si>
    <t>21.4-4-12</t>
  </si>
  <si>
    <t>СН-2012-2020.21. База. Р.4, о.4, поз.12</t>
  </si>
  <si>
    <t>Селитра аммиачная, марка Б</t>
  </si>
  <si>
    <t>21.4-4-18</t>
  </si>
  <si>
    <t>СН-2012-2020.21. База. Р.4, о.4, поз.18</t>
  </si>
  <si>
    <t>Удобрения органические (средняя стоимость)</t>
  </si>
  <si>
    <t>9797010000</t>
  </si>
  <si>
    <t>Деревья и кустарники с комом</t>
  </si>
  <si>
    <t>"СОГЛАСОВАНО"</t>
  </si>
  <si>
    <t>"УТВЕРЖДАЮ"</t>
  </si>
  <si>
    <t>Форма № 1а (глава 1-5)</t>
  </si>
  <si>
    <t>"_____"________________ 2020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</si>
  <si>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</si>
  <si>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</si>
  <si>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</si>
  <si>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</si>
  <si>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</si>
  <si>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</si>
  <si>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</si>
  <si>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</si>
  <si>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</si>
  <si>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</si>
  <si>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</si>
  <si>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</si>
  <si>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</si>
  <si>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</si>
  <si>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</si>
  <si>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</si>
  <si>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</si>
  <si>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</si>
  <si>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</si>
  <si>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</si>
  <si>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</si>
  <si>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</si>
  <si>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2019 года</t>
  </si>
  <si>
    <t>ЗП</t>
  </si>
  <si>
    <t>ЭМ</t>
  </si>
  <si>
    <t>в т.ч. ЗПМ</t>
  </si>
  <si>
    <t>МР</t>
  </si>
  <si>
    <t>НР от ЗП</t>
  </si>
  <si>
    <t>%</t>
  </si>
  <si>
    <t>НР и СП от ЗПМ</t>
  </si>
  <si>
    <t>ЗТР</t>
  </si>
  <si>
    <t>чел-ч</t>
  </si>
  <si>
    <t xml:space="preserve">Составил   </t>
  </si>
  <si>
    <t>[должность,подпись(инициалы,фамилия)]</t>
  </si>
  <si>
    <t xml:space="preserve">Проверил   </t>
  </si>
  <si>
    <t>TYPE</t>
  </si>
  <si>
    <t>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</si>
  <si>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</si>
  <si>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</si>
  <si>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</si>
  <si>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</si>
  <si>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</si>
  <si>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</si>
  <si>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</si>
  <si>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</si>
  <si>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</si>
  <si>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</si>
  <si>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</si>
  <si>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</si>
  <si>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</si>
  <si>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</si>
  <si>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</si>
  <si>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</si>
  <si>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</si>
  <si>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</si>
  <si>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</si>
  <si>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</si>
  <si>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</si>
  <si>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</si>
  <si>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</si>
  <si>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</si>
  <si>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</si>
  <si>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</si>
  <si>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</si>
  <si>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</si>
  <si>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</si>
  <si>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</si>
  <si>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</si>
  <si>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Ресурсная ведомость на</t>
  </si>
  <si>
    <t>Объект: Реализация Программы восстановительных посадок деревьев и кустарников, взамен утраченных в результате неблагоприятных погодных явлений 29.05.2020 и 30.06.2020_(Вариант 2-1)</t>
  </si>
  <si>
    <t>Обоснование</t>
  </si>
  <si>
    <t>Наименование</t>
  </si>
  <si>
    <t>Объем</t>
  </si>
  <si>
    <t>Текущая</t>
  </si>
  <si>
    <t>цена</t>
  </si>
  <si>
    <t>стоимость</t>
  </si>
  <si>
    <t xml:space="preserve">Материальные ресурсы </t>
  </si>
  <si>
    <t xml:space="preserve">Итого материальные ресурсы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</si>
  <si>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</si>
  <si>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</si>
  <si>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</si>
  <si>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</si>
  <si>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</si>
  <si>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</si>
  <si>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</si>
  <si>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</si>
  <si>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Подписи членов комиссии:</t>
  </si>
  <si>
    <t>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</si>
</sst>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#,##0.00####;[Red]\-\ #,##0.00####"/>
    <numFmt numFmtId="166" formatCode="#,##0.00;[Red]\-\ #,##0.00"/>
  </numFmts>
  <fonts count="18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166" fontId="15" fillId="0" borderId="0" xfId="0" applyNumberFormat="1" applyFont="1" applyAlignment="1">
      <alignment horizontal="right"/>
    </xf>
    <xf numFmtId="166" fontId="0" fillId="0" borderId="0" xfId="0" applyNumberFormat="1"/>
    <xf numFmtId="0" fontId="17" fillId="0" borderId="0" xfId="0" applyFont="1" applyAlignment="1">
      <alignment horizontal="right"/>
    </xf>
    <xf numFmtId="0" fontId="0" fillId="0" borderId="6" xfId="0" applyBorder="1"/>
    <xf numFmtId="166" fontId="17" fillId="0" borderId="6" xfId="0" applyNumberFormat="1" applyFont="1" applyBorder="1" applyAlignment="1">
      <alignment horizontal="right"/>
    </xf>
    <xf numFmtId="0" fontId="10" fillId="0" borderId="0" xfId="0" quotePrefix="1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10" fillId="0" borderId="1" xfId="0" applyFont="1" applyBorder="1"/>
    <xf numFmtId="0" fontId="11" fillId="0" borderId="3" xfId="0" quotePrefix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right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166" fontId="10" fillId="0" borderId="3" xfId="0" applyNumberFormat="1" applyFont="1" applyBorder="1" applyAlignment="1">
      <alignment horizontal="right" wrapText="1"/>
    </xf>
    <xf numFmtId="0" fontId="17" fillId="0" borderId="0" xfId="0" applyFont="1" applyBorder="1" applyAlignment="1">
      <alignment horizontal="right"/>
    </xf>
    <xf numFmtId="0" fontId="17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0" fillId="0" borderId="3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righ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6" fontId="10" fillId="0" borderId="0" xfId="0" applyNumberFormat="1" applyFont="1" applyAlignment="1">
      <alignment horizontal="right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17" fillId="0" borderId="6" xfId="0" applyNumberFormat="1" applyFont="1" applyBorder="1" applyAlignment="1">
      <alignment horizontal="right"/>
    </xf>
    <xf numFmtId="0" fontId="11" fillId="0" borderId="0" xfId="0" applyFont="1" applyAlignment="1">
      <alignment horizontal="center" wrapText="1"/>
    </xf>
    <xf numFmtId="166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/>
    </xf>
    <xf numFmtId="166" fontId="17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17"/>
  <sheetViews>
    <sheetView tabSelected="1" zoomScaleNormal="100" workbookViewId="0">
      <selection activeCell="A15" sqref="A15:K15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0" width="0" hidden="1" customWidth="1"/>
    <col min="31" max="31" width="148.85546875" hidden="1" customWidth="1"/>
    <col min="32" max="32" width="112.85546875" hidden="1" customWidth="1"/>
    <col min="33" max="36" width="0" hidden="1" customWidth="1"/>
  </cols>
  <sheetData>
    <row r="1" spans="1:31" x14ac:dyDescent="0.2">
      <c r="A1" s="8" t="str">
        <f>CONCATENATE(Source!B1, "     СН-2012 (© ОАО МЦЦС 'Мосстройцены', ", "2020", ")")</f>
        <v>Smeta.RU  (495) 974-1589     СН-2012 (© ОАО МЦЦС 'Мосстройцены', 2020)</v>
      </c>
    </row>
    <row r="2" spans="1:31" ht="14.25" x14ac:dyDescent="0.2">
      <c r="A2" s="9"/>
      <c r="B2" s="9"/>
      <c r="C2" s="9"/>
      <c r="D2" s="9"/>
      <c r="E2" s="9"/>
      <c r="F2" s="9"/>
      <c r="G2" s="9"/>
      <c r="H2" s="9"/>
      <c r="I2" s="9"/>
      <c r="J2" s="56" t="s">
        <v>266</v>
      </c>
      <c r="K2" s="56"/>
    </row>
    <row r="3" spans="1:31" ht="16.5" x14ac:dyDescent="0.25">
      <c r="A3" s="11"/>
      <c r="B3" s="61" t="s">
        <v>264</v>
      </c>
      <c r="C3" s="61"/>
      <c r="D3" s="61"/>
      <c r="E3" s="61"/>
      <c r="F3" s="10"/>
      <c r="G3" s="61" t="s">
        <v>265</v>
      </c>
      <c r="H3" s="61"/>
      <c r="I3" s="61"/>
      <c r="J3" s="61"/>
      <c r="K3" s="61"/>
    </row>
    <row r="4" spans="1:31" ht="14.25" x14ac:dyDescent="0.2">
      <c r="A4" s="10"/>
      <c r="B4" s="62" t="s">
        <v>13</v>
      </c>
      <c r="C4" s="62"/>
      <c r="D4" s="62"/>
      <c r="E4" s="62"/>
      <c r="F4" s="10"/>
      <c r="G4" s="62" t="s">
        <v>11</v>
      </c>
      <c r="H4" s="62"/>
      <c r="I4" s="62"/>
      <c r="J4" s="62"/>
      <c r="K4" s="62"/>
    </row>
    <row r="5" spans="1:31" ht="14.25" x14ac:dyDescent="0.2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31" ht="14.25" x14ac:dyDescent="0.2">
      <c r="A6" s="14"/>
      <c r="B6" s="62" t="str">
        <f>CONCATENATE("______________________ ", IF(Source!AL12&lt;&gt;"", Source!AL12, ""))</f>
        <v>______________________ С.К.Федоров</v>
      </c>
      <c r="C6" s="62"/>
      <c r="D6" s="62"/>
      <c r="E6" s="62"/>
      <c r="F6" s="10"/>
      <c r="G6" s="62" t="str">
        <f>CONCATENATE("______________________ ", IF(Source!AH12&lt;&gt;"", Source!AH12, ""))</f>
        <v>______________________ З.Н.Орлова</v>
      </c>
      <c r="H6" s="62"/>
      <c r="I6" s="62"/>
      <c r="J6" s="62"/>
      <c r="K6" s="62"/>
    </row>
    <row r="7" spans="1:31" ht="14.25" x14ac:dyDescent="0.2">
      <c r="A7" s="15"/>
      <c r="B7" s="55" t="s">
        <v>267</v>
      </c>
      <c r="C7" s="55"/>
      <c r="D7" s="55"/>
      <c r="E7" s="55"/>
      <c r="F7" s="10"/>
      <c r="G7" s="55" t="s">
        <v>267</v>
      </c>
      <c r="H7" s="55"/>
      <c r="I7" s="55"/>
      <c r="J7" s="55"/>
      <c r="K7" s="55"/>
    </row>
    <row r="9" spans="1:31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31" ht="15.75" x14ac:dyDescent="0.25">
      <c r="A10" s="57" t="str">
        <f>CONCATENATE( "ЛОКАЛЬНАЯ СМЕТА № ",IF(Source!F12&lt;&gt;"Новый объект", Source!F12, ""))</f>
        <v>ЛОКАЛЬНАЯ СМЕТА № Новый объект_(Копия)_(Копия)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</row>
    <row r="11" spans="1:31" x14ac:dyDescent="0.2">
      <c r="A11" s="59" t="s">
        <v>268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</row>
    <row r="12" spans="1:3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31" ht="18" hidden="1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</row>
    <row r="14" spans="1:31" ht="14.25" hidden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31" ht="36" x14ac:dyDescent="0.25">
      <c r="A15" s="64" t="str">
        <f>IF(Source!G12&lt;&gt;"Новый объект", Source!G12, "")</f>
        <v>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AE15" s="20" t="str">
        <f>IF(Source!G12&lt;&gt;"Новый объект", Source!G12, "")</f>
        <v>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v>
      </c>
    </row>
    <row r="16" spans="1:31" x14ac:dyDescent="0.2">
      <c r="A16" s="59" t="s">
        <v>269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66" t="str">
        <f>CONCATENATE( "Основание: чертежи № ", Source!J12)</f>
        <v xml:space="preserve">Основание: чертежи № 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62" t="s">
        <v>270</v>
      </c>
      <c r="G20" s="62"/>
      <c r="H20" s="62"/>
      <c r="I20" s="63">
        <f>(Source!F382/1000)</f>
        <v>6551.6401699999997</v>
      </c>
      <c r="J20" s="56"/>
      <c r="K20" s="10" t="s">
        <v>271</v>
      </c>
    </row>
    <row r="21" spans="1:11" ht="14.25" hidden="1" x14ac:dyDescent="0.2">
      <c r="A21" s="10"/>
      <c r="B21" s="10"/>
      <c r="C21" s="10"/>
      <c r="D21" s="10"/>
      <c r="E21" s="10"/>
      <c r="F21" s="62" t="s">
        <v>272</v>
      </c>
      <c r="G21" s="62"/>
      <c r="H21" s="62"/>
      <c r="I21" s="63">
        <f>(Source!F372)/1000</f>
        <v>0</v>
      </c>
      <c r="J21" s="56"/>
      <c r="K21" s="10" t="s">
        <v>271</v>
      </c>
    </row>
    <row r="22" spans="1:11" ht="14.25" hidden="1" x14ac:dyDescent="0.2">
      <c r="A22" s="10"/>
      <c r="B22" s="10"/>
      <c r="C22" s="10"/>
      <c r="D22" s="10"/>
      <c r="E22" s="10"/>
      <c r="F22" s="62" t="s">
        <v>273</v>
      </c>
      <c r="G22" s="62"/>
      <c r="H22" s="62"/>
      <c r="I22" s="63">
        <f>(Source!F373)/1000</f>
        <v>0</v>
      </c>
      <c r="J22" s="56"/>
      <c r="K22" s="10" t="s">
        <v>271</v>
      </c>
    </row>
    <row r="23" spans="1:11" ht="14.25" hidden="1" x14ac:dyDescent="0.2">
      <c r="A23" s="10"/>
      <c r="B23" s="10"/>
      <c r="C23" s="10"/>
      <c r="D23" s="10"/>
      <c r="E23" s="10"/>
      <c r="F23" s="62" t="s">
        <v>274</v>
      </c>
      <c r="G23" s="62"/>
      <c r="H23" s="62"/>
      <c r="I23" s="63">
        <f>(Source!F364)/1000</f>
        <v>0</v>
      </c>
      <c r="J23" s="56"/>
      <c r="K23" s="10" t="s">
        <v>271</v>
      </c>
    </row>
    <row r="24" spans="1:11" ht="14.25" hidden="1" x14ac:dyDescent="0.2">
      <c r="A24" s="10"/>
      <c r="B24" s="10"/>
      <c r="C24" s="10"/>
      <c r="D24" s="10"/>
      <c r="E24" s="10"/>
      <c r="F24" s="62" t="s">
        <v>275</v>
      </c>
      <c r="G24" s="62"/>
      <c r="H24" s="62"/>
      <c r="I24" s="63">
        <f>(Source!F374+Source!F375)/1000</f>
        <v>6551.6401699999997</v>
      </c>
      <c r="J24" s="56"/>
      <c r="K24" s="10" t="s">
        <v>271</v>
      </c>
    </row>
    <row r="25" spans="1:11" ht="14.25" x14ac:dyDescent="0.2">
      <c r="A25" s="10"/>
      <c r="B25" s="10"/>
      <c r="C25" s="10"/>
      <c r="D25" s="10"/>
      <c r="E25" s="10"/>
      <c r="F25" s="62" t="s">
        <v>276</v>
      </c>
      <c r="G25" s="62"/>
      <c r="H25" s="62"/>
      <c r="I25" s="63">
        <f>(Source!F370+ Source!F369)/1000</f>
        <v>2214.1162200000003</v>
      </c>
      <c r="J25" s="56"/>
      <c r="K25" s="10" t="s">
        <v>271</v>
      </c>
    </row>
    <row r="26" spans="1:11" ht="14.25" x14ac:dyDescent="0.2">
      <c r="A26" s="10" t="s">
        <v>290</v>
      </c>
      <c r="B26" s="10"/>
      <c r="C26" s="10"/>
      <c r="D26" s="16"/>
      <c r="E26" s="17"/>
      <c r="F26" s="10"/>
      <c r="G26" s="10"/>
      <c r="H26" s="10"/>
      <c r="I26" s="10"/>
      <c r="J26" s="10"/>
      <c r="K26" s="10"/>
    </row>
    <row r="27" spans="1:11" ht="14.25" x14ac:dyDescent="0.2">
      <c r="A27" s="67" t="s">
        <v>277</v>
      </c>
      <c r="B27" s="67" t="s">
        <v>278</v>
      </c>
      <c r="C27" s="67" t="s">
        <v>279</v>
      </c>
      <c r="D27" s="67" t="s">
        <v>280</v>
      </c>
      <c r="E27" s="67" t="s">
        <v>281</v>
      </c>
      <c r="F27" s="67" t="s">
        <v>282</v>
      </c>
      <c r="G27" s="67" t="s">
        <v>283</v>
      </c>
      <c r="H27" s="67" t="s">
        <v>284</v>
      </c>
      <c r="I27" s="67" t="s">
        <v>285</v>
      </c>
      <c r="J27" s="67" t="s">
        <v>286</v>
      </c>
      <c r="K27" s="18" t="s">
        <v>287</v>
      </c>
    </row>
    <row r="28" spans="1:11" ht="28.5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19" t="s">
        <v>288</v>
      </c>
    </row>
    <row r="29" spans="1:11" ht="28.5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19" t="s">
        <v>289</v>
      </c>
    </row>
    <row r="30" spans="1:11" ht="14.25" x14ac:dyDescent="0.2">
      <c r="A30" s="19">
        <v>1</v>
      </c>
      <c r="B30" s="19">
        <v>2</v>
      </c>
      <c r="C30" s="19">
        <v>3</v>
      </c>
      <c r="D30" s="19">
        <v>4</v>
      </c>
      <c r="E30" s="19">
        <v>5</v>
      </c>
      <c r="F30" s="19">
        <v>6</v>
      </c>
      <c r="G30" s="19">
        <v>7</v>
      </c>
      <c r="H30" s="19">
        <v>8</v>
      </c>
      <c r="I30" s="19">
        <v>9</v>
      </c>
      <c r="J30" s="19">
        <v>10</v>
      </c>
      <c r="K30" s="19">
        <v>11</v>
      </c>
    </row>
    <row r="32" spans="1:11" ht="16.5" x14ac:dyDescent="0.25">
      <c r="A32" s="70" t="str">
        <f>CONCATENATE("Локальная смета: ",IF(Source!G20&lt;&gt;"Новая локальная смета", Source!G20, ""))</f>
        <v xml:space="preserve">Локальная смета: 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</row>
    <row r="34" spans="1:31" ht="33" x14ac:dyDescent="0.25">
      <c r="A34" s="70" t="str">
        <f>CONCATENATE("Раздел: ",IF(Source!G24&lt;&gt;"Новый раздел", Source!G24, ""))</f>
        <v>Раздел: Посадка деревьев V группы (на видовых территориях - центральная часть города, административных округов); ком. 1,7*1,7*0,65; 100% замена земли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AE34" s="21" t="str">
        <f>CONCATENATE("Раздел: ",IF(Source!G24&lt;&gt;"Новый раздел", Source!G24, ""))</f>
        <v>Раздел: Посадка деревьев V группы (на видовых территориях - центральная часть города, административных округов); ком. 1,7*1,7*0,65; 100% замена земли</v>
      </c>
    </row>
    <row r="36" spans="1:31" ht="16.5" x14ac:dyDescent="0.25">
      <c r="A36" s="70" t="str">
        <f>CONCATENATE("Подраздел: ",IF(Source!G28&lt;&gt;"Новый подраздел", Source!G28, ""))</f>
        <v>Подраздел: Посадка деревьев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</row>
    <row r="37" spans="1:31" ht="99.75" x14ac:dyDescent="0.2">
      <c r="A37" s="22" t="str">
        <f>Source!E32</f>
        <v>1</v>
      </c>
      <c r="B37" s="23" t="str">
        <f>Source!F32</f>
        <v>5.4-3103-2-30/1</v>
      </c>
      <c r="C37" s="23" t="str">
        <f>Source!G32</f>
        <v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100% 49ямх0,75=36,75 ям</v>
      </c>
      <c r="D37" s="24" t="str">
        <f>Source!DW32</f>
        <v>10 ям</v>
      </c>
      <c r="E37" s="9">
        <f>Source!I32</f>
        <v>3.6749999999999998</v>
      </c>
      <c r="F37" s="26"/>
      <c r="G37" s="25"/>
      <c r="H37" s="9"/>
      <c r="I37" s="9"/>
      <c r="J37" s="27"/>
      <c r="K37" s="27"/>
      <c r="Q37">
        <f>ROUND((Source!BZ32/100)*ROUND((Source!AF32*Source!AV32)*Source!I32, 2), 2)</f>
        <v>50949.08</v>
      </c>
      <c r="R37">
        <f>Source!X32</f>
        <v>50949.08</v>
      </c>
      <c r="S37">
        <f>ROUND((Source!CA32/100)*ROUND((Source!AF32*Source!AV32)*Source!I32, 2), 2)</f>
        <v>0</v>
      </c>
      <c r="T37">
        <f>Source!Y32</f>
        <v>0</v>
      </c>
      <c r="U37">
        <f>ROUND((175/100)*ROUND((Source!AE32*Source!AV32)*Source!I32, 2), 2)</f>
        <v>8234.57</v>
      </c>
      <c r="V37">
        <f>ROUND((78/100)*ROUND(Source!CS32*Source!I32, 2), 2)</f>
        <v>3670.27</v>
      </c>
    </row>
    <row r="38" spans="1:31" x14ac:dyDescent="0.2">
      <c r="C38" s="28" t="str">
        <f>"Объем: "&amp;Source!I32&amp;"=36,75/"&amp;"10"</f>
        <v>Объем: 3,675=36,75/10</v>
      </c>
    </row>
    <row r="39" spans="1:31" ht="14.25" x14ac:dyDescent="0.2">
      <c r="A39" s="22"/>
      <c r="B39" s="23"/>
      <c r="C39" s="23" t="s">
        <v>291</v>
      </c>
      <c r="D39" s="24"/>
      <c r="E39" s="9"/>
      <c r="F39" s="26">
        <f>Source!AO32</f>
        <v>19805.28</v>
      </c>
      <c r="G39" s="25" t="str">
        <f>Source!DG32</f>
        <v/>
      </c>
      <c r="H39" s="9">
        <f>Source!AV32</f>
        <v>1</v>
      </c>
      <c r="I39" s="9">
        <f>IF(Source!BA32&lt;&gt; 0, Source!BA32, 1)</f>
        <v>1</v>
      </c>
      <c r="J39" s="27">
        <f>Source!S32</f>
        <v>72784.399999999994</v>
      </c>
      <c r="K39" s="27"/>
    </row>
    <row r="40" spans="1:31" ht="14.25" x14ac:dyDescent="0.2">
      <c r="A40" s="22"/>
      <c r="B40" s="23"/>
      <c r="C40" s="23" t="s">
        <v>292</v>
      </c>
      <c r="D40" s="24"/>
      <c r="E40" s="9"/>
      <c r="F40" s="26">
        <f>Source!AM32</f>
        <v>2339.85</v>
      </c>
      <c r="G40" s="25" t="str">
        <f>Source!DE32</f>
        <v/>
      </c>
      <c r="H40" s="9">
        <f>Source!AV32</f>
        <v>1</v>
      </c>
      <c r="I40" s="9">
        <f>IF(Source!BB32&lt;&gt; 0, Source!BB32, 1)</f>
        <v>1</v>
      </c>
      <c r="J40" s="27">
        <f>Source!Q32</f>
        <v>8598.9500000000007</v>
      </c>
      <c r="K40" s="27"/>
    </row>
    <row r="41" spans="1:31" ht="14.25" x14ac:dyDescent="0.2">
      <c r="A41" s="22"/>
      <c r="B41" s="23"/>
      <c r="C41" s="23" t="s">
        <v>293</v>
      </c>
      <c r="D41" s="24"/>
      <c r="E41" s="9"/>
      <c r="F41" s="26">
        <f>Source!AN32</f>
        <v>1280.4000000000001</v>
      </c>
      <c r="G41" s="25" t="str">
        <f>Source!DF32</f>
        <v/>
      </c>
      <c r="H41" s="9">
        <f>Source!AV32</f>
        <v>1</v>
      </c>
      <c r="I41" s="9">
        <f>IF(Source!BS32&lt;&gt; 0, Source!BS32, 1)</f>
        <v>1</v>
      </c>
      <c r="J41" s="29">
        <f>Source!R32</f>
        <v>4705.47</v>
      </c>
      <c r="K41" s="27"/>
    </row>
    <row r="42" spans="1:31" ht="14.25" x14ac:dyDescent="0.2">
      <c r="A42" s="22"/>
      <c r="B42" s="23"/>
      <c r="C42" s="23" t="s">
        <v>294</v>
      </c>
      <c r="D42" s="24"/>
      <c r="E42" s="9"/>
      <c r="F42" s="26">
        <f>Source!AL32</f>
        <v>32249.07</v>
      </c>
      <c r="G42" s="25" t="str">
        <f>Source!DD32</f>
        <v/>
      </c>
      <c r="H42" s="9">
        <f>Source!AW32</f>
        <v>1</v>
      </c>
      <c r="I42" s="9">
        <f>IF(Source!BC32&lt;&gt; 0, Source!BC32, 1)</f>
        <v>1</v>
      </c>
      <c r="J42" s="27">
        <f>Source!P32</f>
        <v>118515.33</v>
      </c>
      <c r="K42" s="27"/>
    </row>
    <row r="43" spans="1:31" ht="14.25" x14ac:dyDescent="0.2">
      <c r="A43" s="22"/>
      <c r="B43" s="23"/>
      <c r="C43" s="23" t="s">
        <v>295</v>
      </c>
      <c r="D43" s="24" t="s">
        <v>296</v>
      </c>
      <c r="E43" s="9">
        <f>Source!AT32</f>
        <v>70</v>
      </c>
      <c r="F43" s="26"/>
      <c r="G43" s="25"/>
      <c r="H43" s="9"/>
      <c r="I43" s="9"/>
      <c r="J43" s="27">
        <f>SUM(R37:R42)</f>
        <v>50949.08</v>
      </c>
      <c r="K43" s="27"/>
    </row>
    <row r="44" spans="1:31" ht="14.25" x14ac:dyDescent="0.2">
      <c r="A44" s="22"/>
      <c r="B44" s="23"/>
      <c r="C44" s="23" t="s">
        <v>297</v>
      </c>
      <c r="D44" s="24" t="s">
        <v>296</v>
      </c>
      <c r="E44" s="9">
        <f>78</f>
        <v>78</v>
      </c>
      <c r="F44" s="26"/>
      <c r="G44" s="25"/>
      <c r="H44" s="9"/>
      <c r="I44" s="9"/>
      <c r="J44" s="27">
        <f>SUM(V37:V43)</f>
        <v>3670.27</v>
      </c>
      <c r="K44" s="27"/>
    </row>
    <row r="45" spans="1:31" ht="14.25" x14ac:dyDescent="0.2">
      <c r="A45" s="22"/>
      <c r="B45" s="23"/>
      <c r="C45" s="23" t="s">
        <v>298</v>
      </c>
      <c r="D45" s="24" t="s">
        <v>299</v>
      </c>
      <c r="E45" s="9">
        <f>Source!AQ32</f>
        <v>115.06</v>
      </c>
      <c r="F45" s="26"/>
      <c r="G45" s="25" t="str">
        <f>Source!DI32</f>
        <v/>
      </c>
      <c r="H45" s="9">
        <f>Source!AV32</f>
        <v>1</v>
      </c>
      <c r="I45" s="9"/>
      <c r="J45" s="27"/>
      <c r="K45" s="27">
        <f>Source!U32</f>
        <v>422.84550000000002</v>
      </c>
    </row>
    <row r="46" spans="1:31" ht="15" x14ac:dyDescent="0.25">
      <c r="A46" s="32"/>
      <c r="B46" s="32"/>
      <c r="C46" s="32"/>
      <c r="D46" s="32"/>
      <c r="E46" s="32"/>
      <c r="F46" s="32"/>
      <c r="G46" s="32"/>
      <c r="H46" s="32"/>
      <c r="I46" s="69">
        <f>J39+J40+J42+J43+J44</f>
        <v>254518.03</v>
      </c>
      <c r="J46" s="69"/>
      <c r="K46" s="33">
        <f>IF(Source!I32&lt;&gt;0, ROUND(I46/Source!I32, 2), 0)</f>
        <v>69256.61</v>
      </c>
      <c r="P46" s="30">
        <f>I46</f>
        <v>254518.03</v>
      </c>
    </row>
    <row r="47" spans="1:31" ht="71.25" x14ac:dyDescent="0.2">
      <c r="A47" s="22" t="str">
        <f>Source!E33</f>
        <v>2</v>
      </c>
      <c r="B47" s="23" t="str">
        <f>Source!F33</f>
        <v>5.4-3103-4-30/1</v>
      </c>
      <c r="C47" s="23" t="str">
        <f>Source!G33</f>
        <v>Подготовка стандартных посадочных мест вручную с квадратным комом земли размером 1,7х1,7х0,65 м с добавлением растительной земли до 100% 49ямх0,25=12,25 ям</v>
      </c>
      <c r="D47" s="24" t="str">
        <f>Source!DW33</f>
        <v>10 ям</v>
      </c>
      <c r="E47" s="9">
        <f>Source!I33</f>
        <v>1.2250000000000001</v>
      </c>
      <c r="F47" s="26"/>
      <c r="G47" s="25"/>
      <c r="H47" s="9"/>
      <c r="I47" s="9"/>
      <c r="J47" s="27"/>
      <c r="K47" s="27"/>
      <c r="Q47">
        <f>ROUND((Source!BZ33/100)*ROUND((Source!AF33*Source!AV33)*Source!I33, 2), 2)</f>
        <v>26363.1</v>
      </c>
      <c r="R47">
        <f>Source!X33</f>
        <v>26363.1</v>
      </c>
      <c r="S47">
        <f>ROUND((Source!CA33/100)*ROUND((Source!AF33*Source!AV33)*Source!I33, 2), 2)</f>
        <v>0</v>
      </c>
      <c r="T47">
        <f>Source!Y33</f>
        <v>0</v>
      </c>
      <c r="U47">
        <f>ROUND((175/100)*ROUND((Source!AE33*Source!AV33)*Source!I33, 2), 2)</f>
        <v>0</v>
      </c>
      <c r="V47">
        <f>ROUND((78/100)*ROUND(Source!CS33*Source!I33, 2), 2)</f>
        <v>0</v>
      </c>
    </row>
    <row r="48" spans="1:31" x14ac:dyDescent="0.2">
      <c r="C48" s="28" t="str">
        <f>"Объем: "&amp;Source!I33&amp;"=12,25/"&amp;"10"</f>
        <v>Объем: 1,225=12,25/10</v>
      </c>
    </row>
    <row r="49" spans="1:22" ht="14.25" x14ac:dyDescent="0.2">
      <c r="A49" s="22"/>
      <c r="B49" s="23"/>
      <c r="C49" s="23" t="s">
        <v>291</v>
      </c>
      <c r="D49" s="24"/>
      <c r="E49" s="9"/>
      <c r="F49" s="26">
        <f>Source!AO33</f>
        <v>30744.14</v>
      </c>
      <c r="G49" s="25" t="str">
        <f>Source!DG33</f>
        <v/>
      </c>
      <c r="H49" s="9">
        <f>Source!AV33</f>
        <v>1</v>
      </c>
      <c r="I49" s="9">
        <f>IF(Source!BA33&lt;&gt; 0, Source!BA33, 1)</f>
        <v>1</v>
      </c>
      <c r="J49" s="27">
        <f>Source!S33</f>
        <v>37661.57</v>
      </c>
      <c r="K49" s="27"/>
    </row>
    <row r="50" spans="1:22" ht="14.25" x14ac:dyDescent="0.2">
      <c r="A50" s="22"/>
      <c r="B50" s="23"/>
      <c r="C50" s="23" t="s">
        <v>294</v>
      </c>
      <c r="D50" s="24"/>
      <c r="E50" s="9"/>
      <c r="F50" s="26">
        <f>Source!AL33</f>
        <v>32249.07</v>
      </c>
      <c r="G50" s="25" t="str">
        <f>Source!DD33</f>
        <v/>
      </c>
      <c r="H50" s="9">
        <f>Source!AW33</f>
        <v>1</v>
      </c>
      <c r="I50" s="9">
        <f>IF(Source!BC33&lt;&gt; 0, Source!BC33, 1)</f>
        <v>1</v>
      </c>
      <c r="J50" s="27">
        <f>Source!P33</f>
        <v>39505.11</v>
      </c>
      <c r="K50" s="27"/>
    </row>
    <row r="51" spans="1:22" ht="14.25" x14ac:dyDescent="0.2">
      <c r="A51" s="22"/>
      <c r="B51" s="23"/>
      <c r="C51" s="23" t="s">
        <v>295</v>
      </c>
      <c r="D51" s="24" t="s">
        <v>296</v>
      </c>
      <c r="E51" s="9">
        <f>Source!AT33</f>
        <v>70</v>
      </c>
      <c r="F51" s="26"/>
      <c r="G51" s="25"/>
      <c r="H51" s="9"/>
      <c r="I51" s="9"/>
      <c r="J51" s="27">
        <f>SUM(R47:R50)</f>
        <v>26363.1</v>
      </c>
      <c r="K51" s="27"/>
    </row>
    <row r="52" spans="1:22" ht="14.25" x14ac:dyDescent="0.2">
      <c r="A52" s="22"/>
      <c r="B52" s="23"/>
      <c r="C52" s="23" t="s">
        <v>298</v>
      </c>
      <c r="D52" s="24" t="s">
        <v>299</v>
      </c>
      <c r="E52" s="9">
        <f>Source!AQ33</f>
        <v>178.61</v>
      </c>
      <c r="F52" s="26"/>
      <c r="G52" s="25" t="str">
        <f>Source!DI33</f>
        <v/>
      </c>
      <c r="H52" s="9">
        <f>Source!AV33</f>
        <v>1</v>
      </c>
      <c r="I52" s="9"/>
      <c r="J52" s="27"/>
      <c r="K52" s="27">
        <f>Source!U33</f>
        <v>218.79725000000002</v>
      </c>
    </row>
    <row r="53" spans="1:22" ht="15" x14ac:dyDescent="0.25">
      <c r="A53" s="32"/>
      <c r="B53" s="32"/>
      <c r="C53" s="32"/>
      <c r="D53" s="32"/>
      <c r="E53" s="32"/>
      <c r="F53" s="32"/>
      <c r="G53" s="32"/>
      <c r="H53" s="32"/>
      <c r="I53" s="69">
        <f>J49+J50+J51</f>
        <v>103529.78</v>
      </c>
      <c r="J53" s="69"/>
      <c r="K53" s="33">
        <f>IF(Source!I33&lt;&gt;0, ROUND(I53/Source!I33, 2), 0)</f>
        <v>84514.11</v>
      </c>
      <c r="P53" s="30">
        <f>I53</f>
        <v>103529.78</v>
      </c>
    </row>
    <row r="54" spans="1:22" ht="42.75" x14ac:dyDescent="0.2">
      <c r="A54" s="22" t="str">
        <f>Source!E34</f>
        <v>3</v>
      </c>
      <c r="B54" s="23" t="str">
        <f>Source!F34</f>
        <v>1.1-3101-6-1/1</v>
      </c>
      <c r="C54" s="23" t="str">
        <f>Source!G34</f>
        <v>Погрузка грунта вручную в автомобили-самосвалы с выгрузкой (6,08-1,88)х49ямх0,25=51,45м3</v>
      </c>
      <c r="D54" s="24" t="str">
        <f>Source!DW34</f>
        <v>100 м3</v>
      </c>
      <c r="E54" s="9">
        <f>Source!I34</f>
        <v>0.51449999999999996</v>
      </c>
      <c r="F54" s="26"/>
      <c r="G54" s="25"/>
      <c r="H54" s="9"/>
      <c r="I54" s="9"/>
      <c r="J54" s="27"/>
      <c r="K54" s="27"/>
      <c r="Q54">
        <f>ROUND((Source!BZ34/100)*ROUND((Source!AF34*Source!AV34)*Source!I34, 2), 2)</f>
        <v>3835.2</v>
      </c>
      <c r="R54">
        <f>Source!X34</f>
        <v>3835.2</v>
      </c>
      <c r="S54">
        <f>ROUND((Source!CA34/100)*ROUND((Source!AF34*Source!AV34)*Source!I34, 2), 2)</f>
        <v>0</v>
      </c>
      <c r="T54">
        <f>Source!Y34</f>
        <v>0</v>
      </c>
      <c r="U54">
        <f>ROUND((175/100)*ROUND((Source!AE34*Source!AV34)*Source!I34, 2), 2)</f>
        <v>0</v>
      </c>
      <c r="V54">
        <f>ROUND((78/100)*ROUND(Source!CS34*Source!I34, 2), 2)</f>
        <v>0</v>
      </c>
    </row>
    <row r="55" spans="1:22" x14ac:dyDescent="0.2">
      <c r="C55" s="28" t="str">
        <f>"Объем: "&amp;Source!I34&amp;"=51,45/"&amp;"100"</f>
        <v>Объем: 0,5145=51,45/100</v>
      </c>
    </row>
    <row r="56" spans="1:22" ht="14.25" x14ac:dyDescent="0.2">
      <c r="A56" s="22"/>
      <c r="B56" s="23"/>
      <c r="C56" s="23" t="s">
        <v>291</v>
      </c>
      <c r="D56" s="24"/>
      <c r="E56" s="9"/>
      <c r="F56" s="26">
        <f>Source!AO34</f>
        <v>10648.9</v>
      </c>
      <c r="G56" s="25" t="str">
        <f>Source!DG34</f>
        <v/>
      </c>
      <c r="H56" s="9">
        <f>Source!AV34</f>
        <v>1</v>
      </c>
      <c r="I56" s="9">
        <f>IF(Source!BA34&lt;&gt; 0, Source!BA34, 1)</f>
        <v>1</v>
      </c>
      <c r="J56" s="27">
        <f>Source!S34</f>
        <v>5478.86</v>
      </c>
      <c r="K56" s="27"/>
    </row>
    <row r="57" spans="1:22" ht="14.25" x14ac:dyDescent="0.2">
      <c r="A57" s="22"/>
      <c r="B57" s="23"/>
      <c r="C57" s="23" t="s">
        <v>295</v>
      </c>
      <c r="D57" s="24" t="s">
        <v>296</v>
      </c>
      <c r="E57" s="9">
        <f>Source!AT34</f>
        <v>70</v>
      </c>
      <c r="F57" s="26"/>
      <c r="G57" s="25"/>
      <c r="H57" s="9"/>
      <c r="I57" s="9"/>
      <c r="J57" s="27">
        <f>SUM(R54:R56)</f>
        <v>3835.2</v>
      </c>
      <c r="K57" s="27"/>
    </row>
    <row r="58" spans="1:22" ht="14.25" x14ac:dyDescent="0.2">
      <c r="A58" s="22"/>
      <c r="B58" s="23"/>
      <c r="C58" s="23" t="s">
        <v>298</v>
      </c>
      <c r="D58" s="24" t="s">
        <v>299</v>
      </c>
      <c r="E58" s="9">
        <f>Source!AQ34</f>
        <v>83</v>
      </c>
      <c r="F58" s="26"/>
      <c r="G58" s="25" t="str">
        <f>Source!DI34</f>
        <v/>
      </c>
      <c r="H58" s="9">
        <f>Source!AV34</f>
        <v>1</v>
      </c>
      <c r="I58" s="9"/>
      <c r="J58" s="27"/>
      <c r="K58" s="27">
        <f>Source!U34</f>
        <v>42.703499999999998</v>
      </c>
    </row>
    <row r="59" spans="1:22" ht="15" x14ac:dyDescent="0.25">
      <c r="A59" s="32"/>
      <c r="B59" s="32"/>
      <c r="C59" s="32"/>
      <c r="D59" s="32"/>
      <c r="E59" s="32"/>
      <c r="F59" s="32"/>
      <c r="G59" s="32"/>
      <c r="H59" s="32"/>
      <c r="I59" s="69">
        <f>J56+J57</f>
        <v>9314.06</v>
      </c>
      <c r="J59" s="69"/>
      <c r="K59" s="33">
        <f>IF(Source!I34&lt;&gt;0, ROUND(I59/Source!I34, 2), 0)</f>
        <v>18103.13</v>
      </c>
      <c r="P59" s="30">
        <f>I59</f>
        <v>9314.06</v>
      </c>
    </row>
    <row r="60" spans="1:22" ht="42.75" x14ac:dyDescent="0.2">
      <c r="A60" s="22" t="str">
        <f>Source!E35</f>
        <v>4</v>
      </c>
      <c r="B60" s="23" t="str">
        <f>Source!F35</f>
        <v>2.12-3105-6-1/1</v>
      </c>
      <c r="C60" s="23" t="str">
        <f>Source!G35</f>
        <v>Погрузка грунта экскаватором в самосвал (6,08-1,88)х49ямх0,75=154,35 м3</v>
      </c>
      <c r="D60" s="24" t="str">
        <f>Source!DW35</f>
        <v>10 м3</v>
      </c>
      <c r="E60" s="9">
        <f>Source!I35</f>
        <v>15.435</v>
      </c>
      <c r="F60" s="26"/>
      <c r="G60" s="25"/>
      <c r="H60" s="9"/>
      <c r="I60" s="9"/>
      <c r="J60" s="27"/>
      <c r="K60" s="27"/>
      <c r="Q60">
        <f>ROUND((Source!BZ35/100)*ROUND((Source!AF35*Source!AV35)*Source!I35, 2), 2)</f>
        <v>1647.36</v>
      </c>
      <c r="R60">
        <f>Source!X35</f>
        <v>1647.36</v>
      </c>
      <c r="S60">
        <f>ROUND((Source!CA35/100)*ROUND((Source!AF35*Source!AV35)*Source!I35, 2), 2)</f>
        <v>0</v>
      </c>
      <c r="T60">
        <f>Source!Y35</f>
        <v>0</v>
      </c>
      <c r="U60">
        <f>ROUND((175/100)*ROUND((Source!AE35*Source!AV35)*Source!I35, 2), 2)</f>
        <v>11794.2</v>
      </c>
      <c r="V60">
        <f>ROUND((78/100)*ROUND(Source!CS35*Source!I35, 2), 2)</f>
        <v>5256.84</v>
      </c>
    </row>
    <row r="61" spans="1:22" x14ac:dyDescent="0.2">
      <c r="C61" s="28" t="str">
        <f>"Объем: "&amp;Source!I35&amp;"=154,35/"&amp;"10"</f>
        <v>Объем: 15,435=154,35/10</v>
      </c>
    </row>
    <row r="62" spans="1:22" ht="14.25" x14ac:dyDescent="0.2">
      <c r="A62" s="22"/>
      <c r="B62" s="23"/>
      <c r="C62" s="23" t="s">
        <v>291</v>
      </c>
      <c r="D62" s="24"/>
      <c r="E62" s="9"/>
      <c r="F62" s="26">
        <f>Source!AO35</f>
        <v>152.47</v>
      </c>
      <c r="G62" s="25" t="str">
        <f>Source!DG35</f>
        <v/>
      </c>
      <c r="H62" s="9">
        <f>Source!AV35</f>
        <v>1</v>
      </c>
      <c r="I62" s="9">
        <f>IF(Source!BA35&lt;&gt; 0, Source!BA35, 1)</f>
        <v>1</v>
      </c>
      <c r="J62" s="27">
        <f>Source!S35</f>
        <v>2353.37</v>
      </c>
      <c r="K62" s="27"/>
    </row>
    <row r="63" spans="1:22" ht="14.25" x14ac:dyDescent="0.2">
      <c r="A63" s="22"/>
      <c r="B63" s="23"/>
      <c r="C63" s="23" t="s">
        <v>292</v>
      </c>
      <c r="D63" s="24"/>
      <c r="E63" s="9"/>
      <c r="F63" s="26">
        <f>Source!AM35</f>
        <v>1183.26</v>
      </c>
      <c r="G63" s="25" t="str">
        <f>Source!DE35</f>
        <v/>
      </c>
      <c r="H63" s="9">
        <f>Source!AV35</f>
        <v>1</v>
      </c>
      <c r="I63" s="9">
        <f>IF(Source!BB35&lt;&gt; 0, Source!BB35, 1)</f>
        <v>1</v>
      </c>
      <c r="J63" s="27">
        <f>Source!Q35</f>
        <v>18263.62</v>
      </c>
      <c r="K63" s="27"/>
    </row>
    <row r="64" spans="1:22" ht="14.25" x14ac:dyDescent="0.2">
      <c r="A64" s="22"/>
      <c r="B64" s="23"/>
      <c r="C64" s="23" t="s">
        <v>293</v>
      </c>
      <c r="D64" s="24"/>
      <c r="E64" s="9"/>
      <c r="F64" s="26">
        <f>Source!AN35</f>
        <v>436.64</v>
      </c>
      <c r="G64" s="25" t="str">
        <f>Source!DF35</f>
        <v/>
      </c>
      <c r="H64" s="9">
        <f>Source!AV35</f>
        <v>1</v>
      </c>
      <c r="I64" s="9">
        <f>IF(Source!BS35&lt;&gt; 0, Source!BS35, 1)</f>
        <v>1</v>
      </c>
      <c r="J64" s="29">
        <f>Source!R35</f>
        <v>6739.54</v>
      </c>
      <c r="K64" s="27"/>
    </row>
    <row r="65" spans="1:22" ht="14.25" x14ac:dyDescent="0.2">
      <c r="A65" s="22"/>
      <c r="B65" s="23"/>
      <c r="C65" s="23" t="s">
        <v>295</v>
      </c>
      <c r="D65" s="24" t="s">
        <v>296</v>
      </c>
      <c r="E65" s="9">
        <f>Source!AT35</f>
        <v>70</v>
      </c>
      <c r="F65" s="26"/>
      <c r="G65" s="25"/>
      <c r="H65" s="9"/>
      <c r="I65" s="9"/>
      <c r="J65" s="27">
        <f>SUM(R60:R64)</f>
        <v>1647.36</v>
      </c>
      <c r="K65" s="27"/>
    </row>
    <row r="66" spans="1:22" ht="14.25" x14ac:dyDescent="0.2">
      <c r="A66" s="22"/>
      <c r="B66" s="23"/>
      <c r="C66" s="23" t="s">
        <v>297</v>
      </c>
      <c r="D66" s="24" t="s">
        <v>296</v>
      </c>
      <c r="E66" s="9">
        <f>78</f>
        <v>78</v>
      </c>
      <c r="F66" s="26"/>
      <c r="G66" s="25"/>
      <c r="H66" s="9"/>
      <c r="I66" s="9"/>
      <c r="J66" s="27">
        <f>SUM(V60:V65)</f>
        <v>5256.84</v>
      </c>
      <c r="K66" s="27"/>
    </row>
    <row r="67" spans="1:22" ht="14.25" x14ac:dyDescent="0.2">
      <c r="A67" s="22"/>
      <c r="B67" s="23"/>
      <c r="C67" s="23" t="s">
        <v>298</v>
      </c>
      <c r="D67" s="24" t="s">
        <v>299</v>
      </c>
      <c r="E67" s="9">
        <f>Source!AQ35</f>
        <v>0.65</v>
      </c>
      <c r="F67" s="26"/>
      <c r="G67" s="25" t="str">
        <f>Source!DI35</f>
        <v/>
      </c>
      <c r="H67" s="9">
        <f>Source!AV35</f>
        <v>1</v>
      </c>
      <c r="I67" s="9"/>
      <c r="J67" s="27"/>
      <c r="K67" s="27">
        <f>Source!U35</f>
        <v>10.03275</v>
      </c>
    </row>
    <row r="68" spans="1:22" ht="15" x14ac:dyDescent="0.25">
      <c r="A68" s="32"/>
      <c r="B68" s="32"/>
      <c r="C68" s="32"/>
      <c r="D68" s="32"/>
      <c r="E68" s="32"/>
      <c r="F68" s="32"/>
      <c r="G68" s="32"/>
      <c r="H68" s="32"/>
      <c r="I68" s="69">
        <f>J62+J63+J65+J66</f>
        <v>27521.19</v>
      </c>
      <c r="J68" s="69"/>
      <c r="K68" s="33">
        <f>IF(Source!I35&lt;&gt;0, ROUND(I68/Source!I35, 2), 0)</f>
        <v>1783.04</v>
      </c>
      <c r="P68" s="30">
        <f>I68</f>
        <v>27521.19</v>
      </c>
    </row>
    <row r="69" spans="1:22" ht="57" x14ac:dyDescent="0.2">
      <c r="A69" s="22" t="str">
        <f>Source!E36</f>
        <v>5</v>
      </c>
      <c r="B69" s="23" t="str">
        <f>Source!F36</f>
        <v>2.49-3401-1-1/1</v>
      </c>
      <c r="C69" s="23" t="str">
        <f>Source!G36</f>
        <v>Перевозка грунта автосамосвалами грузоподъемностью до 10 т на расстояние 1 км (6,08-1,88)*49=205,8 м3</v>
      </c>
      <c r="D69" s="24" t="str">
        <f>Source!DW36</f>
        <v>м3</v>
      </c>
      <c r="E69" s="9">
        <f>Source!I36</f>
        <v>205.8</v>
      </c>
      <c r="F69" s="26"/>
      <c r="G69" s="25"/>
      <c r="H69" s="9"/>
      <c r="I69" s="9"/>
      <c r="J69" s="27"/>
      <c r="K69" s="27"/>
      <c r="Q69">
        <f>ROUND((Source!BZ36/100)*ROUND((Source!AF36*Source!AV36)*Source!I36, 2), 2)</f>
        <v>0</v>
      </c>
      <c r="R69">
        <f>Source!X36</f>
        <v>0</v>
      </c>
      <c r="S69">
        <f>ROUND((Source!CA36/100)*ROUND((Source!AF36*Source!AV36)*Source!I36, 2), 2)</f>
        <v>0</v>
      </c>
      <c r="T69">
        <f>Source!Y36</f>
        <v>0</v>
      </c>
      <c r="U69">
        <f>ROUND((175/100)*ROUND((Source!AE36*Source!AV36)*Source!I36, 2), 2)</f>
        <v>10883.74</v>
      </c>
      <c r="V69">
        <f>ROUND((78/100)*ROUND(Source!CS36*Source!I36, 2), 2)</f>
        <v>4851.04</v>
      </c>
    </row>
    <row r="70" spans="1:22" ht="14.25" x14ac:dyDescent="0.2">
      <c r="A70" s="22"/>
      <c r="B70" s="23"/>
      <c r="C70" s="23" t="s">
        <v>292</v>
      </c>
      <c r="D70" s="24"/>
      <c r="E70" s="9"/>
      <c r="F70" s="26">
        <f>Source!AM36</f>
        <v>51.67</v>
      </c>
      <c r="G70" s="25" t="str">
        <f>Source!DE36</f>
        <v/>
      </c>
      <c r="H70" s="9">
        <f>Source!AV36</f>
        <v>1</v>
      </c>
      <c r="I70" s="9">
        <f>IF(Source!BB36&lt;&gt; 0, Source!BB36, 1)</f>
        <v>1</v>
      </c>
      <c r="J70" s="27">
        <f>Source!Q36</f>
        <v>10633.69</v>
      </c>
      <c r="K70" s="27"/>
    </row>
    <row r="71" spans="1:22" ht="14.25" x14ac:dyDescent="0.2">
      <c r="A71" s="22"/>
      <c r="B71" s="23"/>
      <c r="C71" s="23" t="s">
        <v>293</v>
      </c>
      <c r="D71" s="24"/>
      <c r="E71" s="9"/>
      <c r="F71" s="26">
        <f>Source!AN36</f>
        <v>30.22</v>
      </c>
      <c r="G71" s="25" t="str">
        <f>Source!DF36</f>
        <v/>
      </c>
      <c r="H71" s="9">
        <f>Source!AV36</f>
        <v>1</v>
      </c>
      <c r="I71" s="9">
        <f>IF(Source!BS36&lt;&gt; 0, Source!BS36, 1)</f>
        <v>1</v>
      </c>
      <c r="J71" s="29">
        <f>Source!R36</f>
        <v>6219.28</v>
      </c>
      <c r="K71" s="27"/>
    </row>
    <row r="72" spans="1:22" ht="15" x14ac:dyDescent="0.25">
      <c r="A72" s="32"/>
      <c r="B72" s="32"/>
      <c r="C72" s="32"/>
      <c r="D72" s="32"/>
      <c r="E72" s="32"/>
      <c r="F72" s="32"/>
      <c r="G72" s="32"/>
      <c r="H72" s="32"/>
      <c r="I72" s="69">
        <f>J70</f>
        <v>10633.69</v>
      </c>
      <c r="J72" s="69"/>
      <c r="K72" s="33">
        <f>IF(Source!I36&lt;&gt;0, ROUND(I72/Source!I36, 2), 0)</f>
        <v>51.67</v>
      </c>
      <c r="P72" s="30">
        <f>I72</f>
        <v>10633.69</v>
      </c>
    </row>
    <row r="73" spans="1:22" ht="71.25" x14ac:dyDescent="0.2">
      <c r="A73" s="22" t="str">
        <f>Source!E37</f>
        <v>6</v>
      </c>
      <c r="B73" s="23" t="str">
        <f>Source!F37</f>
        <v>2.49-3401-1-2/1</v>
      </c>
      <c r="C73" s="23" t="str">
        <f>Source!G37</f>
        <v>Перевозка грунта автосамосвалами грузоподъемностью до 10 т - добавляется на каждый последующий 1 км до 100 км (к поз. 49-3401-1-1) (6,08-1,88)*49=205,8 м3</v>
      </c>
      <c r="D73" s="24" t="str">
        <f>Source!DW37</f>
        <v>м3</v>
      </c>
      <c r="E73" s="9">
        <f>Source!I37</f>
        <v>205.8</v>
      </c>
      <c r="F73" s="26"/>
      <c r="G73" s="25"/>
      <c r="H73" s="9"/>
      <c r="I73" s="9"/>
      <c r="J73" s="27"/>
      <c r="K73" s="27"/>
      <c r="Q73">
        <f>ROUND((Source!BZ37/100)*ROUND((Source!AF37*Source!AV37)*Source!I37, 2), 2)</f>
        <v>0</v>
      </c>
      <c r="R73">
        <f>Source!X37</f>
        <v>0</v>
      </c>
      <c r="S73">
        <f>ROUND((Source!CA37/100)*ROUND((Source!AF37*Source!AV37)*Source!I37, 2), 2)</f>
        <v>0</v>
      </c>
      <c r="T73">
        <f>Source!Y37</f>
        <v>0</v>
      </c>
      <c r="U73">
        <f>ROUND((175/100)*ROUND((Source!AE37*Source!AV37)*Source!I37, 2), 2)</f>
        <v>143969.96</v>
      </c>
      <c r="V73">
        <f>ROUND((78/100)*ROUND(Source!CS37*Source!I37, 2), 2)</f>
        <v>64169.47</v>
      </c>
    </row>
    <row r="74" spans="1:22" ht="14.25" x14ac:dyDescent="0.2">
      <c r="A74" s="22"/>
      <c r="B74" s="23"/>
      <c r="C74" s="23" t="s">
        <v>292</v>
      </c>
      <c r="D74" s="24"/>
      <c r="E74" s="9"/>
      <c r="F74" s="26">
        <f>Source!AM37</f>
        <v>16.670000000000002</v>
      </c>
      <c r="G74" s="25" t="str">
        <f>Source!DE37</f>
        <v>)*41</v>
      </c>
      <c r="H74" s="9">
        <f>Source!AV37</f>
        <v>1</v>
      </c>
      <c r="I74" s="9">
        <f>IF(Source!BB37&lt;&gt; 0, Source!BB37, 1)</f>
        <v>1</v>
      </c>
      <c r="J74" s="27">
        <f>Source!Q37</f>
        <v>140658.13</v>
      </c>
      <c r="K74" s="27"/>
    </row>
    <row r="75" spans="1:22" ht="14.25" x14ac:dyDescent="0.2">
      <c r="A75" s="22"/>
      <c r="B75" s="23"/>
      <c r="C75" s="23" t="s">
        <v>293</v>
      </c>
      <c r="D75" s="24"/>
      <c r="E75" s="9"/>
      <c r="F75" s="26">
        <f>Source!AN37</f>
        <v>9.75</v>
      </c>
      <c r="G75" s="25" t="str">
        <f>Source!DF37</f>
        <v>)*41</v>
      </c>
      <c r="H75" s="9">
        <f>Source!AV37</f>
        <v>1</v>
      </c>
      <c r="I75" s="9">
        <f>IF(Source!BS37&lt;&gt; 0, Source!BS37, 1)</f>
        <v>1</v>
      </c>
      <c r="J75" s="29">
        <f>Source!R37</f>
        <v>82268.55</v>
      </c>
      <c r="K75" s="27"/>
    </row>
    <row r="76" spans="1:22" ht="15" x14ac:dyDescent="0.25">
      <c r="A76" s="32"/>
      <c r="B76" s="32"/>
      <c r="C76" s="32"/>
      <c r="D76" s="32"/>
      <c r="E76" s="32"/>
      <c r="F76" s="32"/>
      <c r="G76" s="32"/>
      <c r="H76" s="32"/>
      <c r="I76" s="69">
        <f>J74</f>
        <v>140658.13</v>
      </c>
      <c r="J76" s="69"/>
      <c r="K76" s="33">
        <f>IF(Source!I37&lt;&gt;0, ROUND(I76/Source!I37, 2), 0)</f>
        <v>683.47</v>
      </c>
      <c r="P76" s="30">
        <f>I76</f>
        <v>140658.13</v>
      </c>
    </row>
    <row r="77" spans="1:22" ht="28.5" x14ac:dyDescent="0.2">
      <c r="A77" s="22" t="str">
        <f>Source!E38</f>
        <v>7</v>
      </c>
      <c r="B77" s="23" t="str">
        <f>Source!F38</f>
        <v>5.4-3303-6-11/1</v>
      </c>
      <c r="C77" s="23" t="str">
        <f>Source!G38</f>
        <v>Заготовка деревьев и кустарников с комом земли размером 1,7х1,7х0,65 м</v>
      </c>
      <c r="D77" s="24" t="str">
        <f>Source!DW38</f>
        <v>10 шт.</v>
      </c>
      <c r="E77" s="9">
        <f>Source!I38</f>
        <v>4.9000000000000004</v>
      </c>
      <c r="F77" s="26"/>
      <c r="G77" s="25"/>
      <c r="H77" s="9"/>
      <c r="I77" s="9"/>
      <c r="J77" s="27"/>
      <c r="K77" s="27"/>
      <c r="Q77">
        <f>ROUND((Source!BZ38/100)*ROUND((Source!AF38*Source!AV38)*Source!I38, 2), 2)</f>
        <v>255718.71</v>
      </c>
      <c r="R77">
        <f>Source!X38</f>
        <v>255718.71</v>
      </c>
      <c r="S77">
        <f>ROUND((Source!CA38/100)*ROUND((Source!AF38*Source!AV38)*Source!I38, 2), 2)</f>
        <v>0</v>
      </c>
      <c r="T77">
        <f>Source!Y38</f>
        <v>0</v>
      </c>
      <c r="U77">
        <f>ROUND((175/100)*ROUND((Source!AE38*Source!AV38)*Source!I38, 2), 2)</f>
        <v>3.69</v>
      </c>
      <c r="V77">
        <f>ROUND((78/100)*ROUND(Source!CS38*Source!I38, 2), 2)</f>
        <v>1.65</v>
      </c>
    </row>
    <row r="78" spans="1:22" x14ac:dyDescent="0.2">
      <c r="C78" s="28" t="str">
        <f>"Объем: "&amp;Source!I38&amp;"=49/"&amp;"10"</f>
        <v>Объем: 4,9=49/10</v>
      </c>
    </row>
    <row r="79" spans="1:22" ht="14.25" x14ac:dyDescent="0.2">
      <c r="A79" s="22"/>
      <c r="B79" s="23"/>
      <c r="C79" s="23" t="s">
        <v>291</v>
      </c>
      <c r="D79" s="24"/>
      <c r="E79" s="9"/>
      <c r="F79" s="26">
        <f>Source!AO38</f>
        <v>74553.56</v>
      </c>
      <c r="G79" s="25" t="str">
        <f>Source!DG38</f>
        <v/>
      </c>
      <c r="H79" s="9">
        <f>Source!AV38</f>
        <v>1</v>
      </c>
      <c r="I79" s="9">
        <f>IF(Source!BA38&lt;&gt; 0, Source!BA38, 1)</f>
        <v>1</v>
      </c>
      <c r="J79" s="27">
        <f>Source!S38</f>
        <v>365312.44</v>
      </c>
      <c r="K79" s="27"/>
    </row>
    <row r="80" spans="1:22" ht="14.25" x14ac:dyDescent="0.2">
      <c r="A80" s="22"/>
      <c r="B80" s="23"/>
      <c r="C80" s="23" t="s">
        <v>292</v>
      </c>
      <c r="D80" s="24"/>
      <c r="E80" s="9"/>
      <c r="F80" s="26">
        <f>Source!AM38</f>
        <v>433.87</v>
      </c>
      <c r="G80" s="25" t="str">
        <f>Source!DE38</f>
        <v/>
      </c>
      <c r="H80" s="9">
        <f>Source!AV38</f>
        <v>1</v>
      </c>
      <c r="I80" s="9">
        <f>IF(Source!BB38&lt;&gt; 0, Source!BB38, 1)</f>
        <v>1</v>
      </c>
      <c r="J80" s="27">
        <f>Source!Q38</f>
        <v>2125.96</v>
      </c>
      <c r="K80" s="27"/>
    </row>
    <row r="81" spans="1:22" ht="14.25" x14ac:dyDescent="0.2">
      <c r="A81" s="22"/>
      <c r="B81" s="23"/>
      <c r="C81" s="23" t="s">
        <v>293</v>
      </c>
      <c r="D81" s="24"/>
      <c r="E81" s="9"/>
      <c r="F81" s="26">
        <f>Source!AN38</f>
        <v>0.43</v>
      </c>
      <c r="G81" s="25" t="str">
        <f>Source!DF38</f>
        <v/>
      </c>
      <c r="H81" s="9">
        <f>Source!AV38</f>
        <v>1</v>
      </c>
      <c r="I81" s="9">
        <f>IF(Source!BS38&lt;&gt; 0, Source!BS38, 1)</f>
        <v>1</v>
      </c>
      <c r="J81" s="29">
        <f>Source!R38</f>
        <v>2.11</v>
      </c>
      <c r="K81" s="27"/>
    </row>
    <row r="82" spans="1:22" ht="14.25" x14ac:dyDescent="0.2">
      <c r="A82" s="22"/>
      <c r="B82" s="23"/>
      <c r="C82" s="23" t="s">
        <v>294</v>
      </c>
      <c r="D82" s="24"/>
      <c r="E82" s="9"/>
      <c r="F82" s="26">
        <f>Source!AL38</f>
        <v>26638.93</v>
      </c>
      <c r="G82" s="25" t="str">
        <f>Source!DD38</f>
        <v/>
      </c>
      <c r="H82" s="9">
        <f>Source!AW38</f>
        <v>1</v>
      </c>
      <c r="I82" s="9">
        <f>IF(Source!BC38&lt;&gt; 0, Source!BC38, 1)</f>
        <v>1</v>
      </c>
      <c r="J82" s="27">
        <f>Source!P38</f>
        <v>130530.76</v>
      </c>
      <c r="K82" s="27"/>
    </row>
    <row r="83" spans="1:22" ht="14.25" x14ac:dyDescent="0.2">
      <c r="A83" s="22"/>
      <c r="B83" s="23"/>
      <c r="C83" s="23" t="s">
        <v>295</v>
      </c>
      <c r="D83" s="24" t="s">
        <v>296</v>
      </c>
      <c r="E83" s="9">
        <f>Source!AT38</f>
        <v>70</v>
      </c>
      <c r="F83" s="26"/>
      <c r="G83" s="25"/>
      <c r="H83" s="9"/>
      <c r="I83" s="9"/>
      <c r="J83" s="27">
        <f>SUM(R77:R82)</f>
        <v>255718.71</v>
      </c>
      <c r="K83" s="27"/>
    </row>
    <row r="84" spans="1:22" ht="14.25" x14ac:dyDescent="0.2">
      <c r="A84" s="22"/>
      <c r="B84" s="23"/>
      <c r="C84" s="23" t="s">
        <v>297</v>
      </c>
      <c r="D84" s="24" t="s">
        <v>296</v>
      </c>
      <c r="E84" s="9">
        <f>78</f>
        <v>78</v>
      </c>
      <c r="F84" s="26"/>
      <c r="G84" s="25"/>
      <c r="H84" s="9"/>
      <c r="I84" s="9"/>
      <c r="J84" s="27">
        <f>SUM(V77:V83)</f>
        <v>1.65</v>
      </c>
      <c r="K84" s="27"/>
    </row>
    <row r="85" spans="1:22" ht="14.25" x14ac:dyDescent="0.2">
      <c r="A85" s="22"/>
      <c r="B85" s="23"/>
      <c r="C85" s="23" t="s">
        <v>298</v>
      </c>
      <c r="D85" s="24" t="s">
        <v>299</v>
      </c>
      <c r="E85" s="9">
        <f>Source!AQ38</f>
        <v>363.41</v>
      </c>
      <c r="F85" s="26"/>
      <c r="G85" s="25" t="str">
        <f>Source!DI38</f>
        <v/>
      </c>
      <c r="H85" s="9">
        <f>Source!AV38</f>
        <v>1</v>
      </c>
      <c r="I85" s="9"/>
      <c r="J85" s="27"/>
      <c r="K85" s="27">
        <f>Source!U38</f>
        <v>1780.7090000000003</v>
      </c>
    </row>
    <row r="86" spans="1:22" ht="15" x14ac:dyDescent="0.25">
      <c r="A86" s="32"/>
      <c r="B86" s="32"/>
      <c r="C86" s="32"/>
      <c r="D86" s="32"/>
      <c r="E86" s="32"/>
      <c r="F86" s="32"/>
      <c r="G86" s="32"/>
      <c r="H86" s="32"/>
      <c r="I86" s="69">
        <f>J79+J80+J82+J83+J84</f>
        <v>753689.52</v>
      </c>
      <c r="J86" s="69"/>
      <c r="K86" s="33">
        <f>IF(Source!I38&lt;&gt;0, ROUND(I86/Source!I38, 2), 0)</f>
        <v>153814.19</v>
      </c>
      <c r="P86" s="30">
        <f>I86</f>
        <v>753689.52</v>
      </c>
    </row>
    <row r="87" spans="1:22" ht="57" x14ac:dyDescent="0.2">
      <c r="A87" s="22" t="str">
        <f>Source!E39</f>
        <v>8</v>
      </c>
      <c r="B87" s="23" t="str">
        <f>Source!F39</f>
        <v>5.4-3103-6-10/1</v>
      </c>
      <c r="C87" s="23" t="str">
        <f>Source!G39</f>
        <v>Посадка деревьев и кустарников с комом земли размером 1,7х1,7х0,65 м (без стоимости деревьев и кустарников)</v>
      </c>
      <c r="D87" s="24" t="str">
        <f>Source!DW39</f>
        <v>10 шт.</v>
      </c>
      <c r="E87" s="9">
        <f>Source!I39</f>
        <v>4.9000000000000004</v>
      </c>
      <c r="F87" s="26"/>
      <c r="G87" s="25"/>
      <c r="H87" s="9"/>
      <c r="I87" s="9"/>
      <c r="J87" s="27"/>
      <c r="K87" s="27"/>
      <c r="Q87">
        <f>ROUND((Source!BZ39/100)*ROUND((Source!AF39*Source!AV39)*Source!I39, 2), 2)</f>
        <v>74128.649999999994</v>
      </c>
      <c r="R87">
        <f>Source!X39</f>
        <v>74128.649999999994</v>
      </c>
      <c r="S87">
        <f>ROUND((Source!CA39/100)*ROUND((Source!AF39*Source!AV39)*Source!I39, 2), 2)</f>
        <v>0</v>
      </c>
      <c r="T87">
        <f>Source!Y39</f>
        <v>0</v>
      </c>
      <c r="U87">
        <f>ROUND((175/100)*ROUND((Source!AE39*Source!AV39)*Source!I39, 2), 2)</f>
        <v>12124.19</v>
      </c>
      <c r="V87">
        <f>ROUND((78/100)*ROUND(Source!CS39*Source!I39, 2), 2)</f>
        <v>5403.93</v>
      </c>
    </row>
    <row r="88" spans="1:22" x14ac:dyDescent="0.2">
      <c r="C88" s="28" t="str">
        <f>"Объем: "&amp;Source!I39&amp;"=49/"&amp;"10"</f>
        <v>Объем: 4,9=49/10</v>
      </c>
    </row>
    <row r="89" spans="1:22" ht="14.25" x14ac:dyDescent="0.2">
      <c r="A89" s="22"/>
      <c r="B89" s="23"/>
      <c r="C89" s="23" t="s">
        <v>291</v>
      </c>
      <c r="D89" s="24"/>
      <c r="E89" s="9"/>
      <c r="F89" s="26">
        <f>Source!AO39</f>
        <v>21611.85</v>
      </c>
      <c r="G89" s="25" t="str">
        <f>Source!DG39</f>
        <v/>
      </c>
      <c r="H89" s="9">
        <f>Source!AV39</f>
        <v>1</v>
      </c>
      <c r="I89" s="9">
        <f>IF(Source!BA39&lt;&gt; 0, Source!BA39, 1)</f>
        <v>1</v>
      </c>
      <c r="J89" s="27">
        <f>Source!S39</f>
        <v>105898.07</v>
      </c>
      <c r="K89" s="27"/>
    </row>
    <row r="90" spans="1:22" ht="14.25" x14ac:dyDescent="0.2">
      <c r="A90" s="22"/>
      <c r="B90" s="23"/>
      <c r="C90" s="23" t="s">
        <v>292</v>
      </c>
      <c r="D90" s="24"/>
      <c r="E90" s="9"/>
      <c r="F90" s="26">
        <f>Source!AM39</f>
        <v>6292.76</v>
      </c>
      <c r="G90" s="25" t="str">
        <f>Source!DE39</f>
        <v/>
      </c>
      <c r="H90" s="9">
        <f>Source!AV39</f>
        <v>1</v>
      </c>
      <c r="I90" s="9">
        <f>IF(Source!BB39&lt;&gt; 0, Source!BB39, 1)</f>
        <v>1</v>
      </c>
      <c r="J90" s="27">
        <f>Source!Q39</f>
        <v>30834.52</v>
      </c>
      <c r="K90" s="27"/>
    </row>
    <row r="91" spans="1:22" ht="14.25" x14ac:dyDescent="0.2">
      <c r="A91" s="22"/>
      <c r="B91" s="23"/>
      <c r="C91" s="23" t="s">
        <v>293</v>
      </c>
      <c r="D91" s="24"/>
      <c r="E91" s="9"/>
      <c r="F91" s="26">
        <f>Source!AN39</f>
        <v>1413.9</v>
      </c>
      <c r="G91" s="25" t="str">
        <f>Source!DF39</f>
        <v/>
      </c>
      <c r="H91" s="9">
        <f>Source!AV39</f>
        <v>1</v>
      </c>
      <c r="I91" s="9">
        <f>IF(Source!BS39&lt;&gt; 0, Source!BS39, 1)</f>
        <v>1</v>
      </c>
      <c r="J91" s="29">
        <f>Source!R39</f>
        <v>6928.11</v>
      </c>
      <c r="K91" s="27"/>
    </row>
    <row r="92" spans="1:22" ht="14.25" x14ac:dyDescent="0.2">
      <c r="A92" s="22"/>
      <c r="B92" s="23"/>
      <c r="C92" s="23" t="s">
        <v>294</v>
      </c>
      <c r="D92" s="24"/>
      <c r="E92" s="9"/>
      <c r="F92" s="26">
        <f>Source!AL39</f>
        <v>1412.27</v>
      </c>
      <c r="G92" s="25" t="str">
        <f>Source!DD39</f>
        <v/>
      </c>
      <c r="H92" s="9">
        <f>Source!AW39</f>
        <v>1</v>
      </c>
      <c r="I92" s="9">
        <f>IF(Source!BC39&lt;&gt; 0, Source!BC39, 1)</f>
        <v>1</v>
      </c>
      <c r="J92" s="27">
        <f>Source!P39</f>
        <v>6920.12</v>
      </c>
      <c r="K92" s="27"/>
    </row>
    <row r="93" spans="1:22" ht="57" x14ac:dyDescent="0.2">
      <c r="A93" s="22" t="str">
        <f>Source!E40</f>
        <v>8,1</v>
      </c>
      <c r="B93" s="23" t="str">
        <f>Source!F40</f>
        <v>21.4-1-6</v>
      </c>
      <c r="C93" s="23" t="str">
        <f>Source!G40</f>
        <v>Деревья декоративные лиственных пород с комом земли, порода: береза, ива, рябина, тополь, черемуха, яблоня, размер кома: 1,7х1,7х0,65 м</v>
      </c>
      <c r="D93" s="24" t="str">
        <f>Source!DW40</f>
        <v>шт.</v>
      </c>
      <c r="E93" s="9">
        <f>Source!I40</f>
        <v>49</v>
      </c>
      <c r="F93" s="26">
        <f>Source!AK40</f>
        <v>11813.67</v>
      </c>
      <c r="G93" s="34" t="s">
        <v>3</v>
      </c>
      <c r="H93" s="9">
        <f>Source!AW40</f>
        <v>1</v>
      </c>
      <c r="I93" s="9">
        <f>IF(Source!BC40&lt;&gt; 0, Source!BC40, 1)</f>
        <v>1</v>
      </c>
      <c r="J93" s="27">
        <f>Source!O40</f>
        <v>578869.82999999996</v>
      </c>
      <c r="K93" s="27"/>
      <c r="Q93">
        <f>ROUND((Source!BZ40/100)*ROUND((Source!AF40*Source!AV40)*Source!I40, 2), 2)</f>
        <v>0</v>
      </c>
      <c r="R93">
        <f>Source!X40</f>
        <v>0</v>
      </c>
      <c r="S93">
        <f>ROUND((Source!CA40/100)*ROUND((Source!AF40*Source!AV40)*Source!I40, 2), 2)</f>
        <v>0</v>
      </c>
      <c r="T93">
        <f>Source!Y40</f>
        <v>0</v>
      </c>
      <c r="U93">
        <f>ROUND((175/100)*ROUND((Source!AE40*Source!AV40)*Source!I40, 2), 2)</f>
        <v>0</v>
      </c>
      <c r="V93">
        <f>ROUND((78/100)*ROUND(Source!CS40*Source!I40, 2), 2)</f>
        <v>0</v>
      </c>
    </row>
    <row r="94" spans="1:22" ht="14.25" x14ac:dyDescent="0.2">
      <c r="A94" s="22"/>
      <c r="B94" s="23"/>
      <c r="C94" s="23" t="s">
        <v>295</v>
      </c>
      <c r="D94" s="24" t="s">
        <v>296</v>
      </c>
      <c r="E94" s="9">
        <f>Source!AT39</f>
        <v>70</v>
      </c>
      <c r="F94" s="26"/>
      <c r="G94" s="25"/>
      <c r="H94" s="9"/>
      <c r="I94" s="9"/>
      <c r="J94" s="27">
        <f>SUM(R87:R93)</f>
        <v>74128.649999999994</v>
      </c>
      <c r="K94" s="27"/>
    </row>
    <row r="95" spans="1:22" ht="14.25" x14ac:dyDescent="0.2">
      <c r="A95" s="22"/>
      <c r="B95" s="23"/>
      <c r="C95" s="23" t="s">
        <v>297</v>
      </c>
      <c r="D95" s="24" t="s">
        <v>296</v>
      </c>
      <c r="E95" s="9">
        <f>78</f>
        <v>78</v>
      </c>
      <c r="F95" s="26"/>
      <c r="G95" s="25"/>
      <c r="H95" s="9"/>
      <c r="I95" s="9"/>
      <c r="J95" s="27">
        <f>SUM(V87:V94)</f>
        <v>5403.93</v>
      </c>
      <c r="K95" s="27"/>
    </row>
    <row r="96" spans="1:22" ht="14.25" x14ac:dyDescent="0.2">
      <c r="A96" s="22"/>
      <c r="B96" s="23"/>
      <c r="C96" s="23" t="s">
        <v>298</v>
      </c>
      <c r="D96" s="24" t="s">
        <v>299</v>
      </c>
      <c r="E96" s="9">
        <f>Source!AQ39</f>
        <v>95.56</v>
      </c>
      <c r="F96" s="26"/>
      <c r="G96" s="25" t="str">
        <f>Source!DI39</f>
        <v/>
      </c>
      <c r="H96" s="9">
        <f>Source!AV39</f>
        <v>1</v>
      </c>
      <c r="I96" s="9"/>
      <c r="J96" s="27"/>
      <c r="K96" s="27">
        <f>Source!U39</f>
        <v>468.24400000000003</v>
      </c>
    </row>
    <row r="97" spans="1:22" ht="15" x14ac:dyDescent="0.25">
      <c r="A97" s="32"/>
      <c r="B97" s="32"/>
      <c r="C97" s="32"/>
      <c r="D97" s="32"/>
      <c r="E97" s="32"/>
      <c r="F97" s="32"/>
      <c r="G97" s="32"/>
      <c r="H97" s="32"/>
      <c r="I97" s="69">
        <f>J89+J90+J92+J94+J95+SUM(J93:J93)</f>
        <v>802055.11999999988</v>
      </c>
      <c r="J97" s="69"/>
      <c r="K97" s="33">
        <f>IF(Source!I39&lt;&gt;0, ROUND(I97/Source!I39, 2), 0)</f>
        <v>163684.72</v>
      </c>
      <c r="P97" s="30">
        <f>I97</f>
        <v>802055.11999999988</v>
      </c>
    </row>
    <row r="99" spans="1:22" ht="15" x14ac:dyDescent="0.25">
      <c r="A99" s="73" t="str">
        <f>CONCATENATE("Итого по подразделу: ",IF(Source!G42&lt;&gt;"Новый подраздел", Source!G42, ""))</f>
        <v>Итого по подразделу: Посадка деревьев</v>
      </c>
      <c r="B99" s="73"/>
      <c r="C99" s="73"/>
      <c r="D99" s="73"/>
      <c r="E99" s="73"/>
      <c r="F99" s="73"/>
      <c r="G99" s="73"/>
      <c r="H99" s="73"/>
      <c r="I99" s="71">
        <f>SUM(P36:P98)</f>
        <v>2101919.5199999996</v>
      </c>
      <c r="J99" s="72"/>
      <c r="K99" s="35"/>
    </row>
    <row r="102" spans="1:22" ht="16.5" x14ac:dyDescent="0.25">
      <c r="A102" s="70" t="str">
        <f>CONCATENATE("Подраздел: ",IF(Source!G71&lt;&gt;"Новый подраздел", Source!G71, ""))</f>
        <v>Подраздел: Восстановление отпада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</row>
    <row r="103" spans="1:22" ht="28.5" x14ac:dyDescent="0.2">
      <c r="A103" s="22" t="str">
        <f>Source!E75</f>
        <v>9</v>
      </c>
      <c r="B103" s="23" t="str">
        <f>Source!F75</f>
        <v>5.4-3303-6-11/1</v>
      </c>
      <c r="C103" s="23" t="str">
        <f>Source!G75</f>
        <v>Заготовка деревьев и кустарников с комом земли размером 1,7х1,7х0,65 м</v>
      </c>
      <c r="D103" s="24" t="str">
        <f>Source!DW75</f>
        <v>10 шт.</v>
      </c>
      <c r="E103" s="9">
        <f>Source!I75</f>
        <v>0.3</v>
      </c>
      <c r="F103" s="26"/>
      <c r="G103" s="25"/>
      <c r="H103" s="9"/>
      <c r="I103" s="9"/>
      <c r="J103" s="27"/>
      <c r="K103" s="27"/>
      <c r="Q103">
        <f>ROUND((Source!BZ75/100)*ROUND((Source!AF75*Source!AV75)*Source!I75, 2), 2)</f>
        <v>15656.25</v>
      </c>
      <c r="R103">
        <f>Source!X75</f>
        <v>15656.25</v>
      </c>
      <c r="S103">
        <f>ROUND((Source!CA75/100)*ROUND((Source!AF75*Source!AV75)*Source!I75, 2), 2)</f>
        <v>0</v>
      </c>
      <c r="T103">
        <f>Source!Y75</f>
        <v>0</v>
      </c>
      <c r="U103">
        <f>ROUND((175/100)*ROUND((Source!AE75*Source!AV75)*Source!I75, 2), 2)</f>
        <v>0.23</v>
      </c>
      <c r="V103">
        <f>ROUND((78/100)*ROUND(Source!CS75*Source!I75, 2), 2)</f>
        <v>0.1</v>
      </c>
    </row>
    <row r="104" spans="1:22" x14ac:dyDescent="0.2">
      <c r="C104" s="28" t="str">
        <f>"Объем: "&amp;Source!I75&amp;"=3/"&amp;"10"</f>
        <v>Объем: 0,3=3/10</v>
      </c>
    </row>
    <row r="105" spans="1:22" ht="14.25" x14ac:dyDescent="0.2">
      <c r="A105" s="22"/>
      <c r="B105" s="23"/>
      <c r="C105" s="23" t="s">
        <v>291</v>
      </c>
      <c r="D105" s="24"/>
      <c r="E105" s="9"/>
      <c r="F105" s="26">
        <f>Source!AO75</f>
        <v>74553.56</v>
      </c>
      <c r="G105" s="25" t="str">
        <f>Source!DG75</f>
        <v/>
      </c>
      <c r="H105" s="9">
        <f>Source!AV75</f>
        <v>1</v>
      </c>
      <c r="I105" s="9">
        <f>IF(Source!BA75&lt;&gt; 0, Source!BA75, 1)</f>
        <v>1</v>
      </c>
      <c r="J105" s="27">
        <f>Source!S75</f>
        <v>22366.07</v>
      </c>
      <c r="K105" s="27"/>
    </row>
    <row r="106" spans="1:22" ht="14.25" x14ac:dyDescent="0.2">
      <c r="A106" s="22"/>
      <c r="B106" s="23"/>
      <c r="C106" s="23" t="s">
        <v>292</v>
      </c>
      <c r="D106" s="24"/>
      <c r="E106" s="9"/>
      <c r="F106" s="26">
        <f>Source!AM75</f>
        <v>433.87</v>
      </c>
      <c r="G106" s="25" t="str">
        <f>Source!DE75</f>
        <v/>
      </c>
      <c r="H106" s="9">
        <f>Source!AV75</f>
        <v>1</v>
      </c>
      <c r="I106" s="9">
        <f>IF(Source!BB75&lt;&gt; 0, Source!BB75, 1)</f>
        <v>1</v>
      </c>
      <c r="J106" s="27">
        <f>Source!Q75</f>
        <v>130.16</v>
      </c>
      <c r="K106" s="27"/>
    </row>
    <row r="107" spans="1:22" ht="14.25" x14ac:dyDescent="0.2">
      <c r="A107" s="22"/>
      <c r="B107" s="23"/>
      <c r="C107" s="23" t="s">
        <v>293</v>
      </c>
      <c r="D107" s="24"/>
      <c r="E107" s="9"/>
      <c r="F107" s="26">
        <f>Source!AN75</f>
        <v>0.43</v>
      </c>
      <c r="G107" s="25" t="str">
        <f>Source!DF75</f>
        <v/>
      </c>
      <c r="H107" s="9">
        <f>Source!AV75</f>
        <v>1</v>
      </c>
      <c r="I107" s="9">
        <f>IF(Source!BS75&lt;&gt; 0, Source!BS75, 1)</f>
        <v>1</v>
      </c>
      <c r="J107" s="29">
        <f>Source!R75</f>
        <v>0.13</v>
      </c>
      <c r="K107" s="27"/>
    </row>
    <row r="108" spans="1:22" ht="14.25" x14ac:dyDescent="0.2">
      <c r="A108" s="22"/>
      <c r="B108" s="23"/>
      <c r="C108" s="23" t="s">
        <v>294</v>
      </c>
      <c r="D108" s="24"/>
      <c r="E108" s="9"/>
      <c r="F108" s="26">
        <f>Source!AL75</f>
        <v>26638.93</v>
      </c>
      <c r="G108" s="25" t="str">
        <f>Source!DD75</f>
        <v/>
      </c>
      <c r="H108" s="9">
        <f>Source!AW75</f>
        <v>1</v>
      </c>
      <c r="I108" s="9">
        <f>IF(Source!BC75&lt;&gt; 0, Source!BC75, 1)</f>
        <v>1</v>
      </c>
      <c r="J108" s="27">
        <f>Source!P75</f>
        <v>7991.68</v>
      </c>
      <c r="K108" s="27"/>
    </row>
    <row r="109" spans="1:22" ht="14.25" x14ac:dyDescent="0.2">
      <c r="A109" s="22"/>
      <c r="B109" s="23"/>
      <c r="C109" s="23" t="s">
        <v>295</v>
      </c>
      <c r="D109" s="24" t="s">
        <v>296</v>
      </c>
      <c r="E109" s="9">
        <f>Source!AT75</f>
        <v>70</v>
      </c>
      <c r="F109" s="26"/>
      <c r="G109" s="25"/>
      <c r="H109" s="9"/>
      <c r="I109" s="9"/>
      <c r="J109" s="27">
        <f>SUM(R103:R108)</f>
        <v>15656.25</v>
      </c>
      <c r="K109" s="27"/>
    </row>
    <row r="110" spans="1:22" ht="14.25" x14ac:dyDescent="0.2">
      <c r="A110" s="22"/>
      <c r="B110" s="23"/>
      <c r="C110" s="23" t="s">
        <v>297</v>
      </c>
      <c r="D110" s="24" t="s">
        <v>296</v>
      </c>
      <c r="E110" s="9">
        <f>78</f>
        <v>78</v>
      </c>
      <c r="F110" s="26"/>
      <c r="G110" s="25"/>
      <c r="H110" s="9"/>
      <c r="I110" s="9"/>
      <c r="J110" s="27">
        <f>SUM(V103:V109)</f>
        <v>0.1</v>
      </c>
      <c r="K110" s="27"/>
    </row>
    <row r="111" spans="1:22" ht="14.25" x14ac:dyDescent="0.2">
      <c r="A111" s="22"/>
      <c r="B111" s="23"/>
      <c r="C111" s="23" t="s">
        <v>298</v>
      </c>
      <c r="D111" s="24" t="s">
        <v>299</v>
      </c>
      <c r="E111" s="9">
        <f>Source!AQ75</f>
        <v>363.41</v>
      </c>
      <c r="F111" s="26"/>
      <c r="G111" s="25" t="str">
        <f>Source!DI75</f>
        <v/>
      </c>
      <c r="H111" s="9">
        <f>Source!AV75</f>
        <v>1</v>
      </c>
      <c r="I111" s="9"/>
      <c r="J111" s="27"/>
      <c r="K111" s="27">
        <f>Source!U75</f>
        <v>109.02300000000001</v>
      </c>
    </row>
    <row r="112" spans="1:22" ht="15" x14ac:dyDescent="0.25">
      <c r="A112" s="32"/>
      <c r="B112" s="32"/>
      <c r="C112" s="32"/>
      <c r="D112" s="32"/>
      <c r="E112" s="32"/>
      <c r="F112" s="32"/>
      <c r="G112" s="32"/>
      <c r="H112" s="32"/>
      <c r="I112" s="69">
        <f>J105+J106+J108+J109+J110</f>
        <v>46144.26</v>
      </c>
      <c r="J112" s="69"/>
      <c r="K112" s="33">
        <f>IF(Source!I75&lt;&gt;0, ROUND(I112/Source!I75, 2), 0)</f>
        <v>153814.20000000001</v>
      </c>
      <c r="P112" s="30">
        <f>I112</f>
        <v>46144.26</v>
      </c>
    </row>
    <row r="113" spans="1:22" ht="85.5" x14ac:dyDescent="0.2">
      <c r="A113" s="22" t="str">
        <f>Source!E76</f>
        <v>10</v>
      </c>
      <c r="B113" s="23" t="str">
        <f>Source!F76</f>
        <v>5.4-3103-2-26/1</v>
      </c>
      <c r="C113" s="23" t="str">
        <f>Source!G76</f>
        <v>Подготовка стандартных посадочных мест для деревьев и кустарников механизированным способом с квадратным комом земли размером 1,7х1,7х0,65 м в естественном грунте 3*0,75=2,25</v>
      </c>
      <c r="D113" s="24" t="str">
        <f>Source!DW76</f>
        <v>10 ям</v>
      </c>
      <c r="E113" s="9">
        <f>Source!I76</f>
        <v>0.22500000000000001</v>
      </c>
      <c r="F113" s="26"/>
      <c r="G113" s="25"/>
      <c r="H113" s="9"/>
      <c r="I113" s="9"/>
      <c r="J113" s="27"/>
      <c r="K113" s="27"/>
      <c r="Q113">
        <f>ROUND((Source!BZ76/100)*ROUND((Source!AF76*Source!AV76)*Source!I76, 2), 2)</f>
        <v>909.27</v>
      </c>
      <c r="R113">
        <f>Source!X76</f>
        <v>909.27</v>
      </c>
      <c r="S113">
        <f>ROUND((Source!CA76/100)*ROUND((Source!AF76*Source!AV76)*Source!I76, 2), 2)</f>
        <v>0</v>
      </c>
      <c r="T113">
        <f>Source!Y76</f>
        <v>0</v>
      </c>
      <c r="U113">
        <f>ROUND((175/100)*ROUND((Source!AE76*Source!AV76)*Source!I76, 2), 2)</f>
        <v>504.16</v>
      </c>
      <c r="V113">
        <f>ROUND((78/100)*ROUND(Source!CS76*Source!I76, 2), 2)</f>
        <v>224.71</v>
      </c>
    </row>
    <row r="114" spans="1:22" x14ac:dyDescent="0.2">
      <c r="C114" s="28" t="str">
        <f>"Объем: "&amp;Source!I76&amp;"=2,25/"&amp;"10"</f>
        <v>Объем: 0,225=2,25/10</v>
      </c>
    </row>
    <row r="115" spans="1:22" ht="14.25" x14ac:dyDescent="0.2">
      <c r="A115" s="22"/>
      <c r="B115" s="23"/>
      <c r="C115" s="23" t="s">
        <v>291</v>
      </c>
      <c r="D115" s="24"/>
      <c r="E115" s="9"/>
      <c r="F115" s="26">
        <f>Source!AO76</f>
        <v>5773.11</v>
      </c>
      <c r="G115" s="25" t="str">
        <f>Source!DG76</f>
        <v/>
      </c>
      <c r="H115" s="9">
        <f>Source!AV76</f>
        <v>1</v>
      </c>
      <c r="I115" s="9">
        <f>IF(Source!BA76&lt;&gt; 0, Source!BA76, 1)</f>
        <v>1</v>
      </c>
      <c r="J115" s="27">
        <f>Source!S76</f>
        <v>1298.95</v>
      </c>
      <c r="K115" s="27"/>
    </row>
    <row r="116" spans="1:22" ht="14.25" x14ac:dyDescent="0.2">
      <c r="A116" s="22"/>
      <c r="B116" s="23"/>
      <c r="C116" s="23" t="s">
        <v>292</v>
      </c>
      <c r="D116" s="24"/>
      <c r="E116" s="9"/>
      <c r="F116" s="26">
        <f>Source!AM76</f>
        <v>2339.85</v>
      </c>
      <c r="G116" s="25" t="str">
        <f>Source!DE76</f>
        <v/>
      </c>
      <c r="H116" s="9">
        <f>Source!AV76</f>
        <v>1</v>
      </c>
      <c r="I116" s="9">
        <f>IF(Source!BB76&lt;&gt; 0, Source!BB76, 1)</f>
        <v>1</v>
      </c>
      <c r="J116" s="27">
        <f>Source!Q76</f>
        <v>526.47</v>
      </c>
      <c r="K116" s="27"/>
    </row>
    <row r="117" spans="1:22" ht="14.25" x14ac:dyDescent="0.2">
      <c r="A117" s="22"/>
      <c r="B117" s="23"/>
      <c r="C117" s="23" t="s">
        <v>293</v>
      </c>
      <c r="D117" s="24"/>
      <c r="E117" s="9"/>
      <c r="F117" s="26">
        <f>Source!AN76</f>
        <v>1280.4000000000001</v>
      </c>
      <c r="G117" s="25" t="str">
        <f>Source!DF76</f>
        <v/>
      </c>
      <c r="H117" s="9">
        <f>Source!AV76</f>
        <v>1</v>
      </c>
      <c r="I117" s="9">
        <f>IF(Source!BS76&lt;&gt; 0, Source!BS76, 1)</f>
        <v>1</v>
      </c>
      <c r="J117" s="29">
        <f>Source!R76</f>
        <v>288.08999999999997</v>
      </c>
      <c r="K117" s="27"/>
    </row>
    <row r="118" spans="1:22" ht="14.25" x14ac:dyDescent="0.2">
      <c r="A118" s="22"/>
      <c r="B118" s="23"/>
      <c r="C118" s="23" t="s">
        <v>295</v>
      </c>
      <c r="D118" s="24" t="s">
        <v>296</v>
      </c>
      <c r="E118" s="9">
        <f>Source!AT76</f>
        <v>70</v>
      </c>
      <c r="F118" s="26"/>
      <c r="G118" s="25"/>
      <c r="H118" s="9"/>
      <c r="I118" s="9"/>
      <c r="J118" s="27">
        <f>SUM(R113:R117)</f>
        <v>909.27</v>
      </c>
      <c r="K118" s="27"/>
    </row>
    <row r="119" spans="1:22" ht="14.25" x14ac:dyDescent="0.2">
      <c r="A119" s="22"/>
      <c r="B119" s="23"/>
      <c r="C119" s="23" t="s">
        <v>297</v>
      </c>
      <c r="D119" s="24" t="s">
        <v>296</v>
      </c>
      <c r="E119" s="9">
        <f>78</f>
        <v>78</v>
      </c>
      <c r="F119" s="26"/>
      <c r="G119" s="25"/>
      <c r="H119" s="9"/>
      <c r="I119" s="9"/>
      <c r="J119" s="27">
        <f>SUM(V113:V118)</f>
        <v>224.71</v>
      </c>
      <c r="K119" s="27"/>
    </row>
    <row r="120" spans="1:22" ht="14.25" x14ac:dyDescent="0.2">
      <c r="A120" s="22"/>
      <c r="B120" s="23"/>
      <c r="C120" s="23" t="s">
        <v>298</v>
      </c>
      <c r="D120" s="24" t="s">
        <v>299</v>
      </c>
      <c r="E120" s="9">
        <f>Source!AQ76</f>
        <v>35.82</v>
      </c>
      <c r="F120" s="26"/>
      <c r="G120" s="25" t="str">
        <f>Source!DI76</f>
        <v/>
      </c>
      <c r="H120" s="9">
        <f>Source!AV76</f>
        <v>1</v>
      </c>
      <c r="I120" s="9"/>
      <c r="J120" s="27"/>
      <c r="K120" s="27">
        <f>Source!U76</f>
        <v>8.0594999999999999</v>
      </c>
    </row>
    <row r="121" spans="1:22" ht="15" x14ac:dyDescent="0.25">
      <c r="A121" s="32"/>
      <c r="B121" s="32"/>
      <c r="C121" s="32"/>
      <c r="D121" s="32"/>
      <c r="E121" s="32"/>
      <c r="F121" s="32"/>
      <c r="G121" s="32"/>
      <c r="H121" s="32"/>
      <c r="I121" s="69">
        <f>J115+J116+J118+J119</f>
        <v>2959.4</v>
      </c>
      <c r="J121" s="69"/>
      <c r="K121" s="33">
        <f>IF(Source!I76&lt;&gt;0, ROUND(I121/Source!I76, 2), 0)</f>
        <v>13152.89</v>
      </c>
      <c r="P121" s="30">
        <f>I121</f>
        <v>2959.4</v>
      </c>
    </row>
    <row r="122" spans="1:22" ht="57" x14ac:dyDescent="0.2">
      <c r="A122" s="22" t="str">
        <f>Source!E77</f>
        <v>11</v>
      </c>
      <c r="B122" s="23" t="str">
        <f>Source!F77</f>
        <v>5.4-3103-4-26/1</v>
      </c>
      <c r="C122" s="23" t="str">
        <f>Source!G77</f>
        <v>Подготовка стандартных посадочных мест вручную с квадратным комом земли размером 1,7х1,7х0,65 м в естественном грунте 3*0,25=0,75</v>
      </c>
      <c r="D122" s="24" t="str">
        <f>Source!DW77</f>
        <v>10 ям</v>
      </c>
      <c r="E122" s="9">
        <f>Source!I77</f>
        <v>7.4999999999999997E-2</v>
      </c>
      <c r="F122" s="26"/>
      <c r="G122" s="25"/>
      <c r="H122" s="9"/>
      <c r="I122" s="9"/>
      <c r="J122" s="27"/>
      <c r="K122" s="27"/>
      <c r="Q122">
        <f>ROUND((Source!BZ77/100)*ROUND((Source!AF77*Source!AV77)*Source!I77, 2), 2)</f>
        <v>897.99</v>
      </c>
      <c r="R122">
        <f>Source!X77</f>
        <v>897.99</v>
      </c>
      <c r="S122">
        <f>ROUND((Source!CA77/100)*ROUND((Source!AF77*Source!AV77)*Source!I77, 2), 2)</f>
        <v>0</v>
      </c>
      <c r="T122">
        <f>Source!Y77</f>
        <v>0</v>
      </c>
      <c r="U122">
        <f>ROUND((175/100)*ROUND((Source!AE77*Source!AV77)*Source!I77, 2), 2)</f>
        <v>0</v>
      </c>
      <c r="V122">
        <f>ROUND((78/100)*ROUND(Source!CS77*Source!I77, 2), 2)</f>
        <v>0</v>
      </c>
    </row>
    <row r="123" spans="1:22" x14ac:dyDescent="0.2">
      <c r="C123" s="28" t="str">
        <f>"Объем: "&amp;Source!I77&amp;"=0,75/"&amp;"10"</f>
        <v>Объем: 0,075=0,75/10</v>
      </c>
    </row>
    <row r="124" spans="1:22" ht="14.25" x14ac:dyDescent="0.2">
      <c r="A124" s="22"/>
      <c r="B124" s="23"/>
      <c r="C124" s="23" t="s">
        <v>291</v>
      </c>
      <c r="D124" s="24"/>
      <c r="E124" s="9"/>
      <c r="F124" s="26">
        <f>Source!AO77</f>
        <v>17104.560000000001</v>
      </c>
      <c r="G124" s="25" t="str">
        <f>Source!DG77</f>
        <v/>
      </c>
      <c r="H124" s="9">
        <f>Source!AV77</f>
        <v>1</v>
      </c>
      <c r="I124" s="9">
        <f>IF(Source!BA77&lt;&gt; 0, Source!BA77, 1)</f>
        <v>1</v>
      </c>
      <c r="J124" s="27">
        <f>Source!S77</f>
        <v>1282.8399999999999</v>
      </c>
      <c r="K124" s="27"/>
    </row>
    <row r="125" spans="1:22" ht="14.25" x14ac:dyDescent="0.2">
      <c r="A125" s="22"/>
      <c r="B125" s="23"/>
      <c r="C125" s="23" t="s">
        <v>295</v>
      </c>
      <c r="D125" s="24" t="s">
        <v>296</v>
      </c>
      <c r="E125" s="9">
        <f>Source!AT77</f>
        <v>70</v>
      </c>
      <c r="F125" s="26"/>
      <c r="G125" s="25"/>
      <c r="H125" s="9"/>
      <c r="I125" s="9"/>
      <c r="J125" s="27">
        <f>SUM(R122:R124)</f>
        <v>897.99</v>
      </c>
      <c r="K125" s="27"/>
    </row>
    <row r="126" spans="1:22" ht="14.25" x14ac:dyDescent="0.2">
      <c r="A126" s="22"/>
      <c r="B126" s="23"/>
      <c r="C126" s="23" t="s">
        <v>298</v>
      </c>
      <c r="D126" s="24" t="s">
        <v>299</v>
      </c>
      <c r="E126" s="9">
        <f>Source!AQ77</f>
        <v>99.37</v>
      </c>
      <c r="F126" s="26"/>
      <c r="G126" s="25" t="str">
        <f>Source!DI77</f>
        <v/>
      </c>
      <c r="H126" s="9">
        <f>Source!AV77</f>
        <v>1</v>
      </c>
      <c r="I126" s="9"/>
      <c r="J126" s="27"/>
      <c r="K126" s="27">
        <f>Source!U77</f>
        <v>7.45275</v>
      </c>
    </row>
    <row r="127" spans="1:22" ht="15" x14ac:dyDescent="0.25">
      <c r="A127" s="32"/>
      <c r="B127" s="32"/>
      <c r="C127" s="32"/>
      <c r="D127" s="32"/>
      <c r="E127" s="32"/>
      <c r="F127" s="32"/>
      <c r="G127" s="32"/>
      <c r="H127" s="32"/>
      <c r="I127" s="69">
        <f>J124+J125</f>
        <v>2180.83</v>
      </c>
      <c r="J127" s="69"/>
      <c r="K127" s="33">
        <f>IF(Source!I77&lt;&gt;0, ROUND(I127/Source!I77, 2), 0)</f>
        <v>29077.73</v>
      </c>
      <c r="P127" s="30">
        <f>I127</f>
        <v>2180.83</v>
      </c>
    </row>
    <row r="128" spans="1:22" ht="57" x14ac:dyDescent="0.2">
      <c r="A128" s="22" t="str">
        <f>Source!E78</f>
        <v>12</v>
      </c>
      <c r="B128" s="23" t="str">
        <f>Source!F78</f>
        <v>5.4-3103-6-10/1</v>
      </c>
      <c r="C128" s="23" t="str">
        <f>Source!G78</f>
        <v>Посадка деревьев и кустарников с комом земли размером 1,7х1,7х0,65 м (без стоимости деревьев и кустарников)</v>
      </c>
      <c r="D128" s="24" t="str">
        <f>Source!DW78</f>
        <v>10 шт.</v>
      </c>
      <c r="E128" s="9">
        <f>Source!I78</f>
        <v>0.3</v>
      </c>
      <c r="F128" s="26"/>
      <c r="G128" s="25"/>
      <c r="H128" s="9"/>
      <c r="I128" s="9"/>
      <c r="J128" s="27"/>
      <c r="K128" s="27"/>
      <c r="Q128">
        <f>ROUND((Source!BZ78/100)*ROUND((Source!AF78*Source!AV78)*Source!I78, 2), 2)</f>
        <v>4538.49</v>
      </c>
      <c r="R128">
        <f>Source!X78</f>
        <v>4538.49</v>
      </c>
      <c r="S128">
        <f>ROUND((Source!CA78/100)*ROUND((Source!AF78*Source!AV78)*Source!I78, 2), 2)</f>
        <v>0</v>
      </c>
      <c r="T128">
        <f>Source!Y78</f>
        <v>0</v>
      </c>
      <c r="U128">
        <f>ROUND((175/100)*ROUND((Source!AE78*Source!AV78)*Source!I78, 2), 2)</f>
        <v>742.3</v>
      </c>
      <c r="V128">
        <f>ROUND((78/100)*ROUND(Source!CS78*Source!I78, 2), 2)</f>
        <v>330.85</v>
      </c>
    </row>
    <row r="129" spans="1:22" x14ac:dyDescent="0.2">
      <c r="C129" s="28" t="str">
        <f>"Объем: "&amp;Source!I78&amp;"=3/"&amp;"10"</f>
        <v>Объем: 0,3=3/10</v>
      </c>
    </row>
    <row r="130" spans="1:22" ht="14.25" x14ac:dyDescent="0.2">
      <c r="A130" s="22"/>
      <c r="B130" s="23"/>
      <c r="C130" s="23" t="s">
        <v>291</v>
      </c>
      <c r="D130" s="24"/>
      <c r="E130" s="9"/>
      <c r="F130" s="26">
        <f>Source!AO78</f>
        <v>21611.85</v>
      </c>
      <c r="G130" s="25" t="str">
        <f>Source!DG78</f>
        <v/>
      </c>
      <c r="H130" s="9">
        <f>Source!AV78</f>
        <v>1</v>
      </c>
      <c r="I130" s="9">
        <f>IF(Source!BA78&lt;&gt; 0, Source!BA78, 1)</f>
        <v>1</v>
      </c>
      <c r="J130" s="27">
        <f>Source!S78</f>
        <v>6483.56</v>
      </c>
      <c r="K130" s="27"/>
    </row>
    <row r="131" spans="1:22" ht="14.25" x14ac:dyDescent="0.2">
      <c r="A131" s="22"/>
      <c r="B131" s="23"/>
      <c r="C131" s="23" t="s">
        <v>292</v>
      </c>
      <c r="D131" s="24"/>
      <c r="E131" s="9"/>
      <c r="F131" s="26">
        <f>Source!AM78</f>
        <v>6292.76</v>
      </c>
      <c r="G131" s="25" t="str">
        <f>Source!DE78</f>
        <v/>
      </c>
      <c r="H131" s="9">
        <f>Source!AV78</f>
        <v>1</v>
      </c>
      <c r="I131" s="9">
        <f>IF(Source!BB78&lt;&gt; 0, Source!BB78, 1)</f>
        <v>1</v>
      </c>
      <c r="J131" s="27">
        <f>Source!Q78</f>
        <v>1887.83</v>
      </c>
      <c r="K131" s="27"/>
    </row>
    <row r="132" spans="1:22" ht="14.25" x14ac:dyDescent="0.2">
      <c r="A132" s="22"/>
      <c r="B132" s="23"/>
      <c r="C132" s="23" t="s">
        <v>293</v>
      </c>
      <c r="D132" s="24"/>
      <c r="E132" s="9"/>
      <c r="F132" s="26">
        <f>Source!AN78</f>
        <v>1413.9</v>
      </c>
      <c r="G132" s="25" t="str">
        <f>Source!DF78</f>
        <v/>
      </c>
      <c r="H132" s="9">
        <f>Source!AV78</f>
        <v>1</v>
      </c>
      <c r="I132" s="9">
        <f>IF(Source!BS78&lt;&gt; 0, Source!BS78, 1)</f>
        <v>1</v>
      </c>
      <c r="J132" s="29">
        <f>Source!R78</f>
        <v>424.17</v>
      </c>
      <c r="K132" s="27"/>
    </row>
    <row r="133" spans="1:22" ht="14.25" x14ac:dyDescent="0.2">
      <c r="A133" s="22"/>
      <c r="B133" s="23"/>
      <c r="C133" s="23" t="s">
        <v>294</v>
      </c>
      <c r="D133" s="24"/>
      <c r="E133" s="9"/>
      <c r="F133" s="26">
        <f>Source!AL78</f>
        <v>1412.27</v>
      </c>
      <c r="G133" s="25" t="str">
        <f>Source!DD78</f>
        <v/>
      </c>
      <c r="H133" s="9">
        <f>Source!AW78</f>
        <v>1</v>
      </c>
      <c r="I133" s="9">
        <f>IF(Source!BC78&lt;&gt; 0, Source!BC78, 1)</f>
        <v>1</v>
      </c>
      <c r="J133" s="27">
        <f>Source!P78</f>
        <v>423.68</v>
      </c>
      <c r="K133" s="27"/>
    </row>
    <row r="134" spans="1:22" ht="57" x14ac:dyDescent="0.2">
      <c r="A134" s="22" t="str">
        <f>Source!E79</f>
        <v>12,1</v>
      </c>
      <c r="B134" s="23" t="str">
        <f>Source!F79</f>
        <v>21.4-1-6</v>
      </c>
      <c r="C134" s="23" t="str">
        <f>Source!G79</f>
        <v>Деревья декоративные лиственных пород с комом земли, порода: береза, ива, рябина, тополь, черемуха, яблоня, размер кома: 1,7х1,7х0,65 м</v>
      </c>
      <c r="D134" s="24" t="str">
        <f>Source!DW79</f>
        <v>шт.</v>
      </c>
      <c r="E134" s="9">
        <f>Source!I79</f>
        <v>3</v>
      </c>
      <c r="F134" s="26">
        <f>Source!AK79</f>
        <v>11813.67</v>
      </c>
      <c r="G134" s="34" t="s">
        <v>3</v>
      </c>
      <c r="H134" s="9">
        <f>Source!AW79</f>
        <v>1</v>
      </c>
      <c r="I134" s="9">
        <f>IF(Source!BC79&lt;&gt; 0, Source!BC79, 1)</f>
        <v>1</v>
      </c>
      <c r="J134" s="27">
        <f>Source!O79</f>
        <v>35441.01</v>
      </c>
      <c r="K134" s="27"/>
      <c r="Q134">
        <f>ROUND((Source!BZ79/100)*ROUND((Source!AF79*Source!AV79)*Source!I79, 2), 2)</f>
        <v>0</v>
      </c>
      <c r="R134">
        <f>Source!X79</f>
        <v>0</v>
      </c>
      <c r="S134">
        <f>ROUND((Source!CA79/100)*ROUND((Source!AF79*Source!AV79)*Source!I79, 2), 2)</f>
        <v>0</v>
      </c>
      <c r="T134">
        <f>Source!Y79</f>
        <v>0</v>
      </c>
      <c r="U134">
        <f>ROUND((175/100)*ROUND((Source!AE79*Source!AV79)*Source!I79, 2), 2)</f>
        <v>0</v>
      </c>
      <c r="V134">
        <f>ROUND((78/100)*ROUND(Source!CS79*Source!I79, 2), 2)</f>
        <v>0</v>
      </c>
    </row>
    <row r="135" spans="1:22" ht="14.25" x14ac:dyDescent="0.2">
      <c r="A135" s="22"/>
      <c r="B135" s="23"/>
      <c r="C135" s="23" t="s">
        <v>295</v>
      </c>
      <c r="D135" s="24" t="s">
        <v>296</v>
      </c>
      <c r="E135" s="9">
        <f>Source!AT78</f>
        <v>70</v>
      </c>
      <c r="F135" s="26"/>
      <c r="G135" s="25"/>
      <c r="H135" s="9"/>
      <c r="I135" s="9"/>
      <c r="J135" s="27">
        <f>SUM(R128:R134)</f>
        <v>4538.49</v>
      </c>
      <c r="K135" s="27"/>
    </row>
    <row r="136" spans="1:22" ht="14.25" x14ac:dyDescent="0.2">
      <c r="A136" s="22"/>
      <c r="B136" s="23"/>
      <c r="C136" s="23" t="s">
        <v>297</v>
      </c>
      <c r="D136" s="24" t="s">
        <v>296</v>
      </c>
      <c r="E136" s="9">
        <f>78</f>
        <v>78</v>
      </c>
      <c r="F136" s="26"/>
      <c r="G136" s="25"/>
      <c r="H136" s="9"/>
      <c r="I136" s="9"/>
      <c r="J136" s="27">
        <f>SUM(V128:V135)</f>
        <v>330.85</v>
      </c>
      <c r="K136" s="27"/>
    </row>
    <row r="137" spans="1:22" ht="14.25" x14ac:dyDescent="0.2">
      <c r="A137" s="22"/>
      <c r="B137" s="23"/>
      <c r="C137" s="23" t="s">
        <v>298</v>
      </c>
      <c r="D137" s="24" t="s">
        <v>299</v>
      </c>
      <c r="E137" s="9">
        <f>Source!AQ78</f>
        <v>95.56</v>
      </c>
      <c r="F137" s="26"/>
      <c r="G137" s="25" t="str">
        <f>Source!DI78</f>
        <v/>
      </c>
      <c r="H137" s="9">
        <f>Source!AV78</f>
        <v>1</v>
      </c>
      <c r="I137" s="9"/>
      <c r="J137" s="27"/>
      <c r="K137" s="27">
        <f>Source!U78</f>
        <v>28.667999999999999</v>
      </c>
    </row>
    <row r="138" spans="1:22" ht="15" x14ac:dyDescent="0.25">
      <c r="A138" s="32"/>
      <c r="B138" s="32"/>
      <c r="C138" s="32"/>
      <c r="D138" s="32"/>
      <c r="E138" s="32"/>
      <c r="F138" s="32"/>
      <c r="G138" s="32"/>
      <c r="H138" s="32"/>
      <c r="I138" s="69">
        <f>J130+J131+J133+J135+J136+SUM(J134:J134)</f>
        <v>49105.42</v>
      </c>
      <c r="J138" s="69"/>
      <c r="K138" s="33">
        <f>IF(Source!I78&lt;&gt;0, ROUND(I138/Source!I78, 2), 0)</f>
        <v>163684.73000000001</v>
      </c>
      <c r="P138" s="30">
        <f>I138</f>
        <v>49105.42</v>
      </c>
    </row>
    <row r="140" spans="1:22" ht="15" x14ac:dyDescent="0.25">
      <c r="A140" s="73" t="str">
        <f>CONCATENATE("Итого по подразделу: ",IF(Source!G81&lt;&gt;"Новый подраздел", Source!G81, ""))</f>
        <v>Итого по подразделу: Восстановление отпада</v>
      </c>
      <c r="B140" s="73"/>
      <c r="C140" s="73"/>
      <c r="D140" s="73"/>
      <c r="E140" s="73"/>
      <c r="F140" s="73"/>
      <c r="G140" s="73"/>
      <c r="H140" s="73"/>
      <c r="I140" s="71">
        <f>SUM(P102:P139)</f>
        <v>100389.91</v>
      </c>
      <c r="J140" s="72"/>
      <c r="K140" s="35"/>
    </row>
    <row r="143" spans="1:22" ht="16.5" x14ac:dyDescent="0.25">
      <c r="A143" s="70" t="str">
        <f>CONCATENATE("Подраздел: ",IF(Source!G110&lt;&gt;"Новый подраздел", Source!G110, ""))</f>
        <v>Подраздел: Уход за деревьями на видовых центральных территориях</v>
      </c>
      <c r="B143" s="70"/>
      <c r="C143" s="70"/>
      <c r="D143" s="70"/>
      <c r="E143" s="70"/>
      <c r="F143" s="70"/>
      <c r="G143" s="70"/>
      <c r="H143" s="70"/>
      <c r="I143" s="70"/>
      <c r="J143" s="70"/>
      <c r="K143" s="70"/>
    </row>
    <row r="144" spans="1:22" ht="57" x14ac:dyDescent="0.2">
      <c r="A144" s="22" t="str">
        <f>Source!E114</f>
        <v>13</v>
      </c>
      <c r="B144" s="23" t="str">
        <f>Source!F114</f>
        <v>5.4-3405-1-10/1</v>
      </c>
      <c r="C144" s="23" t="str">
        <f>Source!G114</f>
        <v>Уход за деревьями или кустарниками с комом земли в течение года после посадки (комплексные расценки) - ком размером 1,7х1,7х0,65 м</v>
      </c>
      <c r="D144" s="24" t="str">
        <f>Source!DW114</f>
        <v>10 шт.</v>
      </c>
      <c r="E144" s="9">
        <f>Source!I114</f>
        <v>4.9000000000000004</v>
      </c>
      <c r="F144" s="26"/>
      <c r="G144" s="25"/>
      <c r="H144" s="9"/>
      <c r="I144" s="9"/>
      <c r="J144" s="27"/>
      <c r="K144" s="27"/>
      <c r="Q144">
        <f>ROUND((Source!BZ114/100)*ROUND((Source!AF114*Source!AV114)*Source!I114, 2), 2)</f>
        <v>55813.03</v>
      </c>
      <c r="R144">
        <f>Source!X114</f>
        <v>55813.03</v>
      </c>
      <c r="S144">
        <f>ROUND((Source!CA114/100)*ROUND((Source!AF114*Source!AV114)*Source!I114, 2), 2)</f>
        <v>0</v>
      </c>
      <c r="T144">
        <f>Source!Y114</f>
        <v>0</v>
      </c>
      <c r="U144">
        <f>ROUND((175/100)*ROUND((Source!AE114*Source!AV114)*Source!I114, 2), 2)</f>
        <v>38393.360000000001</v>
      </c>
      <c r="V144">
        <f>ROUND((78/100)*ROUND(Source!CS114*Source!I114, 2), 2)</f>
        <v>17112.47</v>
      </c>
    </row>
    <row r="145" spans="1:22" x14ac:dyDescent="0.2">
      <c r="C145" s="28" t="str">
        <f>"Объем: "&amp;Source!I114&amp;"=49/"&amp;"10"</f>
        <v>Объем: 4,9=49/10</v>
      </c>
    </row>
    <row r="146" spans="1:22" ht="14.25" x14ac:dyDescent="0.2">
      <c r="A146" s="22"/>
      <c r="B146" s="23"/>
      <c r="C146" s="23" t="s">
        <v>291</v>
      </c>
      <c r="D146" s="24"/>
      <c r="E146" s="9"/>
      <c r="F146" s="26">
        <f>Source!AO114</f>
        <v>16272.02</v>
      </c>
      <c r="G146" s="25" t="str">
        <f>Source!DG114</f>
        <v/>
      </c>
      <c r="H146" s="9">
        <f>Source!AV114</f>
        <v>1</v>
      </c>
      <c r="I146" s="9">
        <f>IF(Source!BA114&lt;&gt; 0, Source!BA114, 1)</f>
        <v>1</v>
      </c>
      <c r="J146" s="27">
        <f>Source!S114</f>
        <v>79732.899999999994</v>
      </c>
      <c r="K146" s="27"/>
    </row>
    <row r="147" spans="1:22" ht="14.25" x14ac:dyDescent="0.2">
      <c r="A147" s="22"/>
      <c r="B147" s="23"/>
      <c r="C147" s="23" t="s">
        <v>292</v>
      </c>
      <c r="D147" s="24"/>
      <c r="E147" s="9"/>
      <c r="F147" s="26">
        <f>Source!AM114</f>
        <v>19927.080000000002</v>
      </c>
      <c r="G147" s="25" t="str">
        <f>Source!DE114</f>
        <v/>
      </c>
      <c r="H147" s="9">
        <f>Source!AV114</f>
        <v>1</v>
      </c>
      <c r="I147" s="9">
        <f>IF(Source!BB114&lt;&gt; 0, Source!BB114, 1)</f>
        <v>1</v>
      </c>
      <c r="J147" s="27">
        <f>Source!Q114</f>
        <v>97642.69</v>
      </c>
      <c r="K147" s="27"/>
    </row>
    <row r="148" spans="1:22" ht="14.25" x14ac:dyDescent="0.2">
      <c r="A148" s="22"/>
      <c r="B148" s="23"/>
      <c r="C148" s="23" t="s">
        <v>293</v>
      </c>
      <c r="D148" s="24"/>
      <c r="E148" s="9"/>
      <c r="F148" s="26">
        <f>Source!AN114</f>
        <v>4477.3599999999997</v>
      </c>
      <c r="G148" s="25" t="str">
        <f>Source!DF114</f>
        <v/>
      </c>
      <c r="H148" s="9">
        <f>Source!AV114</f>
        <v>1</v>
      </c>
      <c r="I148" s="9">
        <f>IF(Source!BS114&lt;&gt; 0, Source!BS114, 1)</f>
        <v>1</v>
      </c>
      <c r="J148" s="29">
        <f>Source!R114</f>
        <v>21939.06</v>
      </c>
      <c r="K148" s="27"/>
    </row>
    <row r="149" spans="1:22" ht="14.25" x14ac:dyDescent="0.2">
      <c r="A149" s="22"/>
      <c r="B149" s="23"/>
      <c r="C149" s="23" t="s">
        <v>294</v>
      </c>
      <c r="D149" s="24"/>
      <c r="E149" s="9"/>
      <c r="F149" s="26">
        <f>Source!AL114</f>
        <v>1262.17</v>
      </c>
      <c r="G149" s="25" t="str">
        <f>Source!DD114</f>
        <v/>
      </c>
      <c r="H149" s="9">
        <f>Source!AW114</f>
        <v>1</v>
      </c>
      <c r="I149" s="9">
        <f>IF(Source!BC114&lt;&gt; 0, Source!BC114, 1)</f>
        <v>1</v>
      </c>
      <c r="J149" s="27">
        <f>Source!P114</f>
        <v>6184.63</v>
      </c>
      <c r="K149" s="27"/>
    </row>
    <row r="150" spans="1:22" ht="14.25" x14ac:dyDescent="0.2">
      <c r="A150" s="22"/>
      <c r="B150" s="23"/>
      <c r="C150" s="23" t="s">
        <v>295</v>
      </c>
      <c r="D150" s="24" t="s">
        <v>296</v>
      </c>
      <c r="E150" s="9">
        <f>Source!AT114</f>
        <v>70</v>
      </c>
      <c r="F150" s="26"/>
      <c r="G150" s="25"/>
      <c r="H150" s="9"/>
      <c r="I150" s="9"/>
      <c r="J150" s="27">
        <f>SUM(R144:R149)</f>
        <v>55813.03</v>
      </c>
      <c r="K150" s="27"/>
    </row>
    <row r="151" spans="1:22" ht="14.25" x14ac:dyDescent="0.2">
      <c r="A151" s="22"/>
      <c r="B151" s="23"/>
      <c r="C151" s="23" t="s">
        <v>297</v>
      </c>
      <c r="D151" s="24" t="s">
        <v>296</v>
      </c>
      <c r="E151" s="9">
        <f>78</f>
        <v>78</v>
      </c>
      <c r="F151" s="26"/>
      <c r="G151" s="25"/>
      <c r="H151" s="9"/>
      <c r="I151" s="9"/>
      <c r="J151" s="27">
        <f>SUM(V144:V150)</f>
        <v>17112.47</v>
      </c>
      <c r="K151" s="27"/>
    </row>
    <row r="152" spans="1:22" ht="14.25" x14ac:dyDescent="0.2">
      <c r="A152" s="22"/>
      <c r="B152" s="23"/>
      <c r="C152" s="23" t="s">
        <v>298</v>
      </c>
      <c r="D152" s="24" t="s">
        <v>299</v>
      </c>
      <c r="E152" s="9">
        <f>Source!AQ114</f>
        <v>89.24</v>
      </c>
      <c r="F152" s="26"/>
      <c r="G152" s="25" t="str">
        <f>Source!DI114</f>
        <v/>
      </c>
      <c r="H152" s="9">
        <f>Source!AV114</f>
        <v>1</v>
      </c>
      <c r="I152" s="9"/>
      <c r="J152" s="27"/>
      <c r="K152" s="27">
        <f>Source!U114</f>
        <v>437.27600000000001</v>
      </c>
    </row>
    <row r="153" spans="1:22" ht="15" x14ac:dyDescent="0.25">
      <c r="A153" s="32"/>
      <c r="B153" s="32"/>
      <c r="C153" s="32"/>
      <c r="D153" s="32"/>
      <c r="E153" s="32"/>
      <c r="F153" s="32"/>
      <c r="G153" s="32"/>
      <c r="H153" s="32"/>
      <c r="I153" s="69">
        <f>J146+J147+J149+J150+J151</f>
        <v>256485.72</v>
      </c>
      <c r="J153" s="69"/>
      <c r="K153" s="33">
        <f>IF(Source!I114&lt;&gt;0, ROUND(I153/Source!I114, 2), 0)</f>
        <v>52344.02</v>
      </c>
      <c r="P153" s="30">
        <f>I153</f>
        <v>256485.72</v>
      </c>
    </row>
    <row r="154" spans="1:22" ht="57" x14ac:dyDescent="0.2">
      <c r="A154" s="22" t="str">
        <f>Source!E115</f>
        <v>14</v>
      </c>
      <c r="B154" s="23" t="str">
        <f>Source!F115</f>
        <v>5.4-3103-20-3/1</v>
      </c>
      <c r="C154" s="23" t="str">
        <f>Source!G115</f>
        <v>Внесение минеральных удобрений при посадке деревьев и кустарников для стандартных саженцев 1,88*49ям=92,12м3</v>
      </c>
      <c r="D154" s="24" t="str">
        <f>Source!DW115</f>
        <v>10 м3 ям</v>
      </c>
      <c r="E154" s="9">
        <f>Source!I115</f>
        <v>9.2119999999999997</v>
      </c>
      <c r="F154" s="26"/>
      <c r="G154" s="25"/>
      <c r="H154" s="9"/>
      <c r="I154" s="9"/>
      <c r="J154" s="27"/>
      <c r="K154" s="27"/>
      <c r="Q154">
        <f>ROUND((Source!BZ115/100)*ROUND((Source!AF115*Source!AV115)*Source!I115, 2), 2)</f>
        <v>20967.23</v>
      </c>
      <c r="R154">
        <f>Source!X115</f>
        <v>20967.23</v>
      </c>
      <c r="S154">
        <f>ROUND((Source!CA115/100)*ROUND((Source!AF115*Source!AV115)*Source!I115, 2), 2)</f>
        <v>0</v>
      </c>
      <c r="T154">
        <f>Source!Y115</f>
        <v>0</v>
      </c>
      <c r="U154">
        <f>ROUND((175/100)*ROUND((Source!AE115*Source!AV115)*Source!I115, 2), 2)</f>
        <v>0</v>
      </c>
      <c r="V154">
        <f>ROUND((78/100)*ROUND(Source!CS115*Source!I115, 2), 2)</f>
        <v>0</v>
      </c>
    </row>
    <row r="155" spans="1:22" x14ac:dyDescent="0.2">
      <c r="C155" s="28" t="str">
        <f>"Объем: "&amp;Source!I115&amp;"=92,12/"&amp;"10"</f>
        <v>Объем: 9,212=92,12/10</v>
      </c>
    </row>
    <row r="156" spans="1:22" ht="14.25" x14ac:dyDescent="0.2">
      <c r="A156" s="22"/>
      <c r="B156" s="23"/>
      <c r="C156" s="23" t="s">
        <v>291</v>
      </c>
      <c r="D156" s="24"/>
      <c r="E156" s="9"/>
      <c r="F156" s="26">
        <f>Source!AO115</f>
        <v>3251.54</v>
      </c>
      <c r="G156" s="25" t="str">
        <f>Source!DG115</f>
        <v/>
      </c>
      <c r="H156" s="9">
        <f>Source!AV115</f>
        <v>1</v>
      </c>
      <c r="I156" s="9">
        <f>IF(Source!BA115&lt;&gt; 0, Source!BA115, 1)</f>
        <v>1</v>
      </c>
      <c r="J156" s="27">
        <f>Source!S115</f>
        <v>29953.19</v>
      </c>
      <c r="K156" s="27"/>
    </row>
    <row r="157" spans="1:22" ht="14.25" x14ac:dyDescent="0.2">
      <c r="A157" s="22"/>
      <c r="B157" s="23"/>
      <c r="C157" s="23" t="s">
        <v>294</v>
      </c>
      <c r="D157" s="24"/>
      <c r="E157" s="9"/>
      <c r="F157" s="26">
        <f>Source!AL115</f>
        <v>4313.78</v>
      </c>
      <c r="G157" s="25" t="str">
        <f>Source!DD115</f>
        <v/>
      </c>
      <c r="H157" s="9">
        <f>Source!AW115</f>
        <v>1</v>
      </c>
      <c r="I157" s="9">
        <f>IF(Source!BC115&lt;&gt; 0, Source!BC115, 1)</f>
        <v>1</v>
      </c>
      <c r="J157" s="27">
        <f>Source!P115</f>
        <v>39738.54</v>
      </c>
      <c r="K157" s="27"/>
    </row>
    <row r="158" spans="1:22" ht="14.25" x14ac:dyDescent="0.2">
      <c r="A158" s="22"/>
      <c r="B158" s="23"/>
      <c r="C158" s="23" t="s">
        <v>295</v>
      </c>
      <c r="D158" s="24" t="s">
        <v>296</v>
      </c>
      <c r="E158" s="9">
        <f>Source!AT115</f>
        <v>70</v>
      </c>
      <c r="F158" s="26"/>
      <c r="G158" s="25"/>
      <c r="H158" s="9"/>
      <c r="I158" s="9"/>
      <c r="J158" s="27">
        <f>SUM(R154:R157)</f>
        <v>20967.23</v>
      </c>
      <c r="K158" s="27"/>
    </row>
    <row r="159" spans="1:22" ht="14.25" x14ac:dyDescent="0.2">
      <c r="A159" s="22"/>
      <c r="B159" s="23"/>
      <c r="C159" s="23" t="s">
        <v>298</v>
      </c>
      <c r="D159" s="24" t="s">
        <v>299</v>
      </c>
      <c r="E159" s="9">
        <f>Source!AQ115</f>
        <v>18.89</v>
      </c>
      <c r="F159" s="26"/>
      <c r="G159" s="25" t="str">
        <f>Source!DI115</f>
        <v/>
      </c>
      <c r="H159" s="9">
        <f>Source!AV115</f>
        <v>1</v>
      </c>
      <c r="I159" s="9"/>
      <c r="J159" s="27"/>
      <c r="K159" s="27">
        <f>Source!U115</f>
        <v>174.01468</v>
      </c>
    </row>
    <row r="160" spans="1:22" ht="15" x14ac:dyDescent="0.25">
      <c r="A160" s="32"/>
      <c r="B160" s="32"/>
      <c r="C160" s="32"/>
      <c r="D160" s="32"/>
      <c r="E160" s="32"/>
      <c r="F160" s="32"/>
      <c r="G160" s="32"/>
      <c r="H160" s="32"/>
      <c r="I160" s="69">
        <f>J156+J157+J158</f>
        <v>90658.959999999992</v>
      </c>
      <c r="J160" s="69"/>
      <c r="K160" s="33">
        <f>IF(Source!I115&lt;&gt;0, ROUND(I160/Source!I115, 2), 0)</f>
        <v>9841.4</v>
      </c>
      <c r="P160" s="30">
        <f>I160</f>
        <v>90658.959999999992</v>
      </c>
    </row>
    <row r="162" spans="1:32" ht="15" x14ac:dyDescent="0.25">
      <c r="A162" s="73" t="str">
        <f>CONCATENATE("Итого по подразделу: ",IF(Source!G117&lt;&gt;"Новый подраздел", Source!G117, ""))</f>
        <v>Итого по подразделу: Уход за деревьями на видовых центральных территориях</v>
      </c>
      <c r="B162" s="73"/>
      <c r="C162" s="73"/>
      <c r="D162" s="73"/>
      <c r="E162" s="73"/>
      <c r="F162" s="73"/>
      <c r="G162" s="73"/>
      <c r="H162" s="73"/>
      <c r="I162" s="71">
        <f>SUM(P143:P161)</f>
        <v>347144.68</v>
      </c>
      <c r="J162" s="72"/>
      <c r="K162" s="35"/>
    </row>
    <row r="165" spans="1:32" ht="30" x14ac:dyDescent="0.25">
      <c r="A165" s="73" t="str">
        <f>CONCATENATE("Итого по разделу: ",IF(Source!G146&lt;&gt;"Новый раздел", Source!G146, ""))</f>
        <v>Итого по разделу: Посадка деревьев V группы (на видовых территориях - центральная часть города, административных округов); ком. 1,7*1,7*0,65; 100% замена земли</v>
      </c>
      <c r="B165" s="73"/>
      <c r="C165" s="73"/>
      <c r="D165" s="73"/>
      <c r="E165" s="73"/>
      <c r="F165" s="73"/>
      <c r="G165" s="73"/>
      <c r="H165" s="73"/>
      <c r="I165" s="71">
        <f>SUM(P34:P164)</f>
        <v>2549454.1099999994</v>
      </c>
      <c r="J165" s="72"/>
      <c r="K165" s="35"/>
      <c r="AF165" s="36" t="str">
        <f>CONCATENATE("Итого по разделу: ",IF(Source!G146&lt;&gt;"Новый раздел", Source!G146, ""))</f>
        <v>Итого по разделу: Посадка деревьев V группы (на видовых территориях - центральная часть города, административных округов); ком. 1,7*1,7*0,65; 100% замена земли</v>
      </c>
    </row>
    <row r="168" spans="1:32" ht="16.5" x14ac:dyDescent="0.25">
      <c r="A168" s="70" t="str">
        <f>CONCATENATE("Раздел: ",IF(Source!G175&lt;&gt;"Новый раздел", Source!G175, ""))</f>
        <v>Раздел: Посадка на внутридворовых территориях деревьев IV группы, ком 1,3*1,3*0,6, 75% замена земли</v>
      </c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AE168" s="21" t="str">
        <f>CONCATENATE("Раздел: ",IF(Source!G175&lt;&gt;"Новый раздел", Source!G175, ""))</f>
        <v>Раздел: Посадка на внутридворовых территориях деревьев IV группы, ком 1,3*1,3*0,6, 75% замена земли</v>
      </c>
    </row>
    <row r="170" spans="1:32" ht="16.5" x14ac:dyDescent="0.25">
      <c r="A170" s="70" t="str">
        <f>CONCATENATE("Подраздел: ",IF(Source!G179&lt;&gt;"Новый подраздел", Source!G179, ""))</f>
        <v>Подраздел: Посадка деревьев 120 шт</v>
      </c>
      <c r="B170" s="70"/>
      <c r="C170" s="70"/>
      <c r="D170" s="70"/>
      <c r="E170" s="70"/>
      <c r="F170" s="70"/>
      <c r="G170" s="70"/>
      <c r="H170" s="70"/>
      <c r="I170" s="70"/>
      <c r="J170" s="70"/>
      <c r="K170" s="70"/>
    </row>
    <row r="171" spans="1:32" ht="99.75" x14ac:dyDescent="0.2">
      <c r="A171" s="22" t="str">
        <f>Source!E183</f>
        <v>15</v>
      </c>
      <c r="B171" s="23" t="str">
        <f>Source!F183</f>
        <v>5.4-3103-2-18/1</v>
      </c>
      <c r="C171" s="23" t="str">
        <f>Source!G183</f>
        <v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50% 120х0,75=90 ям</v>
      </c>
      <c r="D171" s="24" t="str">
        <f>Source!DW183</f>
        <v>10 ям</v>
      </c>
      <c r="E171" s="9">
        <f>Source!I183</f>
        <v>9</v>
      </c>
      <c r="F171" s="26"/>
      <c r="G171" s="25"/>
      <c r="H171" s="9"/>
      <c r="I171" s="9"/>
      <c r="J171" s="27"/>
      <c r="K171" s="27"/>
      <c r="Q171">
        <f>ROUND((Source!BZ183/100)*ROUND((Source!AF183*Source!AV183)*Source!I183, 2), 2)</f>
        <v>52728.23</v>
      </c>
      <c r="R171">
        <f>Source!X183</f>
        <v>52728.23</v>
      </c>
      <c r="S171">
        <f>ROUND((Source!CA183/100)*ROUND((Source!AF183*Source!AV183)*Source!I183, 2), 2)</f>
        <v>0</v>
      </c>
      <c r="T171">
        <f>Source!Y183</f>
        <v>0</v>
      </c>
      <c r="U171">
        <f>ROUND((175/100)*ROUND((Source!AE183*Source!AV183)*Source!I183, 2), 2)</f>
        <v>13578.71</v>
      </c>
      <c r="V171">
        <f>ROUND((78/100)*ROUND(Source!CS183*Source!I183, 2), 2)</f>
        <v>6052.22</v>
      </c>
    </row>
    <row r="172" spans="1:32" x14ac:dyDescent="0.2">
      <c r="C172" s="28" t="str">
        <f>"Объем: "&amp;Source!I183&amp;"=90/"&amp;"10"</f>
        <v>Объем: 9=90/10</v>
      </c>
    </row>
    <row r="173" spans="1:32" ht="14.25" x14ac:dyDescent="0.2">
      <c r="A173" s="22"/>
      <c r="B173" s="23"/>
      <c r="C173" s="23" t="s">
        <v>291</v>
      </c>
      <c r="D173" s="24"/>
      <c r="E173" s="9"/>
      <c r="F173" s="26">
        <f>Source!AO183</f>
        <v>8369.56</v>
      </c>
      <c r="G173" s="25" t="str">
        <f>Source!DG183</f>
        <v/>
      </c>
      <c r="H173" s="9">
        <f>Source!AV183</f>
        <v>1</v>
      </c>
      <c r="I173" s="9">
        <f>IF(Source!BA183&lt;&gt; 0, Source!BA183, 1)</f>
        <v>1</v>
      </c>
      <c r="J173" s="27">
        <f>Source!S183</f>
        <v>75326.039999999994</v>
      </c>
      <c r="K173" s="27"/>
    </row>
    <row r="174" spans="1:32" ht="14.25" x14ac:dyDescent="0.2">
      <c r="A174" s="22"/>
      <c r="B174" s="23"/>
      <c r="C174" s="23" t="s">
        <v>292</v>
      </c>
      <c r="D174" s="24"/>
      <c r="E174" s="9"/>
      <c r="F174" s="26">
        <f>Source!AM183</f>
        <v>1575.5</v>
      </c>
      <c r="G174" s="25" t="str">
        <f>Source!DE183</f>
        <v/>
      </c>
      <c r="H174" s="9">
        <f>Source!AV183</f>
        <v>1</v>
      </c>
      <c r="I174" s="9">
        <f>IF(Source!BB183&lt;&gt; 0, Source!BB183, 1)</f>
        <v>1</v>
      </c>
      <c r="J174" s="27">
        <f>Source!Q183</f>
        <v>14179.5</v>
      </c>
      <c r="K174" s="27"/>
    </row>
    <row r="175" spans="1:32" ht="14.25" x14ac:dyDescent="0.2">
      <c r="A175" s="22"/>
      <c r="B175" s="23"/>
      <c r="C175" s="23" t="s">
        <v>293</v>
      </c>
      <c r="D175" s="24"/>
      <c r="E175" s="9"/>
      <c r="F175" s="26">
        <f>Source!AN183</f>
        <v>862.14</v>
      </c>
      <c r="G175" s="25" t="str">
        <f>Source!DF183</f>
        <v/>
      </c>
      <c r="H175" s="9">
        <f>Source!AV183</f>
        <v>1</v>
      </c>
      <c r="I175" s="9">
        <f>IF(Source!BS183&lt;&gt; 0, Source!BS183, 1)</f>
        <v>1</v>
      </c>
      <c r="J175" s="29">
        <f>Source!R183</f>
        <v>7759.26</v>
      </c>
      <c r="K175" s="27"/>
    </row>
    <row r="176" spans="1:32" ht="14.25" x14ac:dyDescent="0.2">
      <c r="A176" s="22"/>
      <c r="B176" s="23"/>
      <c r="C176" s="23" t="s">
        <v>294</v>
      </c>
      <c r="D176" s="24"/>
      <c r="E176" s="9"/>
      <c r="F176" s="26">
        <f>Source!AL183</f>
        <v>11886.65</v>
      </c>
      <c r="G176" s="25" t="str">
        <f>Source!DD183</f>
        <v/>
      </c>
      <c r="H176" s="9">
        <f>Source!AW183</f>
        <v>1</v>
      </c>
      <c r="I176" s="9">
        <f>IF(Source!BC183&lt;&gt; 0, Source!BC183, 1)</f>
        <v>1</v>
      </c>
      <c r="J176" s="27">
        <f>Source!P183</f>
        <v>106979.85</v>
      </c>
      <c r="K176" s="27"/>
    </row>
    <row r="177" spans="1:22" ht="14.25" x14ac:dyDescent="0.2">
      <c r="A177" s="22"/>
      <c r="B177" s="23"/>
      <c r="C177" s="23" t="s">
        <v>295</v>
      </c>
      <c r="D177" s="24" t="s">
        <v>296</v>
      </c>
      <c r="E177" s="9">
        <f>Source!AT183</f>
        <v>70</v>
      </c>
      <c r="F177" s="26"/>
      <c r="G177" s="25"/>
      <c r="H177" s="9"/>
      <c r="I177" s="9"/>
      <c r="J177" s="27">
        <f>SUM(R171:R176)</f>
        <v>52728.23</v>
      </c>
      <c r="K177" s="27"/>
    </row>
    <row r="178" spans="1:22" ht="14.25" x14ac:dyDescent="0.2">
      <c r="A178" s="22"/>
      <c r="B178" s="23"/>
      <c r="C178" s="23" t="s">
        <v>297</v>
      </c>
      <c r="D178" s="24" t="s">
        <v>296</v>
      </c>
      <c r="E178" s="9">
        <f>78</f>
        <v>78</v>
      </c>
      <c r="F178" s="26"/>
      <c r="G178" s="25"/>
      <c r="H178" s="9"/>
      <c r="I178" s="9"/>
      <c r="J178" s="27">
        <f>SUM(V171:V177)</f>
        <v>6052.22</v>
      </c>
      <c r="K178" s="27"/>
    </row>
    <row r="179" spans="1:22" ht="14.25" x14ac:dyDescent="0.2">
      <c r="A179" s="22"/>
      <c r="B179" s="23"/>
      <c r="C179" s="23" t="s">
        <v>298</v>
      </c>
      <c r="D179" s="24" t="s">
        <v>299</v>
      </c>
      <c r="E179" s="9">
        <f>Source!AQ183</f>
        <v>51.93</v>
      </c>
      <c r="F179" s="26"/>
      <c r="G179" s="25" t="str">
        <f>Source!DI183</f>
        <v/>
      </c>
      <c r="H179" s="9">
        <f>Source!AV183</f>
        <v>1</v>
      </c>
      <c r="I179" s="9"/>
      <c r="J179" s="27"/>
      <c r="K179" s="27">
        <f>Source!U183</f>
        <v>467.37</v>
      </c>
    </row>
    <row r="180" spans="1:22" ht="15" x14ac:dyDescent="0.25">
      <c r="A180" s="32"/>
      <c r="B180" s="32"/>
      <c r="C180" s="32"/>
      <c r="D180" s="32"/>
      <c r="E180" s="32"/>
      <c r="F180" s="32"/>
      <c r="G180" s="32"/>
      <c r="H180" s="32"/>
      <c r="I180" s="69">
        <f>J173+J174+J176+J177+J178</f>
        <v>255265.84000000003</v>
      </c>
      <c r="J180" s="69"/>
      <c r="K180" s="33">
        <f>IF(Source!I183&lt;&gt;0, ROUND(I180/Source!I183, 2), 0)</f>
        <v>28362.87</v>
      </c>
      <c r="P180" s="30">
        <f>I180</f>
        <v>255265.84000000003</v>
      </c>
    </row>
    <row r="181" spans="1:22" ht="71.25" x14ac:dyDescent="0.2">
      <c r="A181" s="22" t="str">
        <f>Source!E184</f>
        <v>16</v>
      </c>
      <c r="B181" s="23" t="str">
        <f>Source!F184</f>
        <v>5.4-3103-4-17/1</v>
      </c>
      <c r="C181" s="23" t="str">
        <f>Source!G184</f>
        <v>Подготовка стандартных посадочных мест вручную с квадратным комом земли размером 1,3х1,3х0,6 м с добавлением растительной земли до 25% 120х0,25=30 ям</v>
      </c>
      <c r="D181" s="24" t="str">
        <f>Source!DW184</f>
        <v>10 ям</v>
      </c>
      <c r="E181" s="9">
        <f>Source!I184</f>
        <v>3</v>
      </c>
      <c r="F181" s="26"/>
      <c r="G181" s="25"/>
      <c r="H181" s="9"/>
      <c r="I181" s="9"/>
      <c r="J181" s="27"/>
      <c r="K181" s="27"/>
      <c r="Q181">
        <f>ROUND((Source!BZ184/100)*ROUND((Source!AF184*Source!AV184)*Source!I184, 2), 2)</f>
        <v>28762.400000000001</v>
      </c>
      <c r="R181">
        <f>Source!X184</f>
        <v>28762.400000000001</v>
      </c>
      <c r="S181">
        <f>ROUND((Source!CA184/100)*ROUND((Source!AF184*Source!AV184)*Source!I184, 2), 2)</f>
        <v>0</v>
      </c>
      <c r="T181">
        <f>Source!Y184</f>
        <v>0</v>
      </c>
      <c r="U181">
        <f>ROUND((175/100)*ROUND((Source!AE184*Source!AV184)*Source!I184, 2), 2)</f>
        <v>0</v>
      </c>
      <c r="V181">
        <f>ROUND((78/100)*ROUND(Source!CS184*Source!I184, 2), 2)</f>
        <v>0</v>
      </c>
    </row>
    <row r="182" spans="1:22" x14ac:dyDescent="0.2">
      <c r="C182" s="28" t="str">
        <f>"Объем: "&amp;Source!I184&amp;"=30/"&amp;"10"</f>
        <v>Объем: 3=30/10</v>
      </c>
    </row>
    <row r="183" spans="1:22" ht="14.25" x14ac:dyDescent="0.2">
      <c r="A183" s="22"/>
      <c r="B183" s="23"/>
      <c r="C183" s="23" t="s">
        <v>291</v>
      </c>
      <c r="D183" s="24"/>
      <c r="E183" s="9"/>
      <c r="F183" s="26">
        <f>Source!AO184</f>
        <v>13696.38</v>
      </c>
      <c r="G183" s="25" t="str">
        <f>Source!DG184</f>
        <v/>
      </c>
      <c r="H183" s="9">
        <f>Source!AV184</f>
        <v>1</v>
      </c>
      <c r="I183" s="9">
        <f>IF(Source!BA184&lt;&gt; 0, Source!BA184, 1)</f>
        <v>1</v>
      </c>
      <c r="J183" s="27">
        <f>Source!S184</f>
        <v>41089.14</v>
      </c>
      <c r="K183" s="27"/>
    </row>
    <row r="184" spans="1:22" ht="14.25" x14ac:dyDescent="0.2">
      <c r="A184" s="22"/>
      <c r="B184" s="23"/>
      <c r="C184" s="23" t="s">
        <v>294</v>
      </c>
      <c r="D184" s="24"/>
      <c r="E184" s="9"/>
      <c r="F184" s="26">
        <f>Source!AL184</f>
        <v>5950.86</v>
      </c>
      <c r="G184" s="25" t="str">
        <f>Source!DD184</f>
        <v/>
      </c>
      <c r="H184" s="9">
        <f>Source!AW184</f>
        <v>1</v>
      </c>
      <c r="I184" s="9">
        <f>IF(Source!BC184&lt;&gt; 0, Source!BC184, 1)</f>
        <v>1</v>
      </c>
      <c r="J184" s="27">
        <f>Source!P184</f>
        <v>17852.580000000002</v>
      </c>
      <c r="K184" s="27"/>
    </row>
    <row r="185" spans="1:22" ht="14.25" x14ac:dyDescent="0.2">
      <c r="A185" s="22"/>
      <c r="B185" s="23"/>
      <c r="C185" s="23" t="s">
        <v>295</v>
      </c>
      <c r="D185" s="24" t="s">
        <v>296</v>
      </c>
      <c r="E185" s="9">
        <f>Source!AT184</f>
        <v>70</v>
      </c>
      <c r="F185" s="26"/>
      <c r="G185" s="25"/>
      <c r="H185" s="9"/>
      <c r="I185" s="9"/>
      <c r="J185" s="27">
        <f>SUM(R181:R184)</f>
        <v>28762.400000000001</v>
      </c>
      <c r="K185" s="27"/>
    </row>
    <row r="186" spans="1:22" ht="14.25" x14ac:dyDescent="0.2">
      <c r="A186" s="22"/>
      <c r="B186" s="23"/>
      <c r="C186" s="23" t="s">
        <v>298</v>
      </c>
      <c r="D186" s="24" t="s">
        <v>299</v>
      </c>
      <c r="E186" s="9">
        <f>Source!AQ184</f>
        <v>79.569999999999993</v>
      </c>
      <c r="F186" s="26"/>
      <c r="G186" s="25" t="str">
        <f>Source!DI184</f>
        <v/>
      </c>
      <c r="H186" s="9">
        <f>Source!AV184</f>
        <v>1</v>
      </c>
      <c r="I186" s="9"/>
      <c r="J186" s="27"/>
      <c r="K186" s="27">
        <f>Source!U184</f>
        <v>238.70999999999998</v>
      </c>
    </row>
    <row r="187" spans="1:22" ht="15" x14ac:dyDescent="0.25">
      <c r="A187" s="32"/>
      <c r="B187" s="32"/>
      <c r="C187" s="32"/>
      <c r="D187" s="32"/>
      <c r="E187" s="32"/>
      <c r="F187" s="32"/>
      <c r="G187" s="32"/>
      <c r="H187" s="32"/>
      <c r="I187" s="69">
        <f>J183+J184+J185</f>
        <v>87704.12</v>
      </c>
      <c r="J187" s="69"/>
      <c r="K187" s="33">
        <f>IF(Source!I184&lt;&gt;0, ROUND(I187/Source!I184, 2), 0)</f>
        <v>29234.71</v>
      </c>
      <c r="P187" s="30">
        <f>I187</f>
        <v>87704.12</v>
      </c>
    </row>
    <row r="188" spans="1:22" ht="42.75" x14ac:dyDescent="0.2">
      <c r="A188" s="22" t="str">
        <f>Source!E185</f>
        <v>17</v>
      </c>
      <c r="B188" s="23" t="str">
        <f>Source!F185</f>
        <v>1.1-3101-6-1/1</v>
      </c>
      <c r="C188" s="23" t="str">
        <f>Source!G185</f>
        <v>Погрузка грунта вручную в автомобили-самосвалы с выгрузкой (4,11-1,01)=3,1х120ямх0,25=93м3</v>
      </c>
      <c r="D188" s="24" t="str">
        <f>Source!DW185</f>
        <v>100 м3</v>
      </c>
      <c r="E188" s="9">
        <f>Source!I185</f>
        <v>0.93</v>
      </c>
      <c r="F188" s="26"/>
      <c r="G188" s="25"/>
      <c r="H188" s="9"/>
      <c r="I188" s="9"/>
      <c r="J188" s="27"/>
      <c r="K188" s="27"/>
      <c r="Q188">
        <f>ROUND((Source!BZ185/100)*ROUND((Source!AF185*Source!AV185)*Source!I185, 2), 2)</f>
        <v>6932.44</v>
      </c>
      <c r="R188">
        <f>Source!X185</f>
        <v>6932.44</v>
      </c>
      <c r="S188">
        <f>ROUND((Source!CA185/100)*ROUND((Source!AF185*Source!AV185)*Source!I185, 2), 2)</f>
        <v>0</v>
      </c>
      <c r="T188">
        <f>Source!Y185</f>
        <v>0</v>
      </c>
      <c r="U188">
        <f>ROUND((175/100)*ROUND((Source!AE185*Source!AV185)*Source!I185, 2), 2)</f>
        <v>0</v>
      </c>
      <c r="V188">
        <f>ROUND((78/100)*ROUND(Source!CS185*Source!I185, 2), 2)</f>
        <v>0</v>
      </c>
    </row>
    <row r="189" spans="1:22" x14ac:dyDescent="0.2">
      <c r="C189" s="28" t="str">
        <f>"Объем: "&amp;Source!I185&amp;"=93/"&amp;"100"</f>
        <v>Объем: 0,93=93/100</v>
      </c>
    </row>
    <row r="190" spans="1:22" ht="14.25" x14ac:dyDescent="0.2">
      <c r="A190" s="22"/>
      <c r="B190" s="23"/>
      <c r="C190" s="23" t="s">
        <v>291</v>
      </c>
      <c r="D190" s="24"/>
      <c r="E190" s="9"/>
      <c r="F190" s="26">
        <f>Source!AO185</f>
        <v>10648.9</v>
      </c>
      <c r="G190" s="25" t="str">
        <f>Source!DG185</f>
        <v/>
      </c>
      <c r="H190" s="9">
        <f>Source!AV185</f>
        <v>1</v>
      </c>
      <c r="I190" s="9">
        <f>IF(Source!BA185&lt;&gt; 0, Source!BA185, 1)</f>
        <v>1</v>
      </c>
      <c r="J190" s="27">
        <f>Source!S185</f>
        <v>9903.48</v>
      </c>
      <c r="K190" s="27"/>
    </row>
    <row r="191" spans="1:22" ht="14.25" x14ac:dyDescent="0.2">
      <c r="A191" s="22"/>
      <c r="B191" s="23"/>
      <c r="C191" s="23" t="s">
        <v>295</v>
      </c>
      <c r="D191" s="24" t="s">
        <v>296</v>
      </c>
      <c r="E191" s="9">
        <f>Source!AT185</f>
        <v>70</v>
      </c>
      <c r="F191" s="26"/>
      <c r="G191" s="25"/>
      <c r="H191" s="9"/>
      <c r="I191" s="9"/>
      <c r="J191" s="27">
        <f>SUM(R188:R190)</f>
        <v>6932.44</v>
      </c>
      <c r="K191" s="27"/>
    </row>
    <row r="192" spans="1:22" ht="14.25" x14ac:dyDescent="0.2">
      <c r="A192" s="22"/>
      <c r="B192" s="23"/>
      <c r="C192" s="23" t="s">
        <v>298</v>
      </c>
      <c r="D192" s="24" t="s">
        <v>299</v>
      </c>
      <c r="E192" s="9">
        <f>Source!AQ185</f>
        <v>83</v>
      </c>
      <c r="F192" s="26"/>
      <c r="G192" s="25" t="str">
        <f>Source!DI185</f>
        <v/>
      </c>
      <c r="H192" s="9">
        <f>Source!AV185</f>
        <v>1</v>
      </c>
      <c r="I192" s="9"/>
      <c r="J192" s="27"/>
      <c r="K192" s="27">
        <f>Source!U185</f>
        <v>77.19</v>
      </c>
    </row>
    <row r="193" spans="1:22" ht="15" x14ac:dyDescent="0.25">
      <c r="A193" s="32"/>
      <c r="B193" s="32"/>
      <c r="C193" s="32"/>
      <c r="D193" s="32"/>
      <c r="E193" s="32"/>
      <c r="F193" s="32"/>
      <c r="G193" s="32"/>
      <c r="H193" s="32"/>
      <c r="I193" s="69">
        <f>J190+J191</f>
        <v>16835.919999999998</v>
      </c>
      <c r="J193" s="69"/>
      <c r="K193" s="33">
        <f>IF(Source!I185&lt;&gt;0, ROUND(I193/Source!I185, 2), 0)</f>
        <v>18103.14</v>
      </c>
      <c r="P193" s="30">
        <f>I193</f>
        <v>16835.919999999998</v>
      </c>
    </row>
    <row r="194" spans="1:22" ht="42.75" x14ac:dyDescent="0.2">
      <c r="A194" s="22" t="str">
        <f>Source!E186</f>
        <v>18</v>
      </c>
      <c r="B194" s="23" t="str">
        <f>Source!F186</f>
        <v>2.12-3105-6-1/1</v>
      </c>
      <c r="C194" s="23" t="str">
        <f>Source!G186</f>
        <v>Погрузка грунта экскаватором в самосвал (4,11-1,01)=3,1х120ямх0,75=279 м3</v>
      </c>
      <c r="D194" s="24" t="str">
        <f>Source!DW186</f>
        <v>10 м3</v>
      </c>
      <c r="E194" s="9">
        <f>Source!I186</f>
        <v>27.9</v>
      </c>
      <c r="F194" s="26"/>
      <c r="G194" s="25"/>
      <c r="H194" s="9"/>
      <c r="I194" s="9"/>
      <c r="J194" s="27"/>
      <c r="K194" s="27"/>
      <c r="Q194">
        <f>ROUND((Source!BZ186/100)*ROUND((Source!AF186*Source!AV186)*Source!I186, 2), 2)</f>
        <v>2977.74</v>
      </c>
      <c r="R194">
        <f>Source!X186</f>
        <v>2977.74</v>
      </c>
      <c r="S194">
        <f>ROUND((Source!CA186/100)*ROUND((Source!AF186*Source!AV186)*Source!I186, 2), 2)</f>
        <v>0</v>
      </c>
      <c r="T194">
        <f>Source!Y186</f>
        <v>0</v>
      </c>
      <c r="U194">
        <f>ROUND((175/100)*ROUND((Source!AE186*Source!AV186)*Source!I186, 2), 2)</f>
        <v>21318.959999999999</v>
      </c>
      <c r="V194">
        <f>ROUND((78/100)*ROUND(Source!CS186*Source!I186, 2), 2)</f>
        <v>9502.16</v>
      </c>
    </row>
    <row r="195" spans="1:22" x14ac:dyDescent="0.2">
      <c r="C195" s="28" t="str">
        <f>"Объем: "&amp;Source!I186&amp;"=279/"&amp;"10"</f>
        <v>Объем: 27,9=279/10</v>
      </c>
    </row>
    <row r="196" spans="1:22" ht="14.25" x14ac:dyDescent="0.2">
      <c r="A196" s="22"/>
      <c r="B196" s="23"/>
      <c r="C196" s="23" t="s">
        <v>291</v>
      </c>
      <c r="D196" s="24"/>
      <c r="E196" s="9"/>
      <c r="F196" s="26">
        <f>Source!AO186</f>
        <v>152.47</v>
      </c>
      <c r="G196" s="25" t="str">
        <f>Source!DG186</f>
        <v/>
      </c>
      <c r="H196" s="9">
        <f>Source!AV186</f>
        <v>1</v>
      </c>
      <c r="I196" s="9">
        <f>IF(Source!BA186&lt;&gt; 0, Source!BA186, 1)</f>
        <v>1</v>
      </c>
      <c r="J196" s="27">
        <f>Source!S186</f>
        <v>4253.91</v>
      </c>
      <c r="K196" s="27"/>
    </row>
    <row r="197" spans="1:22" ht="14.25" x14ac:dyDescent="0.2">
      <c r="A197" s="22"/>
      <c r="B197" s="23"/>
      <c r="C197" s="23" t="s">
        <v>292</v>
      </c>
      <c r="D197" s="24"/>
      <c r="E197" s="9"/>
      <c r="F197" s="26">
        <f>Source!AM186</f>
        <v>1183.26</v>
      </c>
      <c r="G197" s="25" t="str">
        <f>Source!DE186</f>
        <v/>
      </c>
      <c r="H197" s="9">
        <f>Source!AV186</f>
        <v>1</v>
      </c>
      <c r="I197" s="9">
        <f>IF(Source!BB186&lt;&gt; 0, Source!BB186, 1)</f>
        <v>1</v>
      </c>
      <c r="J197" s="27">
        <f>Source!Q186</f>
        <v>33012.949999999997</v>
      </c>
      <c r="K197" s="27"/>
    </row>
    <row r="198" spans="1:22" ht="14.25" x14ac:dyDescent="0.2">
      <c r="A198" s="22"/>
      <c r="B198" s="23"/>
      <c r="C198" s="23" t="s">
        <v>293</v>
      </c>
      <c r="D198" s="24"/>
      <c r="E198" s="9"/>
      <c r="F198" s="26">
        <f>Source!AN186</f>
        <v>436.64</v>
      </c>
      <c r="G198" s="25" t="str">
        <f>Source!DF186</f>
        <v/>
      </c>
      <c r="H198" s="9">
        <f>Source!AV186</f>
        <v>1</v>
      </c>
      <c r="I198" s="9">
        <f>IF(Source!BS186&lt;&gt; 0, Source!BS186, 1)</f>
        <v>1</v>
      </c>
      <c r="J198" s="29">
        <f>Source!R186</f>
        <v>12182.26</v>
      </c>
      <c r="K198" s="27"/>
    </row>
    <row r="199" spans="1:22" ht="14.25" x14ac:dyDescent="0.2">
      <c r="A199" s="22"/>
      <c r="B199" s="23"/>
      <c r="C199" s="23" t="s">
        <v>295</v>
      </c>
      <c r="D199" s="24" t="s">
        <v>296</v>
      </c>
      <c r="E199" s="9">
        <f>Source!AT186</f>
        <v>70</v>
      </c>
      <c r="F199" s="26"/>
      <c r="G199" s="25"/>
      <c r="H199" s="9"/>
      <c r="I199" s="9"/>
      <c r="J199" s="27">
        <f>SUM(R194:R198)</f>
        <v>2977.74</v>
      </c>
      <c r="K199" s="27"/>
    </row>
    <row r="200" spans="1:22" ht="14.25" x14ac:dyDescent="0.2">
      <c r="A200" s="22"/>
      <c r="B200" s="23"/>
      <c r="C200" s="23" t="s">
        <v>297</v>
      </c>
      <c r="D200" s="24" t="s">
        <v>296</v>
      </c>
      <c r="E200" s="9">
        <f>78</f>
        <v>78</v>
      </c>
      <c r="F200" s="26"/>
      <c r="G200" s="25"/>
      <c r="H200" s="9"/>
      <c r="I200" s="9"/>
      <c r="J200" s="27">
        <f>SUM(V194:V199)</f>
        <v>9502.16</v>
      </c>
      <c r="K200" s="27"/>
    </row>
    <row r="201" spans="1:22" ht="14.25" x14ac:dyDescent="0.2">
      <c r="A201" s="22"/>
      <c r="B201" s="23"/>
      <c r="C201" s="23" t="s">
        <v>298</v>
      </c>
      <c r="D201" s="24" t="s">
        <v>299</v>
      </c>
      <c r="E201" s="9">
        <f>Source!AQ186</f>
        <v>0.65</v>
      </c>
      <c r="F201" s="26"/>
      <c r="G201" s="25" t="str">
        <f>Source!DI186</f>
        <v/>
      </c>
      <c r="H201" s="9">
        <f>Source!AV186</f>
        <v>1</v>
      </c>
      <c r="I201" s="9"/>
      <c r="J201" s="27"/>
      <c r="K201" s="27">
        <f>Source!U186</f>
        <v>18.134999999999998</v>
      </c>
    </row>
    <row r="202" spans="1:22" ht="15" x14ac:dyDescent="0.25">
      <c r="A202" s="32"/>
      <c r="B202" s="32"/>
      <c r="C202" s="32"/>
      <c r="D202" s="32"/>
      <c r="E202" s="32"/>
      <c r="F202" s="32"/>
      <c r="G202" s="32"/>
      <c r="H202" s="32"/>
      <c r="I202" s="69">
        <f>J196+J197+J199+J200</f>
        <v>49746.759999999995</v>
      </c>
      <c r="J202" s="69"/>
      <c r="K202" s="33">
        <f>IF(Source!I186&lt;&gt;0, ROUND(I202/Source!I186, 2), 0)</f>
        <v>1783.04</v>
      </c>
      <c r="P202" s="30">
        <f>I202</f>
        <v>49746.759999999995</v>
      </c>
    </row>
    <row r="203" spans="1:22" ht="57" x14ac:dyDescent="0.2">
      <c r="A203" s="22" t="str">
        <f>Source!E187</f>
        <v>19</v>
      </c>
      <c r="B203" s="23" t="str">
        <f>Source!F187</f>
        <v>2.49-3401-1-1/1</v>
      </c>
      <c r="C203" s="23" t="str">
        <f>Source!G187</f>
        <v>Перевозка грунта автосамосвалами грузоподъемностью до 10 т на расстояние 1 км (4,11-1,01)=3,1*120=372 м3</v>
      </c>
      <c r="D203" s="24" t="str">
        <f>Source!DW187</f>
        <v>м3</v>
      </c>
      <c r="E203" s="9">
        <f>Source!I187</f>
        <v>372</v>
      </c>
      <c r="F203" s="26"/>
      <c r="G203" s="25"/>
      <c r="H203" s="9"/>
      <c r="I203" s="9"/>
      <c r="J203" s="27"/>
      <c r="K203" s="27"/>
      <c r="Q203">
        <f>ROUND((Source!BZ187/100)*ROUND((Source!AF187*Source!AV187)*Source!I187, 2), 2)</f>
        <v>0</v>
      </c>
      <c r="R203">
        <f>Source!X187</f>
        <v>0</v>
      </c>
      <c r="S203">
        <f>ROUND((Source!CA187/100)*ROUND((Source!AF187*Source!AV187)*Source!I187, 2), 2)</f>
        <v>0</v>
      </c>
      <c r="T203">
        <f>Source!Y187</f>
        <v>0</v>
      </c>
      <c r="U203">
        <f>ROUND((175/100)*ROUND((Source!AE187*Source!AV187)*Source!I187, 2), 2)</f>
        <v>19673.22</v>
      </c>
      <c r="V203">
        <f>ROUND((78/100)*ROUND(Source!CS187*Source!I187, 2), 2)</f>
        <v>8768.64</v>
      </c>
    </row>
    <row r="204" spans="1:22" ht="14.25" x14ac:dyDescent="0.2">
      <c r="A204" s="22"/>
      <c r="B204" s="23"/>
      <c r="C204" s="23" t="s">
        <v>292</v>
      </c>
      <c r="D204" s="24"/>
      <c r="E204" s="9"/>
      <c r="F204" s="26">
        <f>Source!AM187</f>
        <v>51.67</v>
      </c>
      <c r="G204" s="25" t="str">
        <f>Source!DE187</f>
        <v/>
      </c>
      <c r="H204" s="9">
        <f>Source!AV187</f>
        <v>1</v>
      </c>
      <c r="I204" s="9">
        <f>IF(Source!BB187&lt;&gt; 0, Source!BB187, 1)</f>
        <v>1</v>
      </c>
      <c r="J204" s="27">
        <f>Source!Q187</f>
        <v>19221.240000000002</v>
      </c>
      <c r="K204" s="27"/>
    </row>
    <row r="205" spans="1:22" ht="14.25" x14ac:dyDescent="0.2">
      <c r="A205" s="22"/>
      <c r="B205" s="23"/>
      <c r="C205" s="23" t="s">
        <v>293</v>
      </c>
      <c r="D205" s="24"/>
      <c r="E205" s="9"/>
      <c r="F205" s="26">
        <f>Source!AN187</f>
        <v>30.22</v>
      </c>
      <c r="G205" s="25" t="str">
        <f>Source!DF187</f>
        <v/>
      </c>
      <c r="H205" s="9">
        <f>Source!AV187</f>
        <v>1</v>
      </c>
      <c r="I205" s="9">
        <f>IF(Source!BS187&lt;&gt; 0, Source!BS187, 1)</f>
        <v>1</v>
      </c>
      <c r="J205" s="29">
        <f>Source!R187</f>
        <v>11241.84</v>
      </c>
      <c r="K205" s="27"/>
    </row>
    <row r="206" spans="1:22" ht="15" x14ac:dyDescent="0.25">
      <c r="A206" s="32"/>
      <c r="B206" s="32"/>
      <c r="C206" s="32"/>
      <c r="D206" s="32"/>
      <c r="E206" s="32"/>
      <c r="F206" s="32"/>
      <c r="G206" s="32"/>
      <c r="H206" s="32"/>
      <c r="I206" s="69">
        <f>J204</f>
        <v>19221.240000000002</v>
      </c>
      <c r="J206" s="69"/>
      <c r="K206" s="33">
        <f>IF(Source!I187&lt;&gt;0, ROUND(I206/Source!I187, 2), 0)</f>
        <v>51.67</v>
      </c>
      <c r="P206" s="30">
        <f>I206</f>
        <v>19221.240000000002</v>
      </c>
    </row>
    <row r="207" spans="1:22" ht="57" x14ac:dyDescent="0.2">
      <c r="A207" s="22" t="str">
        <f>Source!E188</f>
        <v>20</v>
      </c>
      <c r="B207" s="23" t="str">
        <f>Source!F188</f>
        <v>2.49-3401-1-2/1</v>
      </c>
      <c r="C207" s="23" t="str">
        <f>Source!G188</f>
        <v>Перевозка грунта автосамосвалами грузоподъемностью до 10 т - добавляется на каждый последующий 1 км до 100 км (к поз. 49-3401-1-1)</v>
      </c>
      <c r="D207" s="24" t="str">
        <f>Source!DW188</f>
        <v>м3</v>
      </c>
      <c r="E207" s="9">
        <f>Source!I188</f>
        <v>372</v>
      </c>
      <c r="F207" s="26"/>
      <c r="G207" s="25"/>
      <c r="H207" s="9"/>
      <c r="I207" s="9"/>
      <c r="J207" s="27"/>
      <c r="K207" s="27"/>
      <c r="Q207">
        <f>ROUND((Source!BZ188/100)*ROUND((Source!AF188*Source!AV188)*Source!I188, 2), 2)</f>
        <v>0</v>
      </c>
      <c r="R207">
        <f>Source!X188</f>
        <v>0</v>
      </c>
      <c r="S207">
        <f>ROUND((Source!CA188/100)*ROUND((Source!AF188*Source!AV188)*Source!I188, 2), 2)</f>
        <v>0</v>
      </c>
      <c r="T207">
        <f>Source!Y188</f>
        <v>0</v>
      </c>
      <c r="U207">
        <f>ROUND((175/100)*ROUND((Source!AE188*Source!AV188)*Source!I188, 2), 2)</f>
        <v>260237.25</v>
      </c>
      <c r="V207">
        <f>ROUND((78/100)*ROUND(Source!CS188*Source!I188, 2), 2)</f>
        <v>115991.46</v>
      </c>
    </row>
    <row r="208" spans="1:22" ht="14.25" x14ac:dyDescent="0.2">
      <c r="A208" s="22"/>
      <c r="B208" s="23"/>
      <c r="C208" s="23" t="s">
        <v>292</v>
      </c>
      <c r="D208" s="24"/>
      <c r="E208" s="9"/>
      <c r="F208" s="26">
        <f>Source!AM188</f>
        <v>16.670000000000002</v>
      </c>
      <c r="G208" s="25" t="str">
        <f>Source!DE188</f>
        <v>)*41</v>
      </c>
      <c r="H208" s="9">
        <f>Source!AV188</f>
        <v>1</v>
      </c>
      <c r="I208" s="9">
        <f>IF(Source!BB188&lt;&gt; 0, Source!BB188, 1)</f>
        <v>1</v>
      </c>
      <c r="J208" s="27">
        <f>Source!Q188</f>
        <v>254250.84</v>
      </c>
      <c r="K208" s="27"/>
    </row>
    <row r="209" spans="1:22" ht="14.25" x14ac:dyDescent="0.2">
      <c r="A209" s="22"/>
      <c r="B209" s="23"/>
      <c r="C209" s="23" t="s">
        <v>293</v>
      </c>
      <c r="D209" s="24"/>
      <c r="E209" s="9"/>
      <c r="F209" s="26">
        <f>Source!AN188</f>
        <v>9.75</v>
      </c>
      <c r="G209" s="25" t="str">
        <f>Source!DF188</f>
        <v>)*41</v>
      </c>
      <c r="H209" s="9">
        <f>Source!AV188</f>
        <v>1</v>
      </c>
      <c r="I209" s="9">
        <f>IF(Source!BS188&lt;&gt; 0, Source!BS188, 1)</f>
        <v>1</v>
      </c>
      <c r="J209" s="29">
        <f>Source!R188</f>
        <v>148707</v>
      </c>
      <c r="K209" s="27"/>
    </row>
    <row r="210" spans="1:22" ht="15" x14ac:dyDescent="0.25">
      <c r="A210" s="32"/>
      <c r="B210" s="32"/>
      <c r="C210" s="32"/>
      <c r="D210" s="32"/>
      <c r="E210" s="32"/>
      <c r="F210" s="32"/>
      <c r="G210" s="32"/>
      <c r="H210" s="32"/>
      <c r="I210" s="69">
        <f>J208</f>
        <v>254250.84</v>
      </c>
      <c r="J210" s="69"/>
      <c r="K210" s="33">
        <f>IF(Source!I188&lt;&gt;0, ROUND(I210/Source!I188, 2), 0)</f>
        <v>683.47</v>
      </c>
      <c r="P210" s="30">
        <f>I210</f>
        <v>254250.84</v>
      </c>
    </row>
    <row r="211" spans="1:22" ht="28.5" x14ac:dyDescent="0.2">
      <c r="A211" s="22" t="str">
        <f>Source!E189</f>
        <v>21</v>
      </c>
      <c r="B211" s="23" t="str">
        <f>Source!F189</f>
        <v>5.4-3303-6-9/1</v>
      </c>
      <c r="C211" s="23" t="str">
        <f>Source!G189</f>
        <v>Заготовка деревьев и кустарников с комом земли размером 1,3х1,3х0,6 м</v>
      </c>
      <c r="D211" s="24" t="str">
        <f>Source!DW189</f>
        <v>10 шт.</v>
      </c>
      <c r="E211" s="9">
        <f>Source!I189</f>
        <v>12</v>
      </c>
      <c r="F211" s="26"/>
      <c r="G211" s="25"/>
      <c r="H211" s="9"/>
      <c r="I211" s="9"/>
      <c r="J211" s="27"/>
      <c r="K211" s="27"/>
      <c r="Q211">
        <f>ROUND((Source!BZ189/100)*ROUND((Source!AF189*Source!AV189)*Source!I189, 2), 2)</f>
        <v>422815.85</v>
      </c>
      <c r="R211">
        <f>Source!X189</f>
        <v>422815.85</v>
      </c>
      <c r="S211">
        <f>ROUND((Source!CA189/100)*ROUND((Source!AF189*Source!AV189)*Source!I189, 2), 2)</f>
        <v>0</v>
      </c>
      <c r="T211">
        <f>Source!Y189</f>
        <v>0</v>
      </c>
      <c r="U211">
        <f>ROUND((175/100)*ROUND((Source!AE189*Source!AV189)*Source!I189, 2), 2)</f>
        <v>7.14</v>
      </c>
      <c r="V211">
        <f>ROUND((78/100)*ROUND(Source!CS189*Source!I189, 2), 2)</f>
        <v>3.18</v>
      </c>
    </row>
    <row r="212" spans="1:22" x14ac:dyDescent="0.2">
      <c r="C212" s="28" t="str">
        <f>"Объем: "&amp;Source!I189&amp;"=120/"&amp;"10"</f>
        <v>Объем: 12=120/10</v>
      </c>
    </row>
    <row r="213" spans="1:22" ht="14.25" x14ac:dyDescent="0.2">
      <c r="A213" s="22"/>
      <c r="B213" s="23"/>
      <c r="C213" s="23" t="s">
        <v>291</v>
      </c>
      <c r="D213" s="24"/>
      <c r="E213" s="9"/>
      <c r="F213" s="26">
        <f>Source!AO189</f>
        <v>50335.22</v>
      </c>
      <c r="G213" s="25" t="str">
        <f>Source!DG189</f>
        <v/>
      </c>
      <c r="H213" s="9">
        <f>Source!AV189</f>
        <v>1</v>
      </c>
      <c r="I213" s="9">
        <f>IF(Source!BA189&lt;&gt; 0, Source!BA189, 1)</f>
        <v>1</v>
      </c>
      <c r="J213" s="27">
        <f>Source!S189</f>
        <v>604022.64</v>
      </c>
      <c r="K213" s="27"/>
    </row>
    <row r="214" spans="1:22" ht="14.25" x14ac:dyDescent="0.2">
      <c r="A214" s="22"/>
      <c r="B214" s="23"/>
      <c r="C214" s="23" t="s">
        <v>292</v>
      </c>
      <c r="D214" s="24"/>
      <c r="E214" s="9"/>
      <c r="F214" s="26">
        <f>Source!AM189</f>
        <v>342.53</v>
      </c>
      <c r="G214" s="25" t="str">
        <f>Source!DE189</f>
        <v/>
      </c>
      <c r="H214" s="9">
        <f>Source!AV189</f>
        <v>1</v>
      </c>
      <c r="I214" s="9">
        <f>IF(Source!BB189&lt;&gt; 0, Source!BB189, 1)</f>
        <v>1</v>
      </c>
      <c r="J214" s="27">
        <f>Source!Q189</f>
        <v>4110.3599999999997</v>
      </c>
      <c r="K214" s="27"/>
    </row>
    <row r="215" spans="1:22" ht="14.25" x14ac:dyDescent="0.2">
      <c r="A215" s="22"/>
      <c r="B215" s="23"/>
      <c r="C215" s="23" t="s">
        <v>293</v>
      </c>
      <c r="D215" s="24"/>
      <c r="E215" s="9"/>
      <c r="F215" s="26">
        <f>Source!AN189</f>
        <v>0.34</v>
      </c>
      <c r="G215" s="25" t="str">
        <f>Source!DF189</f>
        <v/>
      </c>
      <c r="H215" s="9">
        <f>Source!AV189</f>
        <v>1</v>
      </c>
      <c r="I215" s="9">
        <f>IF(Source!BS189&lt;&gt; 0, Source!BS189, 1)</f>
        <v>1</v>
      </c>
      <c r="J215" s="29">
        <f>Source!R189</f>
        <v>4.08</v>
      </c>
      <c r="K215" s="27"/>
    </row>
    <row r="216" spans="1:22" ht="14.25" x14ac:dyDescent="0.2">
      <c r="A216" s="22"/>
      <c r="B216" s="23"/>
      <c r="C216" s="23" t="s">
        <v>294</v>
      </c>
      <c r="D216" s="24"/>
      <c r="E216" s="9"/>
      <c r="F216" s="26">
        <f>Source!AL189</f>
        <v>19305.25</v>
      </c>
      <c r="G216" s="25" t="str">
        <f>Source!DD189</f>
        <v/>
      </c>
      <c r="H216" s="9">
        <f>Source!AW189</f>
        <v>1</v>
      </c>
      <c r="I216" s="9">
        <f>IF(Source!BC189&lt;&gt; 0, Source!BC189, 1)</f>
        <v>1</v>
      </c>
      <c r="J216" s="27">
        <f>Source!P189</f>
        <v>231663</v>
      </c>
      <c r="K216" s="27"/>
    </row>
    <row r="217" spans="1:22" ht="14.25" x14ac:dyDescent="0.2">
      <c r="A217" s="22"/>
      <c r="B217" s="23"/>
      <c r="C217" s="23" t="s">
        <v>295</v>
      </c>
      <c r="D217" s="24" t="s">
        <v>296</v>
      </c>
      <c r="E217" s="9">
        <f>Source!AT189</f>
        <v>70</v>
      </c>
      <c r="F217" s="26"/>
      <c r="G217" s="25"/>
      <c r="H217" s="9"/>
      <c r="I217" s="9"/>
      <c r="J217" s="27">
        <f>SUM(R211:R216)</f>
        <v>422815.85</v>
      </c>
      <c r="K217" s="27"/>
    </row>
    <row r="218" spans="1:22" ht="14.25" x14ac:dyDescent="0.2">
      <c r="A218" s="22"/>
      <c r="B218" s="23"/>
      <c r="C218" s="23" t="s">
        <v>297</v>
      </c>
      <c r="D218" s="24" t="s">
        <v>296</v>
      </c>
      <c r="E218" s="9">
        <f>78</f>
        <v>78</v>
      </c>
      <c r="F218" s="26"/>
      <c r="G218" s="25"/>
      <c r="H218" s="9"/>
      <c r="I218" s="9"/>
      <c r="J218" s="27">
        <f>SUM(V211:V217)</f>
        <v>3.18</v>
      </c>
      <c r="K218" s="27"/>
    </row>
    <row r="219" spans="1:22" ht="14.25" x14ac:dyDescent="0.2">
      <c r="A219" s="22"/>
      <c r="B219" s="23"/>
      <c r="C219" s="23" t="s">
        <v>298</v>
      </c>
      <c r="D219" s="24" t="s">
        <v>299</v>
      </c>
      <c r="E219" s="9">
        <f>Source!AQ189</f>
        <v>231.15</v>
      </c>
      <c r="F219" s="26"/>
      <c r="G219" s="25" t="str">
        <f>Source!DI189</f>
        <v/>
      </c>
      <c r="H219" s="9">
        <f>Source!AV189</f>
        <v>1</v>
      </c>
      <c r="I219" s="9"/>
      <c r="J219" s="27"/>
      <c r="K219" s="27">
        <f>Source!U189</f>
        <v>2773.8</v>
      </c>
    </row>
    <row r="220" spans="1:22" ht="15" x14ac:dyDescent="0.25">
      <c r="A220" s="32"/>
      <c r="B220" s="32"/>
      <c r="C220" s="32"/>
      <c r="D220" s="32"/>
      <c r="E220" s="32"/>
      <c r="F220" s="32"/>
      <c r="G220" s="32"/>
      <c r="H220" s="32"/>
      <c r="I220" s="69">
        <f>J213+J214+J216+J217+J218</f>
        <v>1262615.03</v>
      </c>
      <c r="J220" s="69"/>
      <c r="K220" s="33">
        <f>IF(Source!I189&lt;&gt;0, ROUND(I220/Source!I189, 2), 0)</f>
        <v>105217.92</v>
      </c>
      <c r="P220" s="30">
        <f>I220</f>
        <v>1262615.03</v>
      </c>
    </row>
    <row r="221" spans="1:22" ht="57" x14ac:dyDescent="0.2">
      <c r="A221" s="22" t="str">
        <f>Source!E190</f>
        <v>22</v>
      </c>
      <c r="B221" s="23" t="str">
        <f>Source!F190</f>
        <v>5.4-3103-6-8/1</v>
      </c>
      <c r="C221" s="23" t="str">
        <f>Source!G190</f>
        <v>Посадка деревьев и кустарников с комом земли размером 1,3х1,3х0,6 м (без стоимости деревьев и кустарников)</v>
      </c>
      <c r="D221" s="24" t="str">
        <f>Source!DW190</f>
        <v>10 шт.</v>
      </c>
      <c r="E221" s="9">
        <f>Source!I190</f>
        <v>12</v>
      </c>
      <c r="F221" s="26"/>
      <c r="G221" s="25"/>
      <c r="H221" s="9"/>
      <c r="I221" s="9"/>
      <c r="J221" s="27"/>
      <c r="K221" s="27"/>
      <c r="Q221">
        <f>ROUND((Source!BZ190/100)*ROUND((Source!AF190*Source!AV190)*Source!I190, 2), 2)</f>
        <v>129334.55</v>
      </c>
      <c r="R221">
        <f>Source!X190</f>
        <v>129334.55</v>
      </c>
      <c r="S221">
        <f>ROUND((Source!CA190/100)*ROUND((Source!AF190*Source!AV190)*Source!I190, 2), 2)</f>
        <v>0</v>
      </c>
      <c r="T221">
        <f>Source!Y190</f>
        <v>0</v>
      </c>
      <c r="U221">
        <f>ROUND((175/100)*ROUND((Source!AE190*Source!AV190)*Source!I190, 2), 2)</f>
        <v>20069.490000000002</v>
      </c>
      <c r="V221">
        <f>ROUND((78/100)*ROUND(Source!CS190*Source!I190, 2), 2)</f>
        <v>8945.26</v>
      </c>
    </row>
    <row r="222" spans="1:22" x14ac:dyDescent="0.2">
      <c r="C222" s="28" t="str">
        <f>"Объем: "&amp;Source!I190&amp;"=120/"&amp;"10"</f>
        <v>Объем: 12=120/10</v>
      </c>
    </row>
    <row r="223" spans="1:22" ht="14.25" x14ac:dyDescent="0.2">
      <c r="A223" s="22"/>
      <c r="B223" s="23"/>
      <c r="C223" s="23" t="s">
        <v>291</v>
      </c>
      <c r="D223" s="24"/>
      <c r="E223" s="9"/>
      <c r="F223" s="26">
        <f>Source!AO190</f>
        <v>15396.97</v>
      </c>
      <c r="G223" s="25" t="str">
        <f>Source!DG190</f>
        <v/>
      </c>
      <c r="H223" s="9">
        <f>Source!AV190</f>
        <v>1</v>
      </c>
      <c r="I223" s="9">
        <f>IF(Source!BA190&lt;&gt; 0, Source!BA190, 1)</f>
        <v>1</v>
      </c>
      <c r="J223" s="27">
        <f>Source!S190</f>
        <v>184763.64</v>
      </c>
      <c r="K223" s="27"/>
    </row>
    <row r="224" spans="1:22" ht="14.25" x14ac:dyDescent="0.2">
      <c r="A224" s="22"/>
      <c r="B224" s="23"/>
      <c r="C224" s="23" t="s">
        <v>292</v>
      </c>
      <c r="D224" s="24"/>
      <c r="E224" s="9"/>
      <c r="F224" s="26">
        <f>Source!AM190</f>
        <v>4253.4399999999996</v>
      </c>
      <c r="G224" s="25" t="str">
        <f>Source!DE190</f>
        <v/>
      </c>
      <c r="H224" s="9">
        <f>Source!AV190</f>
        <v>1</v>
      </c>
      <c r="I224" s="9">
        <f>IF(Source!BB190&lt;&gt; 0, Source!BB190, 1)</f>
        <v>1</v>
      </c>
      <c r="J224" s="27">
        <f>Source!Q190</f>
        <v>51041.279999999999</v>
      </c>
      <c r="K224" s="27"/>
    </row>
    <row r="225" spans="1:22" ht="14.25" x14ac:dyDescent="0.2">
      <c r="A225" s="22"/>
      <c r="B225" s="23"/>
      <c r="C225" s="23" t="s">
        <v>293</v>
      </c>
      <c r="D225" s="24"/>
      <c r="E225" s="9"/>
      <c r="F225" s="26">
        <f>Source!AN190</f>
        <v>955.69</v>
      </c>
      <c r="G225" s="25" t="str">
        <f>Source!DF190</f>
        <v/>
      </c>
      <c r="H225" s="9">
        <f>Source!AV190</f>
        <v>1</v>
      </c>
      <c r="I225" s="9">
        <f>IF(Source!BS190&lt;&gt; 0, Source!BS190, 1)</f>
        <v>1</v>
      </c>
      <c r="J225" s="29">
        <f>Source!R190</f>
        <v>11468.28</v>
      </c>
      <c r="K225" s="27"/>
    </row>
    <row r="226" spans="1:22" ht="14.25" x14ac:dyDescent="0.2">
      <c r="A226" s="22"/>
      <c r="B226" s="23"/>
      <c r="C226" s="23" t="s">
        <v>294</v>
      </c>
      <c r="D226" s="24"/>
      <c r="E226" s="9"/>
      <c r="F226" s="26">
        <f>Source!AL190</f>
        <v>951.6</v>
      </c>
      <c r="G226" s="25" t="str">
        <f>Source!DD190</f>
        <v/>
      </c>
      <c r="H226" s="9">
        <f>Source!AW190</f>
        <v>1</v>
      </c>
      <c r="I226" s="9">
        <f>IF(Source!BC190&lt;&gt; 0, Source!BC190, 1)</f>
        <v>1</v>
      </c>
      <c r="J226" s="27">
        <f>Source!P190</f>
        <v>11419.2</v>
      </c>
      <c r="K226" s="27"/>
    </row>
    <row r="227" spans="1:22" ht="57" x14ac:dyDescent="0.2">
      <c r="A227" s="22" t="str">
        <f>Source!E191</f>
        <v>22,1</v>
      </c>
      <c r="B227" s="23" t="str">
        <f>Source!F191</f>
        <v>21.4-1-5</v>
      </c>
      <c r="C227" s="23" t="str">
        <f>Source!G191</f>
        <v>Деревья декоративные лиственных пород с комом земли, порода: бархат амурский, вяз, дуб, каштан, клен, липа, орех, ясень, размер кома: 1,3х1,3х0,6 м</v>
      </c>
      <c r="D227" s="24" t="str">
        <f>Source!DW191</f>
        <v>шт.</v>
      </c>
      <c r="E227" s="9">
        <f>Source!I191</f>
        <v>120</v>
      </c>
      <c r="F227" s="26">
        <f>Source!AK191</f>
        <v>8631.6</v>
      </c>
      <c r="G227" s="34" t="s">
        <v>3</v>
      </c>
      <c r="H227" s="9">
        <f>Source!AW191</f>
        <v>1</v>
      </c>
      <c r="I227" s="9">
        <f>IF(Source!BC191&lt;&gt; 0, Source!BC191, 1)</f>
        <v>1</v>
      </c>
      <c r="J227" s="27">
        <f>Source!O191</f>
        <v>1035792</v>
      </c>
      <c r="K227" s="27"/>
      <c r="Q227">
        <f>ROUND((Source!BZ191/100)*ROUND((Source!AF191*Source!AV191)*Source!I191, 2), 2)</f>
        <v>0</v>
      </c>
      <c r="R227">
        <f>Source!X191</f>
        <v>0</v>
      </c>
      <c r="S227">
        <f>ROUND((Source!CA191/100)*ROUND((Source!AF191*Source!AV191)*Source!I191, 2), 2)</f>
        <v>0</v>
      </c>
      <c r="T227">
        <f>Source!Y191</f>
        <v>0</v>
      </c>
      <c r="U227">
        <f>ROUND((175/100)*ROUND((Source!AE191*Source!AV191)*Source!I191, 2), 2)</f>
        <v>0</v>
      </c>
      <c r="V227">
        <f>ROUND((78/100)*ROUND(Source!CS191*Source!I191, 2), 2)</f>
        <v>0</v>
      </c>
    </row>
    <row r="228" spans="1:22" ht="14.25" x14ac:dyDescent="0.2">
      <c r="A228" s="22"/>
      <c r="B228" s="23"/>
      <c r="C228" s="23" t="s">
        <v>295</v>
      </c>
      <c r="D228" s="24" t="s">
        <v>296</v>
      </c>
      <c r="E228" s="9">
        <f>Source!AT190</f>
        <v>70</v>
      </c>
      <c r="F228" s="26"/>
      <c r="G228" s="25"/>
      <c r="H228" s="9"/>
      <c r="I228" s="9"/>
      <c r="J228" s="27">
        <f>SUM(R221:R227)</f>
        <v>129334.55</v>
      </c>
      <c r="K228" s="27"/>
    </row>
    <row r="229" spans="1:22" ht="14.25" x14ac:dyDescent="0.2">
      <c r="A229" s="22"/>
      <c r="B229" s="23"/>
      <c r="C229" s="23" t="s">
        <v>297</v>
      </c>
      <c r="D229" s="24" t="s">
        <v>296</v>
      </c>
      <c r="E229" s="9">
        <f>78</f>
        <v>78</v>
      </c>
      <c r="F229" s="26"/>
      <c r="G229" s="25"/>
      <c r="H229" s="9"/>
      <c r="I229" s="9"/>
      <c r="J229" s="27">
        <f>SUM(V221:V228)</f>
        <v>8945.26</v>
      </c>
      <c r="K229" s="27"/>
    </row>
    <row r="230" spans="1:22" ht="14.25" x14ac:dyDescent="0.2">
      <c r="A230" s="22"/>
      <c r="B230" s="23"/>
      <c r="C230" s="23" t="s">
        <v>298</v>
      </c>
      <c r="D230" s="24" t="s">
        <v>299</v>
      </c>
      <c r="E230" s="9">
        <f>Source!AQ190</f>
        <v>68.08</v>
      </c>
      <c r="F230" s="26"/>
      <c r="G230" s="25" t="str">
        <f>Source!DI190</f>
        <v/>
      </c>
      <c r="H230" s="9">
        <f>Source!AV190</f>
        <v>1</v>
      </c>
      <c r="I230" s="9"/>
      <c r="J230" s="27"/>
      <c r="K230" s="27">
        <f>Source!U190</f>
        <v>816.96</v>
      </c>
    </row>
    <row r="231" spans="1:22" ht="15" x14ac:dyDescent="0.25">
      <c r="A231" s="32"/>
      <c r="B231" s="32"/>
      <c r="C231" s="32"/>
      <c r="D231" s="32"/>
      <c r="E231" s="32"/>
      <c r="F231" s="32"/>
      <c r="G231" s="32"/>
      <c r="H231" s="32"/>
      <c r="I231" s="69">
        <f>J223+J224+J226+J228+J229+SUM(J227:J227)</f>
        <v>1421295.9300000002</v>
      </c>
      <c r="J231" s="69"/>
      <c r="K231" s="33">
        <f>IF(Source!I190&lt;&gt;0, ROUND(I231/Source!I190, 2), 0)</f>
        <v>118441.33</v>
      </c>
      <c r="P231" s="30">
        <f>I231</f>
        <v>1421295.9300000002</v>
      </c>
    </row>
    <row r="233" spans="1:22" ht="15" x14ac:dyDescent="0.25">
      <c r="A233" s="73" t="str">
        <f>CONCATENATE("Итого по подразделу: ",IF(Source!G193&lt;&gt;"Новый подраздел", Source!G193, ""))</f>
        <v>Итого по подразделу: Посадка деревьев 120 шт</v>
      </c>
      <c r="B233" s="73"/>
      <c r="C233" s="73"/>
      <c r="D233" s="73"/>
      <c r="E233" s="73"/>
      <c r="F233" s="73"/>
      <c r="G233" s="73"/>
      <c r="H233" s="73"/>
      <c r="I233" s="71">
        <f>SUM(P170:P232)</f>
        <v>3366935.68</v>
      </c>
      <c r="J233" s="72"/>
      <c r="K233" s="35"/>
    </row>
    <row r="236" spans="1:22" ht="16.5" x14ac:dyDescent="0.25">
      <c r="A236" s="70" t="str">
        <f>CONCATENATE("Подраздел: ",IF(Source!G222&lt;&gt;"Новый подраздел", Source!G222, ""))</f>
        <v>Подраздел: Восстановление отпада деревьев 5%</v>
      </c>
      <c r="B236" s="70"/>
      <c r="C236" s="70"/>
      <c r="D236" s="70"/>
      <c r="E236" s="70"/>
      <c r="F236" s="70"/>
      <c r="G236" s="70"/>
      <c r="H236" s="70"/>
      <c r="I236" s="70"/>
      <c r="J236" s="70"/>
      <c r="K236" s="70"/>
    </row>
    <row r="237" spans="1:22" ht="28.5" x14ac:dyDescent="0.2">
      <c r="A237" s="22" t="str">
        <f>Source!E226</f>
        <v>23</v>
      </c>
      <c r="B237" s="23" t="str">
        <f>Source!F226</f>
        <v>5.4-3303-6-9/1</v>
      </c>
      <c r="C237" s="23" t="str">
        <f>Source!G226</f>
        <v>Заготовка деревьев и кустарников с комом земли размером 1,3х1,3х0,6 м</v>
      </c>
      <c r="D237" s="24" t="str">
        <f>Source!DW226</f>
        <v>10 шт.</v>
      </c>
      <c r="E237" s="9">
        <f>Source!I226</f>
        <v>0.6</v>
      </c>
      <c r="F237" s="26"/>
      <c r="G237" s="25"/>
      <c r="H237" s="9"/>
      <c r="I237" s="9"/>
      <c r="J237" s="27"/>
      <c r="K237" s="27"/>
      <c r="Q237">
        <f>ROUND((Source!BZ226/100)*ROUND((Source!AF226*Source!AV226)*Source!I226, 2), 2)</f>
        <v>21140.79</v>
      </c>
      <c r="R237">
        <f>Source!X226</f>
        <v>21140.79</v>
      </c>
      <c r="S237">
        <f>ROUND((Source!CA226/100)*ROUND((Source!AF226*Source!AV226)*Source!I226, 2), 2)</f>
        <v>0</v>
      </c>
      <c r="T237">
        <f>Source!Y226</f>
        <v>0</v>
      </c>
      <c r="U237">
        <f>ROUND((175/100)*ROUND((Source!AE226*Source!AV226)*Source!I226, 2), 2)</f>
        <v>0.35</v>
      </c>
      <c r="V237">
        <f>ROUND((78/100)*ROUND(Source!CS226*Source!I226, 2), 2)</f>
        <v>0.16</v>
      </c>
    </row>
    <row r="238" spans="1:22" x14ac:dyDescent="0.2">
      <c r="C238" s="28" t="str">
        <f>"Объем: "&amp;Source!I226&amp;"=6/"&amp;"10"</f>
        <v>Объем: 0,6=6/10</v>
      </c>
    </row>
    <row r="239" spans="1:22" ht="14.25" x14ac:dyDescent="0.2">
      <c r="A239" s="22"/>
      <c r="B239" s="23"/>
      <c r="C239" s="23" t="s">
        <v>291</v>
      </c>
      <c r="D239" s="24"/>
      <c r="E239" s="9"/>
      <c r="F239" s="26">
        <f>Source!AO226</f>
        <v>50335.22</v>
      </c>
      <c r="G239" s="25" t="str">
        <f>Source!DG226</f>
        <v/>
      </c>
      <c r="H239" s="9">
        <f>Source!AV226</f>
        <v>1</v>
      </c>
      <c r="I239" s="9">
        <f>IF(Source!BA226&lt;&gt; 0, Source!BA226, 1)</f>
        <v>1</v>
      </c>
      <c r="J239" s="27">
        <f>Source!S226</f>
        <v>30201.13</v>
      </c>
      <c r="K239" s="27"/>
    </row>
    <row r="240" spans="1:22" ht="14.25" x14ac:dyDescent="0.2">
      <c r="A240" s="22"/>
      <c r="B240" s="23"/>
      <c r="C240" s="23" t="s">
        <v>292</v>
      </c>
      <c r="D240" s="24"/>
      <c r="E240" s="9"/>
      <c r="F240" s="26">
        <f>Source!AM226</f>
        <v>342.53</v>
      </c>
      <c r="G240" s="25" t="str">
        <f>Source!DE226</f>
        <v/>
      </c>
      <c r="H240" s="9">
        <f>Source!AV226</f>
        <v>1</v>
      </c>
      <c r="I240" s="9">
        <f>IF(Source!BB226&lt;&gt; 0, Source!BB226, 1)</f>
        <v>1</v>
      </c>
      <c r="J240" s="27">
        <f>Source!Q226</f>
        <v>205.52</v>
      </c>
      <c r="K240" s="27"/>
    </row>
    <row r="241" spans="1:22" ht="14.25" x14ac:dyDescent="0.2">
      <c r="A241" s="22"/>
      <c r="B241" s="23"/>
      <c r="C241" s="23" t="s">
        <v>293</v>
      </c>
      <c r="D241" s="24"/>
      <c r="E241" s="9"/>
      <c r="F241" s="26">
        <f>Source!AN226</f>
        <v>0.34</v>
      </c>
      <c r="G241" s="25" t="str">
        <f>Source!DF226</f>
        <v/>
      </c>
      <c r="H241" s="9">
        <f>Source!AV226</f>
        <v>1</v>
      </c>
      <c r="I241" s="9">
        <f>IF(Source!BS226&lt;&gt; 0, Source!BS226, 1)</f>
        <v>1</v>
      </c>
      <c r="J241" s="29">
        <f>Source!R226</f>
        <v>0.2</v>
      </c>
      <c r="K241" s="27"/>
    </row>
    <row r="242" spans="1:22" ht="14.25" x14ac:dyDescent="0.2">
      <c r="A242" s="22"/>
      <c r="B242" s="23"/>
      <c r="C242" s="23" t="s">
        <v>294</v>
      </c>
      <c r="D242" s="24"/>
      <c r="E242" s="9"/>
      <c r="F242" s="26">
        <f>Source!AL226</f>
        <v>19305.25</v>
      </c>
      <c r="G242" s="25" t="str">
        <f>Source!DD226</f>
        <v/>
      </c>
      <c r="H242" s="9">
        <f>Source!AW226</f>
        <v>1</v>
      </c>
      <c r="I242" s="9">
        <f>IF(Source!BC226&lt;&gt; 0, Source!BC226, 1)</f>
        <v>1</v>
      </c>
      <c r="J242" s="27">
        <f>Source!P226</f>
        <v>11583.15</v>
      </c>
      <c r="K242" s="27"/>
    </row>
    <row r="243" spans="1:22" ht="14.25" x14ac:dyDescent="0.2">
      <c r="A243" s="22"/>
      <c r="B243" s="23"/>
      <c r="C243" s="23" t="s">
        <v>295</v>
      </c>
      <c r="D243" s="24" t="s">
        <v>296</v>
      </c>
      <c r="E243" s="9">
        <f>Source!AT226</f>
        <v>70</v>
      </c>
      <c r="F243" s="26"/>
      <c r="G243" s="25"/>
      <c r="H243" s="9"/>
      <c r="I243" s="9"/>
      <c r="J243" s="27">
        <f>SUM(R237:R242)</f>
        <v>21140.79</v>
      </c>
      <c r="K243" s="27"/>
    </row>
    <row r="244" spans="1:22" ht="14.25" x14ac:dyDescent="0.2">
      <c r="A244" s="22"/>
      <c r="B244" s="23"/>
      <c r="C244" s="23" t="s">
        <v>297</v>
      </c>
      <c r="D244" s="24" t="s">
        <v>296</v>
      </c>
      <c r="E244" s="9">
        <f>78</f>
        <v>78</v>
      </c>
      <c r="F244" s="26"/>
      <c r="G244" s="25"/>
      <c r="H244" s="9"/>
      <c r="I244" s="9"/>
      <c r="J244" s="27">
        <f>SUM(V237:V243)</f>
        <v>0.16</v>
      </c>
      <c r="K244" s="27"/>
    </row>
    <row r="245" spans="1:22" ht="14.25" x14ac:dyDescent="0.2">
      <c r="A245" s="22"/>
      <c r="B245" s="23"/>
      <c r="C245" s="23" t="s">
        <v>298</v>
      </c>
      <c r="D245" s="24" t="s">
        <v>299</v>
      </c>
      <c r="E245" s="9">
        <f>Source!AQ226</f>
        <v>231.15</v>
      </c>
      <c r="F245" s="26"/>
      <c r="G245" s="25" t="str">
        <f>Source!DI226</f>
        <v/>
      </c>
      <c r="H245" s="9">
        <f>Source!AV226</f>
        <v>1</v>
      </c>
      <c r="I245" s="9"/>
      <c r="J245" s="27"/>
      <c r="K245" s="27">
        <f>Source!U226</f>
        <v>138.69</v>
      </c>
    </row>
    <row r="246" spans="1:22" ht="15" x14ac:dyDescent="0.25">
      <c r="A246" s="32"/>
      <c r="B246" s="32"/>
      <c r="C246" s="32"/>
      <c r="D246" s="32"/>
      <c r="E246" s="32"/>
      <c r="F246" s="32"/>
      <c r="G246" s="32"/>
      <c r="H246" s="32"/>
      <c r="I246" s="69">
        <f>J239+J240+J242+J243+J244</f>
        <v>63130.750000000007</v>
      </c>
      <c r="J246" s="69"/>
      <c r="K246" s="33">
        <f>IF(Source!I226&lt;&gt;0, ROUND(I246/Source!I226, 2), 0)</f>
        <v>105217.92</v>
      </c>
      <c r="P246" s="30">
        <f>I246</f>
        <v>63130.750000000007</v>
      </c>
    </row>
    <row r="247" spans="1:22" ht="85.5" x14ac:dyDescent="0.2">
      <c r="A247" s="22" t="str">
        <f>Source!E227</f>
        <v>24</v>
      </c>
      <c r="B247" s="23" t="str">
        <f>Source!F227</f>
        <v>5.4-3103-2-16/1</v>
      </c>
      <c r="C247" s="23" t="str">
        <f>Source!G227</f>
        <v>Подготовка стандартных посадочных мест для деревьев и кустарников механизированным способом с квадратным комом земли размером 1,3х1,3х0,6 м в естественном грунте 6х0,75=4,5м2</v>
      </c>
      <c r="D247" s="24" t="str">
        <f>Source!DW227</f>
        <v>10 ям</v>
      </c>
      <c r="E247" s="9">
        <f>Source!I227</f>
        <v>0.45</v>
      </c>
      <c r="F247" s="26"/>
      <c r="G247" s="25"/>
      <c r="H247" s="9"/>
      <c r="I247" s="9"/>
      <c r="J247" s="27"/>
      <c r="K247" s="27"/>
      <c r="Q247">
        <f>ROUND((Source!BZ227/100)*ROUND((Source!AF227*Source!AV227)*Source!I227, 2), 2)</f>
        <v>1226.57</v>
      </c>
      <c r="R247">
        <f>Source!X227</f>
        <v>1226.57</v>
      </c>
      <c r="S247">
        <f>ROUND((Source!CA227/100)*ROUND((Source!AF227*Source!AV227)*Source!I227, 2), 2)</f>
        <v>0</v>
      </c>
      <c r="T247">
        <f>Source!Y227</f>
        <v>0</v>
      </c>
      <c r="U247">
        <f>ROUND((175/100)*ROUND((Source!AE227*Source!AV227)*Source!I227, 2), 2)</f>
        <v>678.93</v>
      </c>
      <c r="V247">
        <f>ROUND((78/100)*ROUND(Source!CS227*Source!I227, 2), 2)</f>
        <v>302.61</v>
      </c>
    </row>
    <row r="248" spans="1:22" x14ac:dyDescent="0.2">
      <c r="C248" s="28" t="str">
        <f>"Объем: "&amp;Source!I227&amp;"=4,5/"&amp;"10"</f>
        <v>Объем: 0,45=4,5/10</v>
      </c>
    </row>
    <row r="249" spans="1:22" ht="14.25" x14ac:dyDescent="0.2">
      <c r="A249" s="22"/>
      <c r="B249" s="23"/>
      <c r="C249" s="23" t="s">
        <v>291</v>
      </c>
      <c r="D249" s="24"/>
      <c r="E249" s="9"/>
      <c r="F249" s="26">
        <f>Source!AO227</f>
        <v>3893.87</v>
      </c>
      <c r="G249" s="25" t="str">
        <f>Source!DG227</f>
        <v/>
      </c>
      <c r="H249" s="9">
        <f>Source!AV227</f>
        <v>1</v>
      </c>
      <c r="I249" s="9">
        <f>IF(Source!BA227&lt;&gt; 0, Source!BA227, 1)</f>
        <v>1</v>
      </c>
      <c r="J249" s="27">
        <f>Source!S227</f>
        <v>1752.24</v>
      </c>
      <c r="K249" s="27"/>
    </row>
    <row r="250" spans="1:22" ht="14.25" x14ac:dyDescent="0.2">
      <c r="A250" s="22"/>
      <c r="B250" s="23"/>
      <c r="C250" s="23" t="s">
        <v>292</v>
      </c>
      <c r="D250" s="24"/>
      <c r="E250" s="9"/>
      <c r="F250" s="26">
        <f>Source!AM227</f>
        <v>1575.5</v>
      </c>
      <c r="G250" s="25" t="str">
        <f>Source!DE227</f>
        <v/>
      </c>
      <c r="H250" s="9">
        <f>Source!AV227</f>
        <v>1</v>
      </c>
      <c r="I250" s="9">
        <f>IF(Source!BB227&lt;&gt; 0, Source!BB227, 1)</f>
        <v>1</v>
      </c>
      <c r="J250" s="27">
        <f>Source!Q227</f>
        <v>708.98</v>
      </c>
      <c r="K250" s="27"/>
    </row>
    <row r="251" spans="1:22" ht="14.25" x14ac:dyDescent="0.2">
      <c r="A251" s="22"/>
      <c r="B251" s="23"/>
      <c r="C251" s="23" t="s">
        <v>293</v>
      </c>
      <c r="D251" s="24"/>
      <c r="E251" s="9"/>
      <c r="F251" s="26">
        <f>Source!AN227</f>
        <v>862.14</v>
      </c>
      <c r="G251" s="25" t="str">
        <f>Source!DF227</f>
        <v/>
      </c>
      <c r="H251" s="9">
        <f>Source!AV227</f>
        <v>1</v>
      </c>
      <c r="I251" s="9">
        <f>IF(Source!BS227&lt;&gt; 0, Source!BS227, 1)</f>
        <v>1</v>
      </c>
      <c r="J251" s="29">
        <f>Source!R227</f>
        <v>387.96</v>
      </c>
      <c r="K251" s="27"/>
    </row>
    <row r="252" spans="1:22" ht="14.25" x14ac:dyDescent="0.2">
      <c r="A252" s="22"/>
      <c r="B252" s="23"/>
      <c r="C252" s="23" t="s">
        <v>295</v>
      </c>
      <c r="D252" s="24" t="s">
        <v>296</v>
      </c>
      <c r="E252" s="9">
        <f>Source!AT227</f>
        <v>70</v>
      </c>
      <c r="F252" s="26"/>
      <c r="G252" s="25"/>
      <c r="H252" s="9"/>
      <c r="I252" s="9"/>
      <c r="J252" s="27">
        <f>SUM(R247:R251)</f>
        <v>1226.57</v>
      </c>
      <c r="K252" s="27"/>
    </row>
    <row r="253" spans="1:22" ht="14.25" x14ac:dyDescent="0.2">
      <c r="A253" s="22"/>
      <c r="B253" s="23"/>
      <c r="C253" s="23" t="s">
        <v>297</v>
      </c>
      <c r="D253" s="24" t="s">
        <v>296</v>
      </c>
      <c r="E253" s="9">
        <f>78</f>
        <v>78</v>
      </c>
      <c r="F253" s="26"/>
      <c r="G253" s="25"/>
      <c r="H253" s="9"/>
      <c r="I253" s="9"/>
      <c r="J253" s="27">
        <f>SUM(V247:V252)</f>
        <v>302.61</v>
      </c>
      <c r="K253" s="27"/>
    </row>
    <row r="254" spans="1:22" ht="14.25" x14ac:dyDescent="0.2">
      <c r="A254" s="22"/>
      <c r="B254" s="23"/>
      <c r="C254" s="23" t="s">
        <v>298</v>
      </c>
      <c r="D254" s="24" t="s">
        <v>299</v>
      </c>
      <c r="E254" s="9">
        <f>Source!AQ227</f>
        <v>24.16</v>
      </c>
      <c r="F254" s="26"/>
      <c r="G254" s="25" t="str">
        <f>Source!DI227</f>
        <v/>
      </c>
      <c r="H254" s="9">
        <f>Source!AV227</f>
        <v>1</v>
      </c>
      <c r="I254" s="9"/>
      <c r="J254" s="27"/>
      <c r="K254" s="27">
        <f>Source!U227</f>
        <v>10.872</v>
      </c>
    </row>
    <row r="255" spans="1:22" ht="15" x14ac:dyDescent="0.25">
      <c r="A255" s="32"/>
      <c r="B255" s="32"/>
      <c r="C255" s="32"/>
      <c r="D255" s="32"/>
      <c r="E255" s="32"/>
      <c r="F255" s="32"/>
      <c r="G255" s="32"/>
      <c r="H255" s="32"/>
      <c r="I255" s="69">
        <f>J249+J250+J252+J253</f>
        <v>3990.4</v>
      </c>
      <c r="J255" s="69"/>
      <c r="K255" s="33">
        <f>IF(Source!I227&lt;&gt;0, ROUND(I255/Source!I227, 2), 0)</f>
        <v>8867.56</v>
      </c>
      <c r="P255" s="30">
        <f>I255</f>
        <v>3990.4</v>
      </c>
    </row>
    <row r="256" spans="1:22" ht="57" x14ac:dyDescent="0.2">
      <c r="A256" s="22" t="str">
        <f>Source!E228</f>
        <v>25</v>
      </c>
      <c r="B256" s="23" t="str">
        <f>Source!F228</f>
        <v>5.4-3103-4-16/1</v>
      </c>
      <c r="C256" s="23" t="str">
        <f>Source!G228</f>
        <v>Подготовка стандартных посадочных мест вручную с квадратным комом земли размером 1,3х1,3х0,6 м в естественном грунте 6х0,25=1,5ям</v>
      </c>
      <c r="D256" s="24" t="str">
        <f>Source!DW228</f>
        <v>10 ям</v>
      </c>
      <c r="E256" s="9">
        <f>Source!I228</f>
        <v>0.15</v>
      </c>
      <c r="F256" s="26"/>
      <c r="G256" s="25"/>
      <c r="H256" s="9"/>
      <c r="I256" s="9"/>
      <c r="J256" s="27"/>
      <c r="K256" s="27"/>
      <c r="Q256">
        <f>ROUND((Source!BZ228/100)*ROUND((Source!AF228*Source!AV228)*Source!I228, 2), 2)</f>
        <v>1213.6500000000001</v>
      </c>
      <c r="R256">
        <f>Source!X228</f>
        <v>1213.6500000000001</v>
      </c>
      <c r="S256">
        <f>ROUND((Source!CA228/100)*ROUND((Source!AF228*Source!AV228)*Source!I228, 2), 2)</f>
        <v>0</v>
      </c>
      <c r="T256">
        <f>Source!Y228</f>
        <v>0</v>
      </c>
      <c r="U256">
        <f>ROUND((175/100)*ROUND((Source!AE228*Source!AV228)*Source!I228, 2), 2)</f>
        <v>0</v>
      </c>
      <c r="V256">
        <f>ROUND((78/100)*ROUND(Source!CS228*Source!I228, 2), 2)</f>
        <v>0</v>
      </c>
    </row>
    <row r="257" spans="1:22" x14ac:dyDescent="0.2">
      <c r="C257" s="28" t="str">
        <f>"Объем: "&amp;Source!I228&amp;"=1,5/"&amp;"10"</f>
        <v>Объем: 0,15=1,5/10</v>
      </c>
    </row>
    <row r="258" spans="1:22" ht="14.25" x14ac:dyDescent="0.2">
      <c r="A258" s="22"/>
      <c r="B258" s="23"/>
      <c r="C258" s="23" t="s">
        <v>291</v>
      </c>
      <c r="D258" s="24"/>
      <c r="E258" s="9"/>
      <c r="F258" s="26">
        <f>Source!AO228</f>
        <v>11558.53</v>
      </c>
      <c r="G258" s="25" t="str">
        <f>Source!DG228</f>
        <v/>
      </c>
      <c r="H258" s="9">
        <f>Source!AV228</f>
        <v>1</v>
      </c>
      <c r="I258" s="9">
        <f>IF(Source!BA228&lt;&gt; 0, Source!BA228, 1)</f>
        <v>1</v>
      </c>
      <c r="J258" s="27">
        <f>Source!S228</f>
        <v>1733.78</v>
      </c>
      <c r="K258" s="27"/>
    </row>
    <row r="259" spans="1:22" ht="14.25" x14ac:dyDescent="0.2">
      <c r="A259" s="22"/>
      <c r="B259" s="23"/>
      <c r="C259" s="23" t="s">
        <v>295</v>
      </c>
      <c r="D259" s="24" t="s">
        <v>296</v>
      </c>
      <c r="E259" s="9">
        <f>Source!AT228</f>
        <v>70</v>
      </c>
      <c r="F259" s="26"/>
      <c r="G259" s="25"/>
      <c r="H259" s="9"/>
      <c r="I259" s="9"/>
      <c r="J259" s="27">
        <f>SUM(R256:R258)</f>
        <v>1213.6500000000001</v>
      </c>
      <c r="K259" s="27"/>
    </row>
    <row r="260" spans="1:22" ht="14.25" x14ac:dyDescent="0.2">
      <c r="A260" s="22"/>
      <c r="B260" s="23"/>
      <c r="C260" s="23" t="s">
        <v>298</v>
      </c>
      <c r="D260" s="24" t="s">
        <v>299</v>
      </c>
      <c r="E260" s="9">
        <f>Source!AQ228</f>
        <v>67.150000000000006</v>
      </c>
      <c r="F260" s="26"/>
      <c r="G260" s="25" t="str">
        <f>Source!DI228</f>
        <v/>
      </c>
      <c r="H260" s="9">
        <f>Source!AV228</f>
        <v>1</v>
      </c>
      <c r="I260" s="9"/>
      <c r="J260" s="27"/>
      <c r="K260" s="27">
        <f>Source!U228</f>
        <v>10.0725</v>
      </c>
    </row>
    <row r="261" spans="1:22" ht="15" x14ac:dyDescent="0.25">
      <c r="A261" s="32"/>
      <c r="B261" s="32"/>
      <c r="C261" s="32"/>
      <c r="D261" s="32"/>
      <c r="E261" s="32"/>
      <c r="F261" s="32"/>
      <c r="G261" s="32"/>
      <c r="H261" s="32"/>
      <c r="I261" s="69">
        <f>J258+J259</f>
        <v>2947.4300000000003</v>
      </c>
      <c r="J261" s="69"/>
      <c r="K261" s="33">
        <f>IF(Source!I228&lt;&gt;0, ROUND(I261/Source!I228, 2), 0)</f>
        <v>19649.53</v>
      </c>
      <c r="P261" s="30">
        <f>I261</f>
        <v>2947.4300000000003</v>
      </c>
    </row>
    <row r="262" spans="1:22" ht="57" x14ac:dyDescent="0.2">
      <c r="A262" s="22" t="str">
        <f>Source!E229</f>
        <v>26</v>
      </c>
      <c r="B262" s="23" t="str">
        <f>Source!F229</f>
        <v>5.4-3103-6-8/1</v>
      </c>
      <c r="C262" s="23" t="str">
        <f>Source!G229</f>
        <v>Посадка деревьев и кустарников с комом земли размером 1,3х1,3х0,6 м (без стоимости деревьев и кустарников)</v>
      </c>
      <c r="D262" s="24" t="str">
        <f>Source!DW229</f>
        <v>10 шт.</v>
      </c>
      <c r="E262" s="9">
        <f>Source!I229</f>
        <v>0.6</v>
      </c>
      <c r="F262" s="26"/>
      <c r="G262" s="25"/>
      <c r="H262" s="9"/>
      <c r="I262" s="9"/>
      <c r="J262" s="27"/>
      <c r="K262" s="27"/>
      <c r="Q262">
        <f>ROUND((Source!BZ229/100)*ROUND((Source!AF229*Source!AV229)*Source!I229, 2), 2)</f>
        <v>6466.73</v>
      </c>
      <c r="R262">
        <f>Source!X229</f>
        <v>6466.73</v>
      </c>
      <c r="S262">
        <f>ROUND((Source!CA229/100)*ROUND((Source!AF229*Source!AV229)*Source!I229, 2), 2)</f>
        <v>0</v>
      </c>
      <c r="T262">
        <f>Source!Y229</f>
        <v>0</v>
      </c>
      <c r="U262">
        <f>ROUND((175/100)*ROUND((Source!AE229*Source!AV229)*Source!I229, 2), 2)</f>
        <v>1003.47</v>
      </c>
      <c r="V262">
        <f>ROUND((78/100)*ROUND(Source!CS229*Source!I229, 2), 2)</f>
        <v>447.26</v>
      </c>
    </row>
    <row r="263" spans="1:22" x14ac:dyDescent="0.2">
      <c r="C263" s="28" t="str">
        <f>"Объем: "&amp;Source!I229&amp;"=6/"&amp;"10"</f>
        <v>Объем: 0,6=6/10</v>
      </c>
    </row>
    <row r="264" spans="1:22" ht="14.25" x14ac:dyDescent="0.2">
      <c r="A264" s="22"/>
      <c r="B264" s="23"/>
      <c r="C264" s="23" t="s">
        <v>291</v>
      </c>
      <c r="D264" s="24"/>
      <c r="E264" s="9"/>
      <c r="F264" s="26">
        <f>Source!AO229</f>
        <v>15396.97</v>
      </c>
      <c r="G264" s="25" t="str">
        <f>Source!DG229</f>
        <v/>
      </c>
      <c r="H264" s="9">
        <f>Source!AV229</f>
        <v>1</v>
      </c>
      <c r="I264" s="9">
        <f>IF(Source!BA229&lt;&gt; 0, Source!BA229, 1)</f>
        <v>1</v>
      </c>
      <c r="J264" s="27">
        <f>Source!S229</f>
        <v>9238.18</v>
      </c>
      <c r="K264" s="27"/>
    </row>
    <row r="265" spans="1:22" ht="14.25" x14ac:dyDescent="0.2">
      <c r="A265" s="22"/>
      <c r="B265" s="23"/>
      <c r="C265" s="23" t="s">
        <v>292</v>
      </c>
      <c r="D265" s="24"/>
      <c r="E265" s="9"/>
      <c r="F265" s="26">
        <f>Source!AM229</f>
        <v>4253.4399999999996</v>
      </c>
      <c r="G265" s="25" t="str">
        <f>Source!DE229</f>
        <v/>
      </c>
      <c r="H265" s="9">
        <f>Source!AV229</f>
        <v>1</v>
      </c>
      <c r="I265" s="9">
        <f>IF(Source!BB229&lt;&gt; 0, Source!BB229, 1)</f>
        <v>1</v>
      </c>
      <c r="J265" s="27">
        <f>Source!Q229</f>
        <v>2552.06</v>
      </c>
      <c r="K265" s="27"/>
    </row>
    <row r="266" spans="1:22" ht="14.25" x14ac:dyDescent="0.2">
      <c r="A266" s="22"/>
      <c r="B266" s="23"/>
      <c r="C266" s="23" t="s">
        <v>293</v>
      </c>
      <c r="D266" s="24"/>
      <c r="E266" s="9"/>
      <c r="F266" s="26">
        <f>Source!AN229</f>
        <v>955.69</v>
      </c>
      <c r="G266" s="25" t="str">
        <f>Source!DF229</f>
        <v/>
      </c>
      <c r="H266" s="9">
        <f>Source!AV229</f>
        <v>1</v>
      </c>
      <c r="I266" s="9">
        <f>IF(Source!BS229&lt;&gt; 0, Source!BS229, 1)</f>
        <v>1</v>
      </c>
      <c r="J266" s="29">
        <f>Source!R229</f>
        <v>573.41</v>
      </c>
      <c r="K266" s="27"/>
    </row>
    <row r="267" spans="1:22" ht="14.25" x14ac:dyDescent="0.2">
      <c r="A267" s="22"/>
      <c r="B267" s="23"/>
      <c r="C267" s="23" t="s">
        <v>294</v>
      </c>
      <c r="D267" s="24"/>
      <c r="E267" s="9"/>
      <c r="F267" s="26">
        <f>Source!AL229</f>
        <v>951.6</v>
      </c>
      <c r="G267" s="25" t="str">
        <f>Source!DD229</f>
        <v/>
      </c>
      <c r="H267" s="9">
        <f>Source!AW229</f>
        <v>1</v>
      </c>
      <c r="I267" s="9">
        <f>IF(Source!BC229&lt;&gt; 0, Source!BC229, 1)</f>
        <v>1</v>
      </c>
      <c r="J267" s="27">
        <f>Source!P229</f>
        <v>570.96</v>
      </c>
      <c r="K267" s="27"/>
    </row>
    <row r="268" spans="1:22" ht="57" x14ac:dyDescent="0.2">
      <c r="A268" s="22" t="str">
        <f>Source!E230</f>
        <v>26,1</v>
      </c>
      <c r="B268" s="23" t="str">
        <f>Source!F230</f>
        <v>21.4-1-5</v>
      </c>
      <c r="C268" s="23" t="str">
        <f>Source!G230</f>
        <v>Деревья декоративные лиственных пород с комом земли, порода: бархат амурский, вяз, дуб, каштан, клен, липа, орех, ясень, размер кома: 1,3х1,3х0,6 м</v>
      </c>
      <c r="D268" s="24" t="str">
        <f>Source!DW230</f>
        <v>шт.</v>
      </c>
      <c r="E268" s="9">
        <f>Source!I230</f>
        <v>6</v>
      </c>
      <c r="F268" s="26">
        <f>Source!AK230</f>
        <v>8631.6</v>
      </c>
      <c r="G268" s="34" t="s">
        <v>3</v>
      </c>
      <c r="H268" s="9">
        <f>Source!AW230</f>
        <v>1</v>
      </c>
      <c r="I268" s="9">
        <f>IF(Source!BC230&lt;&gt; 0, Source!BC230, 1)</f>
        <v>1</v>
      </c>
      <c r="J268" s="27">
        <f>Source!O230</f>
        <v>51789.599999999999</v>
      </c>
      <c r="K268" s="27"/>
      <c r="Q268">
        <f>ROUND((Source!BZ230/100)*ROUND((Source!AF230*Source!AV230)*Source!I230, 2), 2)</f>
        <v>0</v>
      </c>
      <c r="R268">
        <f>Source!X230</f>
        <v>0</v>
      </c>
      <c r="S268">
        <f>ROUND((Source!CA230/100)*ROUND((Source!AF230*Source!AV230)*Source!I230, 2), 2)</f>
        <v>0</v>
      </c>
      <c r="T268">
        <f>Source!Y230</f>
        <v>0</v>
      </c>
      <c r="U268">
        <f>ROUND((175/100)*ROUND((Source!AE230*Source!AV230)*Source!I230, 2), 2)</f>
        <v>0</v>
      </c>
      <c r="V268">
        <f>ROUND((78/100)*ROUND(Source!CS230*Source!I230, 2), 2)</f>
        <v>0</v>
      </c>
    </row>
    <row r="269" spans="1:22" ht="14.25" x14ac:dyDescent="0.2">
      <c r="A269" s="22"/>
      <c r="B269" s="23"/>
      <c r="C269" s="23" t="s">
        <v>295</v>
      </c>
      <c r="D269" s="24" t="s">
        <v>296</v>
      </c>
      <c r="E269" s="9">
        <f>Source!AT229</f>
        <v>70</v>
      </c>
      <c r="F269" s="26"/>
      <c r="G269" s="25"/>
      <c r="H269" s="9"/>
      <c r="I269" s="9"/>
      <c r="J269" s="27">
        <f>SUM(R262:R268)</f>
        <v>6466.73</v>
      </c>
      <c r="K269" s="27"/>
    </row>
    <row r="270" spans="1:22" ht="14.25" x14ac:dyDescent="0.2">
      <c r="A270" s="22"/>
      <c r="B270" s="23"/>
      <c r="C270" s="23" t="s">
        <v>297</v>
      </c>
      <c r="D270" s="24" t="s">
        <v>296</v>
      </c>
      <c r="E270" s="9">
        <f>78</f>
        <v>78</v>
      </c>
      <c r="F270" s="26"/>
      <c r="G270" s="25"/>
      <c r="H270" s="9"/>
      <c r="I270" s="9"/>
      <c r="J270" s="27">
        <f>SUM(V262:V269)</f>
        <v>447.26</v>
      </c>
      <c r="K270" s="27"/>
    </row>
    <row r="271" spans="1:22" ht="14.25" x14ac:dyDescent="0.2">
      <c r="A271" s="22"/>
      <c r="B271" s="23"/>
      <c r="C271" s="23" t="s">
        <v>298</v>
      </c>
      <c r="D271" s="24" t="s">
        <v>299</v>
      </c>
      <c r="E271" s="9">
        <f>Source!AQ229</f>
        <v>68.08</v>
      </c>
      <c r="F271" s="26"/>
      <c r="G271" s="25" t="str">
        <f>Source!DI229</f>
        <v/>
      </c>
      <c r="H271" s="9">
        <f>Source!AV229</f>
        <v>1</v>
      </c>
      <c r="I271" s="9"/>
      <c r="J271" s="27"/>
      <c r="K271" s="27">
        <f>Source!U229</f>
        <v>40.847999999999999</v>
      </c>
    </row>
    <row r="272" spans="1:22" ht="15" x14ac:dyDescent="0.25">
      <c r="A272" s="32"/>
      <c r="B272" s="32"/>
      <c r="C272" s="32"/>
      <c r="D272" s="32"/>
      <c r="E272" s="32"/>
      <c r="F272" s="32"/>
      <c r="G272" s="32"/>
      <c r="H272" s="32"/>
      <c r="I272" s="69">
        <f>J264+J265+J267+J269+J270+SUM(J268:J268)</f>
        <v>71064.789999999994</v>
      </c>
      <c r="J272" s="69"/>
      <c r="K272" s="33">
        <f>IF(Source!I229&lt;&gt;0, ROUND(I272/Source!I229, 2), 0)</f>
        <v>118441.32</v>
      </c>
      <c r="P272" s="30">
        <f>I272</f>
        <v>71064.789999999994</v>
      </c>
    </row>
    <row r="274" spans="1:22" ht="15" x14ac:dyDescent="0.25">
      <c r="A274" s="73" t="str">
        <f>CONCATENATE("Итого по подразделу: ",IF(Source!G232&lt;&gt;"Новый подраздел", Source!G232, ""))</f>
        <v>Итого по подразделу: Восстановление отпада деревьев 5%</v>
      </c>
      <c r="B274" s="73"/>
      <c r="C274" s="73"/>
      <c r="D274" s="73"/>
      <c r="E274" s="73"/>
      <c r="F274" s="73"/>
      <c r="G274" s="73"/>
      <c r="H274" s="73"/>
      <c r="I274" s="71">
        <f>SUM(P236:P273)</f>
        <v>141133.37</v>
      </c>
      <c r="J274" s="72"/>
      <c r="K274" s="35"/>
    </row>
    <row r="277" spans="1:22" ht="16.5" x14ac:dyDescent="0.25">
      <c r="A277" s="70" t="str">
        <f>CONCATENATE("Подраздел: ",IF(Source!G261&lt;&gt;"Новый подраздел", Source!G261, ""))</f>
        <v>Подраздел: Уход за деревьями - внутридворовые территории</v>
      </c>
      <c r="B277" s="70"/>
      <c r="C277" s="70"/>
      <c r="D277" s="70"/>
      <c r="E277" s="70"/>
      <c r="F277" s="70"/>
      <c r="G277" s="70"/>
      <c r="H277" s="70"/>
      <c r="I277" s="70"/>
      <c r="J277" s="70"/>
      <c r="K277" s="70"/>
    </row>
    <row r="278" spans="1:22" ht="57" x14ac:dyDescent="0.2">
      <c r="A278" s="22" t="str">
        <f>Source!E265</f>
        <v>27</v>
      </c>
      <c r="B278" s="23" t="str">
        <f>Source!F265</f>
        <v>5.4-3405-1-8/1</v>
      </c>
      <c r="C278" s="23" t="str">
        <f>Source!G265</f>
        <v>Уход за деревьями или кустарниками с комом земли в течение года после посадки (комплексные расценки) - ком размером 1,3х1,3х0,6 м</v>
      </c>
      <c r="D278" s="24" t="str">
        <f>Source!DW265</f>
        <v>10 шт.</v>
      </c>
      <c r="E278" s="9">
        <f>Source!I265</f>
        <v>12</v>
      </c>
      <c r="F278" s="26"/>
      <c r="G278" s="25"/>
      <c r="H278" s="9"/>
      <c r="I278" s="9"/>
      <c r="J278" s="27"/>
      <c r="K278" s="27"/>
      <c r="Q278">
        <f>ROUND((Source!BZ265/100)*ROUND((Source!AF265*Source!AV265)*Source!I265, 2), 2)</f>
        <v>93216.56</v>
      </c>
      <c r="R278">
        <f>Source!X265</f>
        <v>93216.56</v>
      </c>
      <c r="S278">
        <f>ROUND((Source!CA265/100)*ROUND((Source!AF265*Source!AV265)*Source!I265, 2), 2)</f>
        <v>0</v>
      </c>
      <c r="T278">
        <f>Source!Y265</f>
        <v>0</v>
      </c>
      <c r="U278">
        <f>ROUND((175/100)*ROUND((Source!AE265*Source!AV265)*Source!I265, 2), 2)</f>
        <v>46920.72</v>
      </c>
      <c r="V278">
        <f>ROUND((78/100)*ROUND(Source!CS265*Source!I265, 2), 2)</f>
        <v>20913.240000000002</v>
      </c>
    </row>
    <row r="279" spans="1:22" x14ac:dyDescent="0.2">
      <c r="C279" s="28" t="str">
        <f>"Объем: "&amp;Source!I265&amp;"=120/"&amp;"10"</f>
        <v>Объем: 12=120/10</v>
      </c>
    </row>
    <row r="280" spans="1:22" ht="14.25" x14ac:dyDescent="0.2">
      <c r="A280" s="22"/>
      <c r="B280" s="23"/>
      <c r="C280" s="23" t="s">
        <v>291</v>
      </c>
      <c r="D280" s="24"/>
      <c r="E280" s="9"/>
      <c r="F280" s="26">
        <f>Source!AO265</f>
        <v>11097.21</v>
      </c>
      <c r="G280" s="25" t="str">
        <f>Source!DG265</f>
        <v/>
      </c>
      <c r="H280" s="9">
        <f>Source!AV265</f>
        <v>1</v>
      </c>
      <c r="I280" s="9">
        <f>IF(Source!BA265&lt;&gt; 0, Source!BA265, 1)</f>
        <v>1</v>
      </c>
      <c r="J280" s="27">
        <f>Source!S265</f>
        <v>133166.51999999999</v>
      </c>
      <c r="K280" s="27"/>
    </row>
    <row r="281" spans="1:22" ht="14.25" x14ac:dyDescent="0.2">
      <c r="A281" s="22"/>
      <c r="B281" s="23"/>
      <c r="C281" s="23" t="s">
        <v>292</v>
      </c>
      <c r="D281" s="24"/>
      <c r="E281" s="9"/>
      <c r="F281" s="26">
        <f>Source!AM265</f>
        <v>9944.11</v>
      </c>
      <c r="G281" s="25" t="str">
        <f>Source!DE265</f>
        <v/>
      </c>
      <c r="H281" s="9">
        <f>Source!AV265</f>
        <v>1</v>
      </c>
      <c r="I281" s="9">
        <f>IF(Source!BB265&lt;&gt; 0, Source!BB265, 1)</f>
        <v>1</v>
      </c>
      <c r="J281" s="27">
        <f>Source!Q265</f>
        <v>119329.32</v>
      </c>
      <c r="K281" s="27"/>
    </row>
    <row r="282" spans="1:22" ht="14.25" x14ac:dyDescent="0.2">
      <c r="A282" s="22"/>
      <c r="B282" s="23"/>
      <c r="C282" s="23" t="s">
        <v>293</v>
      </c>
      <c r="D282" s="24"/>
      <c r="E282" s="9"/>
      <c r="F282" s="26">
        <f>Source!AN265</f>
        <v>2234.3200000000002</v>
      </c>
      <c r="G282" s="25" t="str">
        <f>Source!DF265</f>
        <v/>
      </c>
      <c r="H282" s="9">
        <f>Source!AV265</f>
        <v>1</v>
      </c>
      <c r="I282" s="9">
        <f>IF(Source!BS265&lt;&gt; 0, Source!BS265, 1)</f>
        <v>1</v>
      </c>
      <c r="J282" s="29">
        <f>Source!R265</f>
        <v>26811.84</v>
      </c>
      <c r="K282" s="27"/>
    </row>
    <row r="283" spans="1:22" ht="14.25" x14ac:dyDescent="0.2">
      <c r="A283" s="22"/>
      <c r="B283" s="23"/>
      <c r="C283" s="23" t="s">
        <v>294</v>
      </c>
      <c r="D283" s="24"/>
      <c r="E283" s="9"/>
      <c r="F283" s="26">
        <f>Source!AL265</f>
        <v>684.47</v>
      </c>
      <c r="G283" s="25" t="str">
        <f>Source!DD265</f>
        <v/>
      </c>
      <c r="H283" s="9">
        <f>Source!AW265</f>
        <v>1</v>
      </c>
      <c r="I283" s="9">
        <f>IF(Source!BC265&lt;&gt; 0, Source!BC265, 1)</f>
        <v>1</v>
      </c>
      <c r="J283" s="27">
        <f>Source!P265</f>
        <v>8213.64</v>
      </c>
      <c r="K283" s="27"/>
    </row>
    <row r="284" spans="1:22" ht="14.25" x14ac:dyDescent="0.2">
      <c r="A284" s="22"/>
      <c r="B284" s="23"/>
      <c r="C284" s="23" t="s">
        <v>295</v>
      </c>
      <c r="D284" s="24" t="s">
        <v>296</v>
      </c>
      <c r="E284" s="9">
        <f>Source!AT265</f>
        <v>70</v>
      </c>
      <c r="F284" s="26"/>
      <c r="G284" s="25"/>
      <c r="H284" s="9"/>
      <c r="I284" s="9"/>
      <c r="J284" s="27">
        <f>SUM(R278:R283)</f>
        <v>93216.56</v>
      </c>
      <c r="K284" s="27"/>
    </row>
    <row r="285" spans="1:22" ht="14.25" x14ac:dyDescent="0.2">
      <c r="A285" s="22"/>
      <c r="B285" s="23"/>
      <c r="C285" s="23" t="s">
        <v>297</v>
      </c>
      <c r="D285" s="24" t="s">
        <v>296</v>
      </c>
      <c r="E285" s="9">
        <f>78</f>
        <v>78</v>
      </c>
      <c r="F285" s="26"/>
      <c r="G285" s="25"/>
      <c r="H285" s="9"/>
      <c r="I285" s="9"/>
      <c r="J285" s="27">
        <f>SUM(V278:V284)</f>
        <v>20913.240000000002</v>
      </c>
      <c r="K285" s="27"/>
    </row>
    <row r="286" spans="1:22" ht="14.25" x14ac:dyDescent="0.2">
      <c r="A286" s="22"/>
      <c r="B286" s="23"/>
      <c r="C286" s="23" t="s">
        <v>298</v>
      </c>
      <c r="D286" s="24" t="s">
        <v>299</v>
      </c>
      <c r="E286" s="9">
        <f>Source!AQ265</f>
        <v>60.86</v>
      </c>
      <c r="F286" s="26"/>
      <c r="G286" s="25" t="str">
        <f>Source!DI265</f>
        <v/>
      </c>
      <c r="H286" s="9">
        <f>Source!AV265</f>
        <v>1</v>
      </c>
      <c r="I286" s="9"/>
      <c r="J286" s="27"/>
      <c r="K286" s="27">
        <f>Source!U265</f>
        <v>730.31999999999994</v>
      </c>
    </row>
    <row r="287" spans="1:22" ht="15" x14ac:dyDescent="0.25">
      <c r="A287" s="32"/>
      <c r="B287" s="32"/>
      <c r="C287" s="32"/>
      <c r="D287" s="32"/>
      <c r="E287" s="32"/>
      <c r="F287" s="32"/>
      <c r="G287" s="32"/>
      <c r="H287" s="32"/>
      <c r="I287" s="69">
        <f>J280+J281+J283+J284+J285</f>
        <v>374839.27999999997</v>
      </c>
      <c r="J287" s="69"/>
      <c r="K287" s="33">
        <f>IF(Source!I265&lt;&gt;0, ROUND(I287/Source!I265, 2), 0)</f>
        <v>31236.61</v>
      </c>
      <c r="P287" s="30">
        <f>I287</f>
        <v>374839.27999999997</v>
      </c>
    </row>
    <row r="288" spans="1:22" ht="57" x14ac:dyDescent="0.2">
      <c r="A288" s="22" t="str">
        <f>Source!E266</f>
        <v>28</v>
      </c>
      <c r="B288" s="23" t="str">
        <f>Source!F266</f>
        <v>5.4-3103-20-3/1</v>
      </c>
      <c r="C288" s="23" t="str">
        <f>Source!G266</f>
        <v>Внесение минеральных удобрений при посадке деревьев и кустарников для стандартных саженцев 1,01х120=121,2 м3</v>
      </c>
      <c r="D288" s="24" t="str">
        <f>Source!DW266</f>
        <v>10 м3 ям</v>
      </c>
      <c r="E288" s="9">
        <f>Source!I266</f>
        <v>12.12</v>
      </c>
      <c r="F288" s="26"/>
      <c r="G288" s="25"/>
      <c r="H288" s="9"/>
      <c r="I288" s="9"/>
      <c r="J288" s="27"/>
      <c r="K288" s="27"/>
      <c r="Q288">
        <f>ROUND((Source!BZ266/100)*ROUND((Source!AF266*Source!AV266)*Source!I266, 2), 2)</f>
        <v>27586.06</v>
      </c>
      <c r="R288">
        <f>Source!X266</f>
        <v>27586.06</v>
      </c>
      <c r="S288">
        <f>ROUND((Source!CA266/100)*ROUND((Source!AF266*Source!AV266)*Source!I266, 2), 2)</f>
        <v>0</v>
      </c>
      <c r="T288">
        <f>Source!Y266</f>
        <v>0</v>
      </c>
      <c r="U288">
        <f>ROUND((175/100)*ROUND((Source!AE266*Source!AV266)*Source!I266, 2), 2)</f>
        <v>0</v>
      </c>
      <c r="V288">
        <f>ROUND((78/100)*ROUND(Source!CS266*Source!I266, 2), 2)</f>
        <v>0</v>
      </c>
    </row>
    <row r="289" spans="1:32" x14ac:dyDescent="0.2">
      <c r="C289" s="28" t="str">
        <f>"Объем: "&amp;Source!I266&amp;"=121,2/"&amp;"10"</f>
        <v>Объем: 12,12=121,2/10</v>
      </c>
    </row>
    <row r="290" spans="1:32" ht="14.25" x14ac:dyDescent="0.2">
      <c r="A290" s="22"/>
      <c r="B290" s="23"/>
      <c r="C290" s="23" t="s">
        <v>291</v>
      </c>
      <c r="D290" s="24"/>
      <c r="E290" s="9"/>
      <c r="F290" s="26">
        <f>Source!AO266</f>
        <v>3251.54</v>
      </c>
      <c r="G290" s="25" t="str">
        <f>Source!DG266</f>
        <v/>
      </c>
      <c r="H290" s="9">
        <f>Source!AV266</f>
        <v>1</v>
      </c>
      <c r="I290" s="9">
        <f>IF(Source!BA266&lt;&gt; 0, Source!BA266, 1)</f>
        <v>1</v>
      </c>
      <c r="J290" s="27">
        <f>Source!S266</f>
        <v>39408.660000000003</v>
      </c>
      <c r="K290" s="27"/>
    </row>
    <row r="291" spans="1:32" ht="14.25" x14ac:dyDescent="0.2">
      <c r="A291" s="22"/>
      <c r="B291" s="23"/>
      <c r="C291" s="23" t="s">
        <v>294</v>
      </c>
      <c r="D291" s="24"/>
      <c r="E291" s="9"/>
      <c r="F291" s="26">
        <f>Source!AL266</f>
        <v>4313.78</v>
      </c>
      <c r="G291" s="25" t="str">
        <f>Source!DD266</f>
        <v/>
      </c>
      <c r="H291" s="9">
        <f>Source!AW266</f>
        <v>1</v>
      </c>
      <c r="I291" s="9">
        <f>IF(Source!BC266&lt;&gt; 0, Source!BC266, 1)</f>
        <v>1</v>
      </c>
      <c r="J291" s="27">
        <f>Source!P266</f>
        <v>52283.01</v>
      </c>
      <c r="K291" s="27"/>
    </row>
    <row r="292" spans="1:32" ht="14.25" x14ac:dyDescent="0.2">
      <c r="A292" s="22"/>
      <c r="B292" s="23"/>
      <c r="C292" s="23" t="s">
        <v>295</v>
      </c>
      <c r="D292" s="24" t="s">
        <v>296</v>
      </c>
      <c r="E292" s="9">
        <f>Source!AT266</f>
        <v>70</v>
      </c>
      <c r="F292" s="26"/>
      <c r="G292" s="25"/>
      <c r="H292" s="9"/>
      <c r="I292" s="9"/>
      <c r="J292" s="27">
        <f>SUM(R288:R291)</f>
        <v>27586.06</v>
      </c>
      <c r="K292" s="27"/>
    </row>
    <row r="293" spans="1:32" ht="14.25" x14ac:dyDescent="0.2">
      <c r="A293" s="22"/>
      <c r="B293" s="23"/>
      <c r="C293" s="23" t="s">
        <v>298</v>
      </c>
      <c r="D293" s="24" t="s">
        <v>299</v>
      </c>
      <c r="E293" s="9">
        <f>Source!AQ266</f>
        <v>18.89</v>
      </c>
      <c r="F293" s="26"/>
      <c r="G293" s="25" t="str">
        <f>Source!DI266</f>
        <v/>
      </c>
      <c r="H293" s="9">
        <f>Source!AV266</f>
        <v>1</v>
      </c>
      <c r="I293" s="9"/>
      <c r="J293" s="27"/>
      <c r="K293" s="27">
        <f>Source!U266</f>
        <v>228.9468</v>
      </c>
    </row>
    <row r="294" spans="1:32" ht="15" x14ac:dyDescent="0.25">
      <c r="A294" s="32"/>
      <c r="B294" s="32"/>
      <c r="C294" s="32"/>
      <c r="D294" s="32"/>
      <c r="E294" s="32"/>
      <c r="F294" s="32"/>
      <c r="G294" s="32"/>
      <c r="H294" s="32"/>
      <c r="I294" s="69">
        <f>J290+J291+J292</f>
        <v>119277.73000000001</v>
      </c>
      <c r="J294" s="69"/>
      <c r="K294" s="33">
        <f>IF(Source!I266&lt;&gt;0, ROUND(I294/Source!I266, 2), 0)</f>
        <v>9841.4</v>
      </c>
      <c r="P294" s="30">
        <f>I294</f>
        <v>119277.73000000001</v>
      </c>
    </row>
    <row r="296" spans="1:32" ht="15" x14ac:dyDescent="0.25">
      <c r="A296" s="73" t="str">
        <f>CONCATENATE("Итого по подразделу: ",IF(Source!G268&lt;&gt;"Новый подраздел", Source!G268, ""))</f>
        <v>Итого по подразделу: Уход за деревьями - внутридворовые территории</v>
      </c>
      <c r="B296" s="73"/>
      <c r="C296" s="73"/>
      <c r="D296" s="73"/>
      <c r="E296" s="73"/>
      <c r="F296" s="73"/>
      <c r="G296" s="73"/>
      <c r="H296" s="73"/>
      <c r="I296" s="71">
        <f>SUM(P277:P295)</f>
        <v>494117.01</v>
      </c>
      <c r="J296" s="72"/>
      <c r="K296" s="35"/>
    </row>
    <row r="299" spans="1:32" ht="30" x14ac:dyDescent="0.25">
      <c r="A299" s="73" t="str">
        <f>CONCATENATE("Итого по разделу: ",IF(Source!G297&lt;&gt;"Новый раздел", Source!G297, ""))</f>
        <v>Итого по разделу: Посадка на внутридворовых территориях деревьев IV группы, ком 1,3*1,3*0,6, 75% замена земли</v>
      </c>
      <c r="B299" s="73"/>
      <c r="C299" s="73"/>
      <c r="D299" s="73"/>
      <c r="E299" s="73"/>
      <c r="F299" s="73"/>
      <c r="G299" s="73"/>
      <c r="H299" s="73"/>
      <c r="I299" s="71">
        <f>SUM(P168:P298)</f>
        <v>4002186.06</v>
      </c>
      <c r="J299" s="72"/>
      <c r="K299" s="35"/>
      <c r="AF299" s="36" t="str">
        <f>CONCATENATE("Итого по разделу: ",IF(Source!G297&lt;&gt;"Новый раздел", Source!G297, ""))</f>
        <v>Итого по разделу: Посадка на внутридворовых территориях деревьев IV группы, ком 1,3*1,3*0,6, 75% замена земли</v>
      </c>
    </row>
    <row r="302" spans="1:32" ht="15" x14ac:dyDescent="0.25">
      <c r="A302" s="73" t="str">
        <f>CONCATENATE("Итого по локальной смете: ",IF(Source!G326&lt;&gt;"Новая локальная смета", Source!G326, ""))</f>
        <v xml:space="preserve">Итого по локальной смете: </v>
      </c>
      <c r="B302" s="73"/>
      <c r="C302" s="73"/>
      <c r="D302" s="73"/>
      <c r="E302" s="73"/>
      <c r="F302" s="73"/>
      <c r="G302" s="73"/>
      <c r="H302" s="73"/>
      <c r="I302" s="71">
        <f>SUM(P32:P301)</f>
        <v>6551640.1699999999</v>
      </c>
      <c r="J302" s="72"/>
      <c r="K302" s="35"/>
    </row>
    <row r="305" spans="1:32" ht="45" x14ac:dyDescent="0.25">
      <c r="A305" s="73" t="str">
        <f>CONCATENATE("Итого по смете: ",IF(Source!G355&lt;&gt;"Новый объект", Source!G355, ""))</f>
        <v>Итого по смете: 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v>
      </c>
      <c r="B305" s="73"/>
      <c r="C305" s="73"/>
      <c r="D305" s="73"/>
      <c r="E305" s="73"/>
      <c r="F305" s="73"/>
      <c r="G305" s="73"/>
      <c r="H305" s="73"/>
      <c r="I305" s="71">
        <f>SUM(P1:P304)</f>
        <v>6551640.1699999999</v>
      </c>
      <c r="J305" s="72"/>
      <c r="K305" s="35"/>
      <c r="AF305" s="36" t="str">
        <f>CONCATENATE("Итого по смете: ",IF(Source!G355&lt;&gt;"Новый объект", Source!G355, ""))</f>
        <v>Итого по смете: 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v>
      </c>
    </row>
    <row r="306" spans="1:32" ht="14.25" x14ac:dyDescent="0.2">
      <c r="C306" s="66" t="str">
        <f>Source!H383</f>
        <v>Всего по смете</v>
      </c>
      <c r="D306" s="66"/>
      <c r="E306" s="66"/>
      <c r="F306" s="66"/>
      <c r="G306" s="66"/>
      <c r="H306" s="66"/>
      <c r="I306" s="63">
        <f>IF(Source!F383=0, "", Source!F383)</f>
        <v>6551640.1699999999</v>
      </c>
      <c r="J306" s="63"/>
    </row>
    <row r="307" spans="1:32" ht="14.25" x14ac:dyDescent="0.2">
      <c r="C307" s="66" t="str">
        <f>Source!H384</f>
        <v>Всего без ОЗП и ЗПМ</v>
      </c>
      <c r="D307" s="66"/>
      <c r="E307" s="66"/>
      <c r="F307" s="66"/>
      <c r="G307" s="66"/>
      <c r="H307" s="66"/>
      <c r="I307" s="63">
        <f>IF(Source!F384=0, "", Source!F384)</f>
        <v>4337523.95</v>
      </c>
      <c r="J307" s="63"/>
    </row>
    <row r="308" spans="1:32" ht="14.25" x14ac:dyDescent="0.2">
      <c r="C308" s="66" t="str">
        <f>Source!H385</f>
        <v>НДС 20%</v>
      </c>
      <c r="D308" s="66"/>
      <c r="E308" s="66"/>
      <c r="F308" s="66"/>
      <c r="G308" s="66"/>
      <c r="H308" s="66"/>
      <c r="I308" s="63">
        <f>IF(Source!F385=0, "", Source!F385)</f>
        <v>867504.79</v>
      </c>
      <c r="J308" s="63"/>
    </row>
    <row r="309" spans="1:32" ht="14.25" x14ac:dyDescent="0.2">
      <c r="C309" s="66" t="str">
        <f>Source!H386</f>
        <v>Итого с НДС</v>
      </c>
      <c r="D309" s="66"/>
      <c r="E309" s="66"/>
      <c r="F309" s="66"/>
      <c r="G309" s="66"/>
      <c r="H309" s="66"/>
      <c r="I309" s="63">
        <f>IF(Source!F386=0, "", Source!F386)</f>
        <v>7419144.96</v>
      </c>
      <c r="J309" s="63"/>
    </row>
    <row r="310" spans="1:32" ht="14.25" x14ac:dyDescent="0.2">
      <c r="C310" s="66" t="str">
        <f>Source!H387</f>
        <v>Итого с понижающим коэффициентом (к-0,8596728801643)</v>
      </c>
      <c r="D310" s="66"/>
      <c r="E310" s="66"/>
      <c r="F310" s="66"/>
      <c r="G310" s="66"/>
      <c r="H310" s="66"/>
      <c r="I310" s="63">
        <f>IF(Source!F387=0, "", Source!F387)</f>
        <v>6378037.7199999997</v>
      </c>
      <c r="J310" s="63"/>
    </row>
    <row r="313" spans="1:32" ht="14.25" x14ac:dyDescent="0.2">
      <c r="A313" s="74" t="s">
        <v>300</v>
      </c>
      <c r="B313" s="74"/>
      <c r="C313" s="37" t="str">
        <f>IF(Source!AC12&lt;&gt;"", Source!AC12," ")</f>
        <v>инженер-сметчик</v>
      </c>
      <c r="D313" s="37"/>
      <c r="E313" s="37"/>
      <c r="F313" s="37"/>
      <c r="G313" s="37"/>
      <c r="H313" s="10" t="str">
        <f>IF(Source!AB12&lt;&gt;"", Source!AB12," ")</f>
        <v>А.Б.Юрков</v>
      </c>
      <c r="I313" s="10"/>
      <c r="J313" s="10"/>
      <c r="K313" s="10"/>
    </row>
    <row r="314" spans="1:32" ht="14.25" x14ac:dyDescent="0.2">
      <c r="A314" s="10"/>
      <c r="B314" s="10"/>
      <c r="C314" s="75" t="s">
        <v>301</v>
      </c>
      <c r="D314" s="75"/>
      <c r="E314" s="75"/>
      <c r="F314" s="75"/>
      <c r="G314" s="75"/>
      <c r="H314" s="10"/>
      <c r="I314" s="10"/>
      <c r="J314" s="10"/>
      <c r="K314" s="10"/>
    </row>
    <row r="315" spans="1:32" ht="14.2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1:32" ht="14.25" x14ac:dyDescent="0.2">
      <c r="A316" s="74" t="s">
        <v>302</v>
      </c>
      <c r="B316" s="74"/>
      <c r="C316" s="37" t="str">
        <f>IF(Source!AE12&lt;&gt;"", Source!AE12," ")</f>
        <v>начальник отдела благоустройства</v>
      </c>
      <c r="D316" s="37"/>
      <c r="E316" s="37"/>
      <c r="F316" s="37"/>
      <c r="G316" s="37"/>
      <c r="H316" s="10" t="str">
        <f>IF(Source!AD12&lt;&gt;"", Source!AD12," ")</f>
        <v>А.В.Козовков</v>
      </c>
      <c r="I316" s="10"/>
      <c r="J316" s="10"/>
      <c r="K316" s="10"/>
    </row>
    <row r="317" spans="1:32" ht="14.25" x14ac:dyDescent="0.2">
      <c r="A317" s="10"/>
      <c r="B317" s="10"/>
      <c r="C317" s="75" t="s">
        <v>301</v>
      </c>
      <c r="D317" s="75"/>
      <c r="E317" s="75"/>
      <c r="F317" s="75"/>
      <c r="G317" s="75"/>
      <c r="H317" s="10"/>
      <c r="I317" s="10"/>
      <c r="J317" s="10"/>
      <c r="K317" s="10"/>
    </row>
  </sheetData>
  <mergeCells count="108">
    <mergeCell ref="C310:H310"/>
    <mergeCell ref="I310:J310"/>
    <mergeCell ref="A313:B313"/>
    <mergeCell ref="C314:G314"/>
    <mergeCell ref="A316:B316"/>
    <mergeCell ref="C317:G317"/>
    <mergeCell ref="C307:H307"/>
    <mergeCell ref="I307:J307"/>
    <mergeCell ref="C308:H308"/>
    <mergeCell ref="I308:J308"/>
    <mergeCell ref="C309:H309"/>
    <mergeCell ref="I309:J309"/>
    <mergeCell ref="I302:J302"/>
    <mergeCell ref="A302:H302"/>
    <mergeCell ref="I305:J305"/>
    <mergeCell ref="A305:H305"/>
    <mergeCell ref="C306:H306"/>
    <mergeCell ref="I306:J306"/>
    <mergeCell ref="A277:K277"/>
    <mergeCell ref="I287:J287"/>
    <mergeCell ref="I294:J294"/>
    <mergeCell ref="I296:J296"/>
    <mergeCell ref="A296:H296"/>
    <mergeCell ref="I299:J299"/>
    <mergeCell ref="A299:H299"/>
    <mergeCell ref="I246:J246"/>
    <mergeCell ref="I255:J255"/>
    <mergeCell ref="I261:J261"/>
    <mergeCell ref="I272:J272"/>
    <mergeCell ref="I274:J274"/>
    <mergeCell ref="A274:H274"/>
    <mergeCell ref="I210:J210"/>
    <mergeCell ref="I220:J220"/>
    <mergeCell ref="I231:J231"/>
    <mergeCell ref="I233:J233"/>
    <mergeCell ref="A233:H233"/>
    <mergeCell ref="A236:K236"/>
    <mergeCell ref="A170:K170"/>
    <mergeCell ref="I180:J180"/>
    <mergeCell ref="I187:J187"/>
    <mergeCell ref="I193:J193"/>
    <mergeCell ref="I202:J202"/>
    <mergeCell ref="I206:J206"/>
    <mergeCell ref="I160:J160"/>
    <mergeCell ref="I162:J162"/>
    <mergeCell ref="A162:H162"/>
    <mergeCell ref="I165:J165"/>
    <mergeCell ref="A165:H165"/>
    <mergeCell ref="A168:K168"/>
    <mergeCell ref="I127:J127"/>
    <mergeCell ref="I138:J138"/>
    <mergeCell ref="I140:J140"/>
    <mergeCell ref="A140:H140"/>
    <mergeCell ref="A143:K143"/>
    <mergeCell ref="I153:J153"/>
    <mergeCell ref="I97:J97"/>
    <mergeCell ref="I99:J99"/>
    <mergeCell ref="A99:H99"/>
    <mergeCell ref="A102:K102"/>
    <mergeCell ref="I112:J112"/>
    <mergeCell ref="I121:J121"/>
    <mergeCell ref="I53:J53"/>
    <mergeCell ref="I59:J59"/>
    <mergeCell ref="I68:J68"/>
    <mergeCell ref="I72:J72"/>
    <mergeCell ref="I76:J76"/>
    <mergeCell ref="I86:J86"/>
    <mergeCell ref="I27:I29"/>
    <mergeCell ref="J27:J29"/>
    <mergeCell ref="A32:K32"/>
    <mergeCell ref="A34:K34"/>
    <mergeCell ref="A36:K36"/>
    <mergeCell ref="I46:J46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F22:H22"/>
    <mergeCell ref="I22:J22"/>
    <mergeCell ref="F23:H23"/>
    <mergeCell ref="I23:J23"/>
    <mergeCell ref="F24:H24"/>
    <mergeCell ref="I24:J24"/>
    <mergeCell ref="A15:K15"/>
    <mergeCell ref="A16:K16"/>
    <mergeCell ref="A18:K18"/>
    <mergeCell ref="F20:H20"/>
    <mergeCell ref="I20:J20"/>
    <mergeCell ref="F21:H21"/>
    <mergeCell ref="I21:J21"/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9"/>
  <sheetViews>
    <sheetView workbookViewId="0"/>
  </sheetViews>
  <sheetFormatPr defaultRowHeight="12.75" x14ac:dyDescent="0.2"/>
  <sheetData>
    <row r="1" spans="1:23" x14ac:dyDescent="0.2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</row>
    <row r="2" spans="1:23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4" spans="1:23" x14ac:dyDescent="0.2">
      <c r="A4" t="s">
        <v>303</v>
      </c>
      <c r="B4" t="s">
        <v>304</v>
      </c>
      <c r="C4" t="s">
        <v>305</v>
      </c>
      <c r="D4" t="s">
        <v>306</v>
      </c>
      <c r="E4" t="s">
        <v>307</v>
      </c>
      <c r="F4" t="s">
        <v>308</v>
      </c>
      <c r="G4" t="s">
        <v>309</v>
      </c>
      <c r="H4" t="s">
        <v>310</v>
      </c>
      <c r="I4" t="s">
        <v>311</v>
      </c>
      <c r="J4" t="s">
        <v>312</v>
      </c>
      <c r="K4" t="s">
        <v>313</v>
      </c>
      <c r="L4" t="s">
        <v>314</v>
      </c>
      <c r="M4" t="s">
        <v>315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T4" t="s">
        <v>322</v>
      </c>
      <c r="U4" t="s">
        <v>323</v>
      </c>
      <c r="V4" t="s">
        <v>324</v>
      </c>
      <c r="W4" t="s">
        <v>325</v>
      </c>
    </row>
    <row r="6" spans="1:23" x14ac:dyDescent="0.2">
      <c r="A6">
        <f>Source!A20</f>
        <v>3</v>
      </c>
      <c r="B6">
        <v>20</v>
      </c>
      <c r="G6" t="str">
        <f>Source!G20</f>
        <v>Новая локальная смета</v>
      </c>
    </row>
    <row r="7" spans="1:23" x14ac:dyDescent="0.2">
      <c r="A7">
        <f>Source!A24</f>
        <v>4</v>
      </c>
      <c r="B7">
        <v>24</v>
      </c>
      <c r="G7" t="str">
        <f>Source!G24</f>
        <v>Посадка деревьев V группы (на видовых территориях - центральная часть города, административных округов); ком. 1,7*1,7*0,65; 100% замена земли</v>
      </c>
    </row>
    <row r="8" spans="1:23" x14ac:dyDescent="0.2">
      <c r="A8">
        <f>Source!A28</f>
        <v>5</v>
      </c>
      <c r="B8">
        <v>28</v>
      </c>
      <c r="G8" t="str">
        <f>Source!G28</f>
        <v>Посадка деревьев</v>
      </c>
    </row>
    <row r="9" spans="1:23" x14ac:dyDescent="0.2">
      <c r="A9">
        <f>Source!A32</f>
        <v>17</v>
      </c>
      <c r="C9">
        <v>3</v>
      </c>
      <c r="D9">
        <v>0</v>
      </c>
      <c r="E9">
        <f>SmtRes!AV4</f>
        <v>0</v>
      </c>
      <c r="F9" t="str">
        <f>SmtRes!I4</f>
        <v>21.4-6-5</v>
      </c>
      <c r="G9" t="str">
        <f>SmtRes!K4</f>
        <v>Земля растительная</v>
      </c>
      <c r="H9" t="str">
        <f>SmtRes!O4</f>
        <v>м3</v>
      </c>
      <c r="I9">
        <f>SmtRes!Y4*Source!I32</f>
        <v>115.76249999999999</v>
      </c>
      <c r="J9">
        <f>SmtRes!AO4</f>
        <v>1</v>
      </c>
      <c r="K9">
        <f>SmtRes!AE4</f>
        <v>753.67</v>
      </c>
      <c r="L9">
        <f>SmtRes!DB4</f>
        <v>23740.61</v>
      </c>
      <c r="M9">
        <f>ROUND(ROUND(L9*Source!I32, 6)*1, 2)</f>
        <v>87246.74</v>
      </c>
      <c r="N9">
        <f>SmtRes!AA4</f>
        <v>753.67</v>
      </c>
      <c r="O9">
        <f>ROUND(ROUND(L9*Source!I32, 6)*SmtRes!DA4, 2)</f>
        <v>87246.74</v>
      </c>
      <c r="P9">
        <f>SmtRes!AG4</f>
        <v>0</v>
      </c>
      <c r="Q9">
        <f>SmtRes!DC4</f>
        <v>0</v>
      </c>
      <c r="R9">
        <f>ROUND(ROUND(Q9*Source!I32, 6)*1, 2)</f>
        <v>0</v>
      </c>
      <c r="S9">
        <f>SmtRes!AC4</f>
        <v>0</v>
      </c>
      <c r="T9">
        <f>ROUND(ROUND(Q9*Source!I32, 6)*SmtRes!AK4, 2)</f>
        <v>0</v>
      </c>
      <c r="U9">
        <f>SmtRes!X4</f>
        <v>1949937456</v>
      </c>
      <c r="V9">
        <v>-1757888593</v>
      </c>
      <c r="W9">
        <v>-1757888593</v>
      </c>
    </row>
    <row r="10" spans="1:23" x14ac:dyDescent="0.2">
      <c r="A10">
        <f>Source!A32</f>
        <v>17</v>
      </c>
      <c r="C10">
        <v>3</v>
      </c>
      <c r="D10">
        <v>0</v>
      </c>
      <c r="E10">
        <f>SmtRes!AV3</f>
        <v>0</v>
      </c>
      <c r="F10" t="str">
        <f>SmtRes!I3</f>
        <v>21.4-6-15</v>
      </c>
      <c r="G10" t="str">
        <f>SmtRes!K3</f>
        <v>Торф</v>
      </c>
      <c r="H10" t="str">
        <f>SmtRes!O3</f>
        <v>м3</v>
      </c>
      <c r="I10">
        <f>SmtRes!Y3*Source!I32</f>
        <v>38.587499999999999</v>
      </c>
      <c r="J10">
        <f>SmtRes!AO3</f>
        <v>1</v>
      </c>
      <c r="K10">
        <f>SmtRes!AE3</f>
        <v>810.33</v>
      </c>
      <c r="L10">
        <f>SmtRes!DB3</f>
        <v>8508.4699999999993</v>
      </c>
      <c r="M10">
        <f>ROUND(ROUND(L10*Source!I32, 6)*1, 2)</f>
        <v>31268.63</v>
      </c>
      <c r="N10">
        <f>SmtRes!AA3</f>
        <v>810.33</v>
      </c>
      <c r="O10">
        <f>ROUND(ROUND(L10*Source!I32, 6)*SmtRes!DA3, 2)</f>
        <v>31268.63</v>
      </c>
      <c r="P10">
        <f>SmtRes!AG3</f>
        <v>0</v>
      </c>
      <c r="Q10">
        <f>SmtRes!DC3</f>
        <v>0</v>
      </c>
      <c r="R10">
        <f>ROUND(ROUND(Q10*Source!I32, 6)*1, 2)</f>
        <v>0</v>
      </c>
      <c r="S10">
        <f>SmtRes!AC3</f>
        <v>0</v>
      </c>
      <c r="T10">
        <f>ROUND(ROUND(Q10*Source!I32, 6)*SmtRes!AK3, 2)</f>
        <v>0</v>
      </c>
      <c r="U10">
        <f>SmtRes!X3</f>
        <v>589210780</v>
      </c>
      <c r="V10">
        <v>-1495148101</v>
      </c>
      <c r="W10">
        <v>-1495148101</v>
      </c>
    </row>
    <row r="11" spans="1:23" x14ac:dyDescent="0.2">
      <c r="A11">
        <f>Source!A33</f>
        <v>17</v>
      </c>
      <c r="C11">
        <v>3</v>
      </c>
      <c r="D11">
        <v>0</v>
      </c>
      <c r="E11">
        <f>SmtRes!AV7</f>
        <v>0</v>
      </c>
      <c r="F11" t="str">
        <f>SmtRes!I7</f>
        <v>21.4-6-5</v>
      </c>
      <c r="G11" t="str">
        <f>SmtRes!K7</f>
        <v>Земля растительная</v>
      </c>
      <c r="H11" t="str">
        <f>SmtRes!O7</f>
        <v>м3</v>
      </c>
      <c r="I11">
        <f>SmtRes!Y7*Source!I33</f>
        <v>38.587500000000006</v>
      </c>
      <c r="J11">
        <f>SmtRes!AO7</f>
        <v>1</v>
      </c>
      <c r="K11">
        <f>SmtRes!AE7</f>
        <v>753.67</v>
      </c>
      <c r="L11">
        <f>SmtRes!DB7</f>
        <v>23740.61</v>
      </c>
      <c r="M11">
        <f>ROUND(ROUND(L11*Source!I33, 6)*1, 2)</f>
        <v>29082.25</v>
      </c>
      <c r="N11">
        <f>SmtRes!AA7</f>
        <v>753.67</v>
      </c>
      <c r="O11">
        <f>ROUND(ROUND(L11*Source!I33, 6)*SmtRes!DA7, 2)</f>
        <v>29082.25</v>
      </c>
      <c r="P11">
        <f>SmtRes!AG7</f>
        <v>0</v>
      </c>
      <c r="Q11">
        <f>SmtRes!DC7</f>
        <v>0</v>
      </c>
      <c r="R11">
        <f>ROUND(ROUND(Q11*Source!I33, 6)*1, 2)</f>
        <v>0</v>
      </c>
      <c r="S11">
        <f>SmtRes!AC7</f>
        <v>0</v>
      </c>
      <c r="T11">
        <f>ROUND(ROUND(Q11*Source!I33, 6)*SmtRes!AK7, 2)</f>
        <v>0</v>
      </c>
      <c r="U11">
        <f>SmtRes!X7</f>
        <v>1949937456</v>
      </c>
      <c r="V11">
        <v>-1757888593</v>
      </c>
      <c r="W11">
        <v>-1757888593</v>
      </c>
    </row>
    <row r="12" spans="1:23" x14ac:dyDescent="0.2">
      <c r="A12">
        <f>Source!A33</f>
        <v>17</v>
      </c>
      <c r="C12">
        <v>3</v>
      </c>
      <c r="D12">
        <v>0</v>
      </c>
      <c r="E12">
        <f>SmtRes!AV6</f>
        <v>0</v>
      </c>
      <c r="F12" t="str">
        <f>SmtRes!I6</f>
        <v>21.4-6-15</v>
      </c>
      <c r="G12" t="str">
        <f>SmtRes!K6</f>
        <v>Торф</v>
      </c>
      <c r="H12" t="str">
        <f>SmtRes!O6</f>
        <v>м3</v>
      </c>
      <c r="I12">
        <f>SmtRes!Y6*Source!I33</f>
        <v>12.862500000000001</v>
      </c>
      <c r="J12">
        <f>SmtRes!AO6</f>
        <v>1</v>
      </c>
      <c r="K12">
        <f>SmtRes!AE6</f>
        <v>810.33</v>
      </c>
      <c r="L12">
        <f>SmtRes!DB6</f>
        <v>8508.4699999999993</v>
      </c>
      <c r="M12">
        <f>ROUND(ROUND(L12*Source!I33, 6)*1, 2)</f>
        <v>10422.879999999999</v>
      </c>
      <c r="N12">
        <f>SmtRes!AA6</f>
        <v>810.33</v>
      </c>
      <c r="O12">
        <f>ROUND(ROUND(L12*Source!I33, 6)*SmtRes!DA6, 2)</f>
        <v>10422.879999999999</v>
      </c>
      <c r="P12">
        <f>SmtRes!AG6</f>
        <v>0</v>
      </c>
      <c r="Q12">
        <f>SmtRes!DC6</f>
        <v>0</v>
      </c>
      <c r="R12">
        <f>ROUND(ROUND(Q12*Source!I33, 6)*1, 2)</f>
        <v>0</v>
      </c>
      <c r="S12">
        <f>SmtRes!AC6</f>
        <v>0</v>
      </c>
      <c r="T12">
        <f>ROUND(ROUND(Q12*Source!I33, 6)*SmtRes!AK6, 2)</f>
        <v>0</v>
      </c>
      <c r="U12">
        <f>SmtRes!X6</f>
        <v>589210780</v>
      </c>
      <c r="V12">
        <v>-1495148101</v>
      </c>
      <c r="W12">
        <v>-1495148101</v>
      </c>
    </row>
    <row r="13" spans="1:23" x14ac:dyDescent="0.2">
      <c r="A13">
        <f>Source!A38</f>
        <v>17</v>
      </c>
      <c r="C13">
        <v>3</v>
      </c>
      <c r="D13">
        <v>0</v>
      </c>
      <c r="E13">
        <f>SmtRes!AV18</f>
        <v>0</v>
      </c>
      <c r="F13" t="str">
        <f>SmtRes!I18</f>
        <v>21.1-9-90</v>
      </c>
      <c r="G13" t="str">
        <f>SmtRes!K18</f>
        <v>Бревна строительные окоренные, лиственных пород, длина 3-6,5 м, диаметр 14-24 см, сорт III</v>
      </c>
      <c r="H13" t="str">
        <f>SmtRes!O18</f>
        <v>м3</v>
      </c>
      <c r="I13">
        <f>SmtRes!Y18*Source!I38</f>
        <v>2.94</v>
      </c>
      <c r="J13">
        <f>SmtRes!AO18</f>
        <v>1</v>
      </c>
      <c r="K13">
        <f>SmtRes!AE18</f>
        <v>3141.36</v>
      </c>
      <c r="L13">
        <f>SmtRes!DB18</f>
        <v>1884.82</v>
      </c>
      <c r="M13">
        <f>ROUND(ROUND(L13*Source!I38, 6)*1, 2)</f>
        <v>9235.6200000000008</v>
      </c>
      <c r="N13">
        <f>SmtRes!AA18</f>
        <v>3141.36</v>
      </c>
      <c r="O13">
        <f>ROUND(ROUND(L13*Source!I38, 6)*SmtRes!DA18, 2)</f>
        <v>9235.6200000000008</v>
      </c>
      <c r="P13">
        <f>SmtRes!AG18</f>
        <v>0</v>
      </c>
      <c r="Q13">
        <f>SmtRes!DC18</f>
        <v>0</v>
      </c>
      <c r="R13">
        <f>ROUND(ROUND(Q13*Source!I38, 6)*1, 2)</f>
        <v>0</v>
      </c>
      <c r="S13">
        <f>SmtRes!AC18</f>
        <v>0</v>
      </c>
      <c r="T13">
        <f>ROUND(ROUND(Q13*Source!I38, 6)*SmtRes!AK18, 2)</f>
        <v>0</v>
      </c>
      <c r="U13">
        <f>SmtRes!X18</f>
        <v>-1878549391</v>
      </c>
      <c r="V13">
        <v>-1678936934</v>
      </c>
      <c r="W13">
        <v>-1678936934</v>
      </c>
    </row>
    <row r="14" spans="1:23" x14ac:dyDescent="0.2">
      <c r="A14">
        <f>Source!A38</f>
        <v>17</v>
      </c>
      <c r="C14">
        <v>3</v>
      </c>
      <c r="D14">
        <v>0</v>
      </c>
      <c r="E14">
        <f>SmtRes!AV17</f>
        <v>0</v>
      </c>
      <c r="F14" t="str">
        <f>SmtRes!I17</f>
        <v>21.1-9-57</v>
      </c>
      <c r="G14" t="str">
        <f>SmtRes!K17</f>
        <v>Доски хвойных пород, обрезные, длина 2-6,5 м, сорт III, толщина 40-60 мм</v>
      </c>
      <c r="H14" t="str">
        <f>SmtRes!O17</f>
        <v>м3</v>
      </c>
      <c r="I14">
        <f>SmtRes!Y17*Source!I38</f>
        <v>13.230000000000002</v>
      </c>
      <c r="J14">
        <f>SmtRes!AO17</f>
        <v>1</v>
      </c>
      <c r="K14">
        <f>SmtRes!AE17</f>
        <v>6697.08</v>
      </c>
      <c r="L14">
        <f>SmtRes!DB17</f>
        <v>18082.12</v>
      </c>
      <c r="M14">
        <f>ROUND(ROUND(L14*Source!I38, 6)*1, 2)</f>
        <v>88602.39</v>
      </c>
      <c r="N14">
        <f>SmtRes!AA17</f>
        <v>6697.08</v>
      </c>
      <c r="O14">
        <f>ROUND(ROUND(L14*Source!I38, 6)*SmtRes!DA17, 2)</f>
        <v>88602.39</v>
      </c>
      <c r="P14">
        <f>SmtRes!AG17</f>
        <v>0</v>
      </c>
      <c r="Q14">
        <f>SmtRes!DC17</f>
        <v>0</v>
      </c>
      <c r="R14">
        <f>ROUND(ROUND(Q14*Source!I38, 6)*1, 2)</f>
        <v>0</v>
      </c>
      <c r="S14">
        <f>SmtRes!AC17</f>
        <v>0</v>
      </c>
      <c r="T14">
        <f>ROUND(ROUND(Q14*Source!I38, 6)*SmtRes!AK17, 2)</f>
        <v>0</v>
      </c>
      <c r="U14">
        <f>SmtRes!X17</f>
        <v>770955183</v>
      </c>
      <c r="V14">
        <v>-715990279</v>
      </c>
      <c r="W14">
        <v>-715990279</v>
      </c>
    </row>
    <row r="15" spans="1:23" x14ac:dyDescent="0.2">
      <c r="A15">
        <f>Source!A38</f>
        <v>17</v>
      </c>
      <c r="C15">
        <v>3</v>
      </c>
      <c r="D15">
        <v>0</v>
      </c>
      <c r="E15">
        <f>SmtRes!AV16</f>
        <v>0</v>
      </c>
      <c r="F15" t="str">
        <f>SmtRes!I16</f>
        <v>21.1-20-5</v>
      </c>
      <c r="G15" t="str">
        <f>SmtRes!K16</f>
        <v>Веревка пеньковая техническая</v>
      </c>
      <c r="H15" t="str">
        <f>SmtRes!O16</f>
        <v>кг</v>
      </c>
      <c r="I15">
        <f>SmtRes!Y16*Source!I38</f>
        <v>24.5</v>
      </c>
      <c r="J15">
        <f>SmtRes!AO16</f>
        <v>1</v>
      </c>
      <c r="K15">
        <f>SmtRes!AE16</f>
        <v>170.28</v>
      </c>
      <c r="L15">
        <f>SmtRes!DB16</f>
        <v>851.4</v>
      </c>
      <c r="M15">
        <f>ROUND(ROUND(L15*Source!I38, 6)*1, 2)</f>
        <v>4171.8599999999997</v>
      </c>
      <c r="N15">
        <f>SmtRes!AA16</f>
        <v>170.28</v>
      </c>
      <c r="O15">
        <f>ROUND(ROUND(L15*Source!I38, 6)*SmtRes!DA16, 2)</f>
        <v>4171.8599999999997</v>
      </c>
      <c r="P15">
        <f>SmtRes!AG16</f>
        <v>0</v>
      </c>
      <c r="Q15">
        <f>SmtRes!DC16</f>
        <v>0</v>
      </c>
      <c r="R15">
        <f>ROUND(ROUND(Q15*Source!I38, 6)*1, 2)</f>
        <v>0</v>
      </c>
      <c r="S15">
        <f>SmtRes!AC16</f>
        <v>0</v>
      </c>
      <c r="T15">
        <f>ROUND(ROUND(Q15*Source!I38, 6)*SmtRes!AK16, 2)</f>
        <v>0</v>
      </c>
      <c r="U15">
        <f>SmtRes!X16</f>
        <v>-1657742588</v>
      </c>
      <c r="V15">
        <v>756181771</v>
      </c>
      <c r="W15">
        <v>756181771</v>
      </c>
    </row>
    <row r="16" spans="1:23" x14ac:dyDescent="0.2">
      <c r="A16">
        <f>Source!A38</f>
        <v>17</v>
      </c>
      <c r="C16">
        <v>3</v>
      </c>
      <c r="D16">
        <v>0</v>
      </c>
      <c r="E16">
        <f>SmtRes!AV15</f>
        <v>0</v>
      </c>
      <c r="F16" t="str">
        <f>SmtRes!I15</f>
        <v>21.1-11-46</v>
      </c>
      <c r="G16" t="str">
        <f>SmtRes!K15</f>
        <v>Гвозди строительные</v>
      </c>
      <c r="H16" t="str">
        <f>SmtRes!O15</f>
        <v>т</v>
      </c>
      <c r="I16">
        <f>SmtRes!Y15*Source!I38</f>
        <v>0.53900000000000003</v>
      </c>
      <c r="J16">
        <f>SmtRes!AO15</f>
        <v>1</v>
      </c>
      <c r="K16">
        <f>SmtRes!AE15</f>
        <v>52914.53</v>
      </c>
      <c r="L16">
        <f>SmtRes!DB15</f>
        <v>5820.6</v>
      </c>
      <c r="M16">
        <f>ROUND(ROUND(L16*Source!I38, 6)*1, 2)</f>
        <v>28520.94</v>
      </c>
      <c r="N16">
        <f>SmtRes!AA15</f>
        <v>52914.53</v>
      </c>
      <c r="O16">
        <f>ROUND(ROUND(L16*Source!I38, 6)*SmtRes!DA15, 2)</f>
        <v>28520.94</v>
      </c>
      <c r="P16">
        <f>SmtRes!AG15</f>
        <v>0</v>
      </c>
      <c r="Q16">
        <f>SmtRes!DC15</f>
        <v>0</v>
      </c>
      <c r="R16">
        <f>ROUND(ROUND(Q16*Source!I38, 6)*1, 2)</f>
        <v>0</v>
      </c>
      <c r="S16">
        <f>SmtRes!AC15</f>
        <v>0</v>
      </c>
      <c r="T16">
        <f>ROUND(ROUND(Q16*Source!I38, 6)*SmtRes!AK15, 2)</f>
        <v>0</v>
      </c>
      <c r="U16">
        <f>SmtRes!X15</f>
        <v>-785747182</v>
      </c>
      <c r="V16">
        <v>1773517037</v>
      </c>
      <c r="W16">
        <v>1773517037</v>
      </c>
    </row>
    <row r="17" spans="1:23" x14ac:dyDescent="0.2">
      <c r="A17">
        <f>Source!A39</f>
        <v>17</v>
      </c>
      <c r="C17">
        <v>3</v>
      </c>
      <c r="D17">
        <v>0</v>
      </c>
      <c r="E17">
        <f>SmtRes!AV25</f>
        <v>0</v>
      </c>
      <c r="F17" t="str">
        <f>SmtRes!I25</f>
        <v>21.4-6-7</v>
      </c>
      <c r="G17" t="str">
        <f>SmtRes!K25</f>
        <v>Колья деревянные для подвязки деревьев до 2,5м</v>
      </c>
      <c r="H17" t="str">
        <f>SmtRes!O25</f>
        <v>м3</v>
      </c>
      <c r="I17">
        <f>SmtRes!Y25*Source!I39</f>
        <v>1.1642400000000002</v>
      </c>
      <c r="J17">
        <f>SmtRes!AO25</f>
        <v>1</v>
      </c>
      <c r="K17">
        <f>SmtRes!AE25</f>
        <v>3148.82</v>
      </c>
      <c r="L17">
        <f>SmtRes!DB25</f>
        <v>748.16</v>
      </c>
      <c r="M17">
        <f>ROUND(ROUND(L17*Source!I39, 6)*1, 2)</f>
        <v>3665.98</v>
      </c>
      <c r="N17">
        <f>SmtRes!AA25</f>
        <v>3148.82</v>
      </c>
      <c r="O17">
        <f>ROUND(ROUND(L17*Source!I39, 6)*SmtRes!DA25, 2)</f>
        <v>3665.98</v>
      </c>
      <c r="P17">
        <f>SmtRes!AG25</f>
        <v>0</v>
      </c>
      <c r="Q17">
        <f>SmtRes!DC25</f>
        <v>0</v>
      </c>
      <c r="R17">
        <f>ROUND(ROUND(Q17*Source!I39, 6)*1, 2)</f>
        <v>0</v>
      </c>
      <c r="S17">
        <f>SmtRes!AC25</f>
        <v>0</v>
      </c>
      <c r="T17">
        <f>ROUND(ROUND(Q17*Source!I39, 6)*SmtRes!AK25, 2)</f>
        <v>0</v>
      </c>
      <c r="U17">
        <f>SmtRes!X25</f>
        <v>2077475540</v>
      </c>
      <c r="V17">
        <v>-49724463</v>
      </c>
      <c r="W17">
        <v>-49724463</v>
      </c>
    </row>
    <row r="18" spans="1:23" x14ac:dyDescent="0.2">
      <c r="A18">
        <f>Source!A39</f>
        <v>17</v>
      </c>
      <c r="C18">
        <v>3</v>
      </c>
      <c r="D18">
        <v>0</v>
      </c>
      <c r="E18">
        <f>SmtRes!AV23</f>
        <v>0</v>
      </c>
      <c r="F18" t="str">
        <f>SmtRes!I23</f>
        <v>21.1-25-13</v>
      </c>
      <c r="G18" t="str">
        <f>SmtRes!K23</f>
        <v>Вода</v>
      </c>
      <c r="H18" t="str">
        <f>SmtRes!O23</f>
        <v>м3</v>
      </c>
      <c r="I18">
        <f>SmtRes!Y23*Source!I39</f>
        <v>50.470000000000006</v>
      </c>
      <c r="J18">
        <f>SmtRes!AO23</f>
        <v>1</v>
      </c>
      <c r="K18">
        <f>SmtRes!AE23</f>
        <v>33.729999999999997</v>
      </c>
      <c r="L18">
        <f>SmtRes!DB23</f>
        <v>347.42</v>
      </c>
      <c r="M18">
        <f>ROUND(ROUND(L18*Source!I39, 6)*1, 2)</f>
        <v>1702.36</v>
      </c>
      <c r="N18">
        <f>SmtRes!AA23</f>
        <v>33.729999999999997</v>
      </c>
      <c r="O18">
        <f>ROUND(ROUND(L18*Source!I39, 6)*SmtRes!DA23, 2)</f>
        <v>1702.36</v>
      </c>
      <c r="P18">
        <f>SmtRes!AG23</f>
        <v>0</v>
      </c>
      <c r="Q18">
        <f>SmtRes!DC23</f>
        <v>0</v>
      </c>
      <c r="R18">
        <f>ROUND(ROUND(Q18*Source!I39, 6)*1, 2)</f>
        <v>0</v>
      </c>
      <c r="S18">
        <f>SmtRes!AC23</f>
        <v>0</v>
      </c>
      <c r="T18">
        <f>ROUND(ROUND(Q18*Source!I39, 6)*SmtRes!AK23, 2)</f>
        <v>0</v>
      </c>
      <c r="U18">
        <f>SmtRes!X23</f>
        <v>924487879</v>
      </c>
      <c r="V18">
        <v>254213091</v>
      </c>
      <c r="W18">
        <v>254213091</v>
      </c>
    </row>
    <row r="19" spans="1:23" x14ac:dyDescent="0.2">
      <c r="A19">
        <f>Source!A39</f>
        <v>17</v>
      </c>
      <c r="C19">
        <v>3</v>
      </c>
      <c r="D19">
        <v>0</v>
      </c>
      <c r="E19">
        <f>SmtRes!AV22</f>
        <v>0</v>
      </c>
      <c r="F19" t="str">
        <f>SmtRes!I22</f>
        <v>21.1-20-54</v>
      </c>
      <c r="G19" t="str">
        <f>SmtRes!K22</f>
        <v>Шпагат пеньковый</v>
      </c>
      <c r="H19" t="str">
        <f>SmtRes!O22</f>
        <v>кг</v>
      </c>
      <c r="I19">
        <f>SmtRes!Y22*Source!I39</f>
        <v>2.4500000000000002</v>
      </c>
      <c r="J19">
        <f>SmtRes!AO22</f>
        <v>1</v>
      </c>
      <c r="K19">
        <f>SmtRes!AE22</f>
        <v>166.07</v>
      </c>
      <c r="L19">
        <f>SmtRes!DB22</f>
        <v>83.04</v>
      </c>
      <c r="M19">
        <f>ROUND(ROUND(L19*Source!I39, 6)*1, 2)</f>
        <v>406.9</v>
      </c>
      <c r="N19">
        <f>SmtRes!AA22</f>
        <v>166.07</v>
      </c>
      <c r="O19">
        <f>ROUND(ROUND(L19*Source!I39, 6)*SmtRes!DA22, 2)</f>
        <v>406.9</v>
      </c>
      <c r="P19">
        <f>SmtRes!AG22</f>
        <v>0</v>
      </c>
      <c r="Q19">
        <f>SmtRes!DC22</f>
        <v>0</v>
      </c>
      <c r="R19">
        <f>ROUND(ROUND(Q19*Source!I39, 6)*1, 2)</f>
        <v>0</v>
      </c>
      <c r="S19">
        <f>SmtRes!AC22</f>
        <v>0</v>
      </c>
      <c r="T19">
        <f>ROUND(ROUND(Q19*Source!I39, 6)*SmtRes!AK22, 2)</f>
        <v>0</v>
      </c>
      <c r="U19">
        <f>SmtRes!X22</f>
        <v>-51070253</v>
      </c>
      <c r="V19">
        <v>634868792</v>
      </c>
      <c r="W19">
        <v>634868792</v>
      </c>
    </row>
    <row r="20" spans="1:23" x14ac:dyDescent="0.2">
      <c r="A20">
        <f>Source!A39</f>
        <v>17</v>
      </c>
      <c r="C20">
        <v>3</v>
      </c>
      <c r="D20">
        <v>0</v>
      </c>
      <c r="E20">
        <f>SmtRes!AV21</f>
        <v>0</v>
      </c>
      <c r="F20" t="str">
        <f>SmtRes!I21</f>
        <v>21.1-20-17</v>
      </c>
      <c r="G20" t="str">
        <f>SmtRes!K21</f>
        <v>Мешковина</v>
      </c>
      <c r="H20" t="str">
        <f>SmtRes!O21</f>
        <v>м2</v>
      </c>
      <c r="I20">
        <f>SmtRes!Y21*Source!I39</f>
        <v>13.72</v>
      </c>
      <c r="J20">
        <f>SmtRes!AO21</f>
        <v>1</v>
      </c>
      <c r="K20">
        <f>SmtRes!AE21</f>
        <v>83.45</v>
      </c>
      <c r="L20">
        <f>SmtRes!DB21</f>
        <v>233.66</v>
      </c>
      <c r="M20">
        <f>ROUND(ROUND(L20*Source!I39, 6)*1, 2)</f>
        <v>1144.93</v>
      </c>
      <c r="N20">
        <f>SmtRes!AA21</f>
        <v>83.45</v>
      </c>
      <c r="O20">
        <f>ROUND(ROUND(L20*Source!I39, 6)*SmtRes!DA21, 2)</f>
        <v>1144.93</v>
      </c>
      <c r="P20">
        <f>SmtRes!AG21</f>
        <v>0</v>
      </c>
      <c r="Q20">
        <f>SmtRes!DC21</f>
        <v>0</v>
      </c>
      <c r="R20">
        <f>ROUND(ROUND(Q20*Source!I39, 6)*1, 2)</f>
        <v>0</v>
      </c>
      <c r="S20">
        <f>SmtRes!AC21</f>
        <v>0</v>
      </c>
      <c r="T20">
        <f>ROUND(ROUND(Q20*Source!I39, 6)*SmtRes!AK21, 2)</f>
        <v>0</v>
      </c>
      <c r="U20">
        <f>SmtRes!X21</f>
        <v>-385315686</v>
      </c>
      <c r="V20">
        <v>132152380</v>
      </c>
      <c r="W20">
        <v>132152380</v>
      </c>
    </row>
    <row r="21" spans="1:23" x14ac:dyDescent="0.2">
      <c r="A21">
        <f>Source!A40</f>
        <v>18</v>
      </c>
      <c r="C21">
        <v>3</v>
      </c>
      <c r="D21">
        <f>Source!BI40</f>
        <v>4</v>
      </c>
      <c r="E21">
        <f>Source!FS40</f>
        <v>0</v>
      </c>
      <c r="F21" t="str">
        <f>Source!F40</f>
        <v>21.4-1-6</v>
      </c>
      <c r="G21" t="str">
        <f>Source!G40</f>
        <v>Деревья декоративные лиственных пород с комом земли, порода: береза, ива, рябина, тополь, черемуха, яблоня, размер кома: 1,7х1,7х0,65 м</v>
      </c>
      <c r="H21" t="str">
        <f>Source!H40</f>
        <v>шт.</v>
      </c>
      <c r="I21">
        <f>Source!I40</f>
        <v>49</v>
      </c>
      <c r="J21">
        <v>1</v>
      </c>
      <c r="K21">
        <f>Source!AC40</f>
        <v>11813.67</v>
      </c>
      <c r="M21">
        <f>ROUND(K21*I21, 2)</f>
        <v>578869.82999999996</v>
      </c>
      <c r="N21">
        <f>Source!AC40*IF(Source!BC40&lt;&gt; 0, Source!BC40, 1)</f>
        <v>11813.67</v>
      </c>
      <c r="O21">
        <f>ROUND(N21*I21, 2)</f>
        <v>578869.82999999996</v>
      </c>
      <c r="P21">
        <f>Source!AE40</f>
        <v>0</v>
      </c>
      <c r="R21">
        <f>ROUND(P21*I21, 2)</f>
        <v>0</v>
      </c>
      <c r="S21">
        <f>Source!AE40*IF(Source!BS40&lt;&gt; 0, Source!BS40, 1)</f>
        <v>0</v>
      </c>
      <c r="T21">
        <f>ROUND(S21*I21, 2)</f>
        <v>0</v>
      </c>
      <c r="U21">
        <f>Source!GF40</f>
        <v>700882888</v>
      </c>
      <c r="V21">
        <v>-1703568743</v>
      </c>
      <c r="W21">
        <v>-1703568743</v>
      </c>
    </row>
    <row r="22" spans="1:23" x14ac:dyDescent="0.2">
      <c r="A22">
        <f>Source!A71</f>
        <v>5</v>
      </c>
      <c r="B22">
        <v>71</v>
      </c>
      <c r="G22" t="str">
        <f>Source!G71</f>
        <v>Восстановление отпада</v>
      </c>
    </row>
    <row r="23" spans="1:23" x14ac:dyDescent="0.2">
      <c r="A23">
        <f>Source!A75</f>
        <v>17</v>
      </c>
      <c r="C23">
        <v>3</v>
      </c>
      <c r="D23">
        <v>0</v>
      </c>
      <c r="E23">
        <f>SmtRes!AV31</f>
        <v>0</v>
      </c>
      <c r="F23" t="str">
        <f>SmtRes!I31</f>
        <v>21.1-9-90</v>
      </c>
      <c r="G23" t="str">
        <f>SmtRes!K31</f>
        <v>Бревна строительные окоренные, лиственных пород, длина 3-6,5 м, диаметр 14-24 см, сорт III</v>
      </c>
      <c r="H23" t="str">
        <f>SmtRes!O31</f>
        <v>м3</v>
      </c>
      <c r="I23">
        <f>SmtRes!Y31*Source!I75</f>
        <v>0.18</v>
      </c>
      <c r="J23">
        <f>SmtRes!AO31</f>
        <v>1</v>
      </c>
      <c r="K23">
        <f>SmtRes!AE31</f>
        <v>3141.36</v>
      </c>
      <c r="L23">
        <f>SmtRes!DB31</f>
        <v>1884.82</v>
      </c>
      <c r="M23">
        <f>ROUND(ROUND(L23*Source!I75, 6)*1, 2)</f>
        <v>565.45000000000005</v>
      </c>
      <c r="N23">
        <f>SmtRes!AA31</f>
        <v>3141.36</v>
      </c>
      <c r="O23">
        <f>ROUND(ROUND(L23*Source!I75, 6)*SmtRes!DA31, 2)</f>
        <v>565.45000000000005</v>
      </c>
      <c r="P23">
        <f>SmtRes!AG31</f>
        <v>0</v>
      </c>
      <c r="Q23">
        <f>SmtRes!DC31</f>
        <v>0</v>
      </c>
      <c r="R23">
        <f>ROUND(ROUND(Q23*Source!I75, 6)*1, 2)</f>
        <v>0</v>
      </c>
      <c r="S23">
        <f>SmtRes!AC31</f>
        <v>0</v>
      </c>
      <c r="T23">
        <f>ROUND(ROUND(Q23*Source!I75, 6)*SmtRes!AK31, 2)</f>
        <v>0</v>
      </c>
      <c r="U23">
        <f>SmtRes!X31</f>
        <v>-1878549391</v>
      </c>
      <c r="V23">
        <v>-1678936934</v>
      </c>
      <c r="W23">
        <v>-1678936934</v>
      </c>
    </row>
    <row r="24" spans="1:23" x14ac:dyDescent="0.2">
      <c r="A24">
        <f>Source!A75</f>
        <v>17</v>
      </c>
      <c r="C24">
        <v>3</v>
      </c>
      <c r="D24">
        <v>0</v>
      </c>
      <c r="E24">
        <f>SmtRes!AV30</f>
        <v>0</v>
      </c>
      <c r="F24" t="str">
        <f>SmtRes!I30</f>
        <v>21.1-9-57</v>
      </c>
      <c r="G24" t="str">
        <f>SmtRes!K30</f>
        <v>Доски хвойных пород, обрезные, длина 2-6,5 м, сорт III, толщина 40-60 мм</v>
      </c>
      <c r="H24" t="str">
        <f>SmtRes!O30</f>
        <v>м3</v>
      </c>
      <c r="I24">
        <f>SmtRes!Y30*Source!I75</f>
        <v>0.81</v>
      </c>
      <c r="J24">
        <f>SmtRes!AO30</f>
        <v>1</v>
      </c>
      <c r="K24">
        <f>SmtRes!AE30</f>
        <v>6697.08</v>
      </c>
      <c r="L24">
        <f>SmtRes!DB30</f>
        <v>18082.12</v>
      </c>
      <c r="M24">
        <f>ROUND(ROUND(L24*Source!I75, 6)*1, 2)</f>
        <v>5424.64</v>
      </c>
      <c r="N24">
        <f>SmtRes!AA30</f>
        <v>6697.08</v>
      </c>
      <c r="O24">
        <f>ROUND(ROUND(L24*Source!I75, 6)*SmtRes!DA30, 2)</f>
        <v>5424.64</v>
      </c>
      <c r="P24">
        <f>SmtRes!AG30</f>
        <v>0</v>
      </c>
      <c r="Q24">
        <f>SmtRes!DC30</f>
        <v>0</v>
      </c>
      <c r="R24">
        <f>ROUND(ROUND(Q24*Source!I75, 6)*1, 2)</f>
        <v>0</v>
      </c>
      <c r="S24">
        <f>SmtRes!AC30</f>
        <v>0</v>
      </c>
      <c r="T24">
        <f>ROUND(ROUND(Q24*Source!I75, 6)*SmtRes!AK30, 2)</f>
        <v>0</v>
      </c>
      <c r="U24">
        <f>SmtRes!X30</f>
        <v>770955183</v>
      </c>
      <c r="V24">
        <v>-715990279</v>
      </c>
      <c r="W24">
        <v>-715990279</v>
      </c>
    </row>
    <row r="25" spans="1:23" x14ac:dyDescent="0.2">
      <c r="A25">
        <f>Source!A75</f>
        <v>17</v>
      </c>
      <c r="C25">
        <v>3</v>
      </c>
      <c r="D25">
        <v>0</v>
      </c>
      <c r="E25">
        <f>SmtRes!AV29</f>
        <v>0</v>
      </c>
      <c r="F25" t="str">
        <f>SmtRes!I29</f>
        <v>21.1-20-5</v>
      </c>
      <c r="G25" t="str">
        <f>SmtRes!K29</f>
        <v>Веревка пеньковая техническая</v>
      </c>
      <c r="H25" t="str">
        <f>SmtRes!O29</f>
        <v>кг</v>
      </c>
      <c r="I25">
        <f>SmtRes!Y29*Source!I75</f>
        <v>1.5</v>
      </c>
      <c r="J25">
        <f>SmtRes!AO29</f>
        <v>1</v>
      </c>
      <c r="K25">
        <f>SmtRes!AE29</f>
        <v>170.28</v>
      </c>
      <c r="L25">
        <f>SmtRes!DB29</f>
        <v>851.4</v>
      </c>
      <c r="M25">
        <f>ROUND(ROUND(L25*Source!I75, 6)*1, 2)</f>
        <v>255.42</v>
      </c>
      <c r="N25">
        <f>SmtRes!AA29</f>
        <v>170.28</v>
      </c>
      <c r="O25">
        <f>ROUND(ROUND(L25*Source!I75, 6)*SmtRes!DA29, 2)</f>
        <v>255.42</v>
      </c>
      <c r="P25">
        <f>SmtRes!AG29</f>
        <v>0</v>
      </c>
      <c r="Q25">
        <f>SmtRes!DC29</f>
        <v>0</v>
      </c>
      <c r="R25">
        <f>ROUND(ROUND(Q25*Source!I75, 6)*1, 2)</f>
        <v>0</v>
      </c>
      <c r="S25">
        <f>SmtRes!AC29</f>
        <v>0</v>
      </c>
      <c r="T25">
        <f>ROUND(ROUND(Q25*Source!I75, 6)*SmtRes!AK29, 2)</f>
        <v>0</v>
      </c>
      <c r="U25">
        <f>SmtRes!X29</f>
        <v>-1657742588</v>
      </c>
      <c r="V25">
        <v>756181771</v>
      </c>
      <c r="W25">
        <v>756181771</v>
      </c>
    </row>
    <row r="26" spans="1:23" x14ac:dyDescent="0.2">
      <c r="A26">
        <f>Source!A75</f>
        <v>17</v>
      </c>
      <c r="C26">
        <v>3</v>
      </c>
      <c r="D26">
        <v>0</v>
      </c>
      <c r="E26">
        <f>SmtRes!AV28</f>
        <v>0</v>
      </c>
      <c r="F26" t="str">
        <f>SmtRes!I28</f>
        <v>21.1-11-46</v>
      </c>
      <c r="G26" t="str">
        <f>SmtRes!K28</f>
        <v>Гвозди строительные</v>
      </c>
      <c r="H26" t="str">
        <f>SmtRes!O28</f>
        <v>т</v>
      </c>
      <c r="I26">
        <f>SmtRes!Y28*Source!I75</f>
        <v>3.3000000000000002E-2</v>
      </c>
      <c r="J26">
        <f>SmtRes!AO28</f>
        <v>1</v>
      </c>
      <c r="K26">
        <f>SmtRes!AE28</f>
        <v>52914.53</v>
      </c>
      <c r="L26">
        <f>SmtRes!DB28</f>
        <v>5820.6</v>
      </c>
      <c r="M26">
        <f>ROUND(ROUND(L26*Source!I75, 6)*1, 2)</f>
        <v>1746.18</v>
      </c>
      <c r="N26">
        <f>SmtRes!AA28</f>
        <v>52914.53</v>
      </c>
      <c r="O26">
        <f>ROUND(ROUND(L26*Source!I75, 6)*SmtRes!DA28, 2)</f>
        <v>1746.18</v>
      </c>
      <c r="P26">
        <f>SmtRes!AG28</f>
        <v>0</v>
      </c>
      <c r="Q26">
        <f>SmtRes!DC28</f>
        <v>0</v>
      </c>
      <c r="R26">
        <f>ROUND(ROUND(Q26*Source!I75, 6)*1, 2)</f>
        <v>0</v>
      </c>
      <c r="S26">
        <f>SmtRes!AC28</f>
        <v>0</v>
      </c>
      <c r="T26">
        <f>ROUND(ROUND(Q26*Source!I75, 6)*SmtRes!AK28, 2)</f>
        <v>0</v>
      </c>
      <c r="U26">
        <f>SmtRes!X28</f>
        <v>-785747182</v>
      </c>
      <c r="V26">
        <v>1773517037</v>
      </c>
      <c r="W26">
        <v>1773517037</v>
      </c>
    </row>
    <row r="27" spans="1:23" x14ac:dyDescent="0.2">
      <c r="A27">
        <f>Source!A78</f>
        <v>17</v>
      </c>
      <c r="C27">
        <v>3</v>
      </c>
      <c r="D27">
        <v>0</v>
      </c>
      <c r="E27">
        <f>SmtRes!AV41</f>
        <v>0</v>
      </c>
      <c r="F27" t="str">
        <f>SmtRes!I41</f>
        <v>21.4-6-7</v>
      </c>
      <c r="G27" t="str">
        <f>SmtRes!K41</f>
        <v>Колья деревянные для подвязки деревьев до 2,5м</v>
      </c>
      <c r="H27" t="str">
        <f>SmtRes!O41</f>
        <v>м3</v>
      </c>
      <c r="I27">
        <f>SmtRes!Y41*Source!I78</f>
        <v>7.1279999999999996E-2</v>
      </c>
      <c r="J27">
        <f>SmtRes!AO41</f>
        <v>1</v>
      </c>
      <c r="K27">
        <f>SmtRes!AE41</f>
        <v>3148.82</v>
      </c>
      <c r="L27">
        <f>SmtRes!DB41</f>
        <v>748.16</v>
      </c>
      <c r="M27">
        <f>ROUND(ROUND(L27*Source!I78, 6)*1, 2)</f>
        <v>224.45</v>
      </c>
      <c r="N27">
        <f>SmtRes!AA41</f>
        <v>3148.82</v>
      </c>
      <c r="O27">
        <f>ROUND(ROUND(L27*Source!I78, 6)*SmtRes!DA41, 2)</f>
        <v>224.45</v>
      </c>
      <c r="P27">
        <f>SmtRes!AG41</f>
        <v>0</v>
      </c>
      <c r="Q27">
        <f>SmtRes!DC41</f>
        <v>0</v>
      </c>
      <c r="R27">
        <f>ROUND(ROUND(Q27*Source!I78, 6)*1, 2)</f>
        <v>0</v>
      </c>
      <c r="S27">
        <f>SmtRes!AC41</f>
        <v>0</v>
      </c>
      <c r="T27">
        <f>ROUND(ROUND(Q27*Source!I78, 6)*SmtRes!AK41, 2)</f>
        <v>0</v>
      </c>
      <c r="U27">
        <f>SmtRes!X41</f>
        <v>2077475540</v>
      </c>
      <c r="V27">
        <v>-49724463</v>
      </c>
      <c r="W27">
        <v>-49724463</v>
      </c>
    </row>
    <row r="28" spans="1:23" x14ac:dyDescent="0.2">
      <c r="A28">
        <f>Source!A78</f>
        <v>17</v>
      </c>
      <c r="C28">
        <v>3</v>
      </c>
      <c r="D28">
        <v>0</v>
      </c>
      <c r="E28">
        <f>SmtRes!AV39</f>
        <v>0</v>
      </c>
      <c r="F28" t="str">
        <f>SmtRes!I39</f>
        <v>21.1-25-13</v>
      </c>
      <c r="G28" t="str">
        <f>SmtRes!K39</f>
        <v>Вода</v>
      </c>
      <c r="H28" t="str">
        <f>SmtRes!O39</f>
        <v>м3</v>
      </c>
      <c r="I28">
        <f>SmtRes!Y39*Source!I78</f>
        <v>3.0900000000000003</v>
      </c>
      <c r="J28">
        <f>SmtRes!AO39</f>
        <v>1</v>
      </c>
      <c r="K28">
        <f>SmtRes!AE39</f>
        <v>33.729999999999997</v>
      </c>
      <c r="L28">
        <f>SmtRes!DB39</f>
        <v>347.42</v>
      </c>
      <c r="M28">
        <f>ROUND(ROUND(L28*Source!I78, 6)*1, 2)</f>
        <v>104.23</v>
      </c>
      <c r="N28">
        <f>SmtRes!AA39</f>
        <v>33.729999999999997</v>
      </c>
      <c r="O28">
        <f>ROUND(ROUND(L28*Source!I78, 6)*SmtRes!DA39, 2)</f>
        <v>104.23</v>
      </c>
      <c r="P28">
        <f>SmtRes!AG39</f>
        <v>0</v>
      </c>
      <c r="Q28">
        <f>SmtRes!DC39</f>
        <v>0</v>
      </c>
      <c r="R28">
        <f>ROUND(ROUND(Q28*Source!I78, 6)*1, 2)</f>
        <v>0</v>
      </c>
      <c r="S28">
        <f>SmtRes!AC39</f>
        <v>0</v>
      </c>
      <c r="T28">
        <f>ROUND(ROUND(Q28*Source!I78, 6)*SmtRes!AK39, 2)</f>
        <v>0</v>
      </c>
      <c r="U28">
        <f>SmtRes!X39</f>
        <v>924487879</v>
      </c>
      <c r="V28">
        <v>254213091</v>
      </c>
      <c r="W28">
        <v>254213091</v>
      </c>
    </row>
    <row r="29" spans="1:23" x14ac:dyDescent="0.2">
      <c r="A29">
        <f>Source!A78</f>
        <v>17</v>
      </c>
      <c r="C29">
        <v>3</v>
      </c>
      <c r="D29">
        <v>0</v>
      </c>
      <c r="E29">
        <f>SmtRes!AV38</f>
        <v>0</v>
      </c>
      <c r="F29" t="str">
        <f>SmtRes!I38</f>
        <v>21.1-20-54</v>
      </c>
      <c r="G29" t="str">
        <f>SmtRes!K38</f>
        <v>Шпагат пеньковый</v>
      </c>
      <c r="H29" t="str">
        <f>SmtRes!O38</f>
        <v>кг</v>
      </c>
      <c r="I29">
        <f>SmtRes!Y38*Source!I78</f>
        <v>0.15</v>
      </c>
      <c r="J29">
        <f>SmtRes!AO38</f>
        <v>1</v>
      </c>
      <c r="K29">
        <f>SmtRes!AE38</f>
        <v>166.07</v>
      </c>
      <c r="L29">
        <f>SmtRes!DB38</f>
        <v>83.04</v>
      </c>
      <c r="M29">
        <f>ROUND(ROUND(L29*Source!I78, 6)*1, 2)</f>
        <v>24.91</v>
      </c>
      <c r="N29">
        <f>SmtRes!AA38</f>
        <v>166.07</v>
      </c>
      <c r="O29">
        <f>ROUND(ROUND(L29*Source!I78, 6)*SmtRes!DA38, 2)</f>
        <v>24.91</v>
      </c>
      <c r="P29">
        <f>SmtRes!AG38</f>
        <v>0</v>
      </c>
      <c r="Q29">
        <f>SmtRes!DC38</f>
        <v>0</v>
      </c>
      <c r="R29">
        <f>ROUND(ROUND(Q29*Source!I78, 6)*1, 2)</f>
        <v>0</v>
      </c>
      <c r="S29">
        <f>SmtRes!AC38</f>
        <v>0</v>
      </c>
      <c r="T29">
        <f>ROUND(ROUND(Q29*Source!I78, 6)*SmtRes!AK38, 2)</f>
        <v>0</v>
      </c>
      <c r="U29">
        <f>SmtRes!X38</f>
        <v>-51070253</v>
      </c>
      <c r="V29">
        <v>634868792</v>
      </c>
      <c r="W29">
        <v>634868792</v>
      </c>
    </row>
    <row r="30" spans="1:23" x14ac:dyDescent="0.2">
      <c r="A30">
        <f>Source!A78</f>
        <v>17</v>
      </c>
      <c r="C30">
        <v>3</v>
      </c>
      <c r="D30">
        <v>0</v>
      </c>
      <c r="E30">
        <f>SmtRes!AV37</f>
        <v>0</v>
      </c>
      <c r="F30" t="str">
        <f>SmtRes!I37</f>
        <v>21.1-20-17</v>
      </c>
      <c r="G30" t="str">
        <f>SmtRes!K37</f>
        <v>Мешковина</v>
      </c>
      <c r="H30" t="str">
        <f>SmtRes!O37</f>
        <v>м2</v>
      </c>
      <c r="I30">
        <f>SmtRes!Y37*Source!I78</f>
        <v>0.84</v>
      </c>
      <c r="J30">
        <f>SmtRes!AO37</f>
        <v>1</v>
      </c>
      <c r="K30">
        <f>SmtRes!AE37</f>
        <v>83.45</v>
      </c>
      <c r="L30">
        <f>SmtRes!DB37</f>
        <v>233.66</v>
      </c>
      <c r="M30">
        <f>ROUND(ROUND(L30*Source!I78, 6)*1, 2)</f>
        <v>70.099999999999994</v>
      </c>
      <c r="N30">
        <f>SmtRes!AA37</f>
        <v>83.45</v>
      </c>
      <c r="O30">
        <f>ROUND(ROUND(L30*Source!I78, 6)*SmtRes!DA37, 2)</f>
        <v>70.099999999999994</v>
      </c>
      <c r="P30">
        <f>SmtRes!AG37</f>
        <v>0</v>
      </c>
      <c r="Q30">
        <f>SmtRes!DC37</f>
        <v>0</v>
      </c>
      <c r="R30">
        <f>ROUND(ROUND(Q30*Source!I78, 6)*1, 2)</f>
        <v>0</v>
      </c>
      <c r="S30">
        <f>SmtRes!AC37</f>
        <v>0</v>
      </c>
      <c r="T30">
        <f>ROUND(ROUND(Q30*Source!I78, 6)*SmtRes!AK37, 2)</f>
        <v>0</v>
      </c>
      <c r="U30">
        <f>SmtRes!X37</f>
        <v>-385315686</v>
      </c>
      <c r="V30">
        <v>132152380</v>
      </c>
      <c r="W30">
        <v>132152380</v>
      </c>
    </row>
    <row r="31" spans="1:23" x14ac:dyDescent="0.2">
      <c r="A31">
        <f>Source!A79</f>
        <v>18</v>
      </c>
      <c r="C31">
        <v>3</v>
      </c>
      <c r="D31">
        <f>Source!BI79</f>
        <v>4</v>
      </c>
      <c r="E31">
        <f>Source!FS79</f>
        <v>0</v>
      </c>
      <c r="F31" t="str">
        <f>Source!F79</f>
        <v>21.4-1-6</v>
      </c>
      <c r="G31" t="str">
        <f>Source!G79</f>
        <v>Деревья декоративные лиственных пород с комом земли, порода: береза, ива, рябина, тополь, черемуха, яблоня, размер кома: 1,7х1,7х0,65 м</v>
      </c>
      <c r="H31" t="str">
        <f>Source!H79</f>
        <v>шт.</v>
      </c>
      <c r="I31">
        <f>Source!I79</f>
        <v>3</v>
      </c>
      <c r="J31">
        <v>1</v>
      </c>
      <c r="K31">
        <f>Source!AC79</f>
        <v>11813.67</v>
      </c>
      <c r="M31">
        <f>ROUND(K31*I31, 2)</f>
        <v>35441.01</v>
      </c>
      <c r="N31">
        <f>Source!AC79*IF(Source!BC79&lt;&gt; 0, Source!BC79, 1)</f>
        <v>11813.67</v>
      </c>
      <c r="O31">
        <f>ROUND(N31*I31, 2)</f>
        <v>35441.01</v>
      </c>
      <c r="P31">
        <f>Source!AE79</f>
        <v>0</v>
      </c>
      <c r="R31">
        <f>ROUND(P31*I31, 2)</f>
        <v>0</v>
      </c>
      <c r="S31">
        <f>Source!AE79*IF(Source!BS79&lt;&gt; 0, Source!BS79, 1)</f>
        <v>0</v>
      </c>
      <c r="T31">
        <f>ROUND(S31*I31, 2)</f>
        <v>0</v>
      </c>
      <c r="U31">
        <f>Source!GF79</f>
        <v>700882888</v>
      </c>
      <c r="V31">
        <v>-1703568743</v>
      </c>
      <c r="W31">
        <v>-1703568743</v>
      </c>
    </row>
    <row r="32" spans="1:23" x14ac:dyDescent="0.2">
      <c r="A32">
        <f>Source!A110</f>
        <v>5</v>
      </c>
      <c r="B32">
        <v>110</v>
      </c>
      <c r="G32" t="str">
        <f>Source!G110</f>
        <v>Уход за деревьями на видовых центральных территориях</v>
      </c>
    </row>
    <row r="33" spans="1:23" x14ac:dyDescent="0.2">
      <c r="A33">
        <f>Source!A114</f>
        <v>17</v>
      </c>
      <c r="C33">
        <v>3</v>
      </c>
      <c r="D33">
        <v>0</v>
      </c>
      <c r="E33">
        <f>SmtRes!AV46</f>
        <v>0</v>
      </c>
      <c r="F33" t="str">
        <f>SmtRes!I46</f>
        <v>21.1-25-13</v>
      </c>
      <c r="G33" t="str">
        <f>SmtRes!K46</f>
        <v>Вода</v>
      </c>
      <c r="H33" t="str">
        <f>SmtRes!O46</f>
        <v>м3</v>
      </c>
      <c r="I33">
        <f>SmtRes!Y46*Source!I114</f>
        <v>147</v>
      </c>
      <c r="J33">
        <f>SmtRes!AO46</f>
        <v>1</v>
      </c>
      <c r="K33">
        <f>SmtRes!AE46</f>
        <v>33.729999999999997</v>
      </c>
      <c r="L33">
        <f>SmtRes!DB46</f>
        <v>1011.9</v>
      </c>
      <c r="M33">
        <f>ROUND(ROUND(L33*Source!I114, 6)*1, 2)</f>
        <v>4958.3100000000004</v>
      </c>
      <c r="N33">
        <f>SmtRes!AA46</f>
        <v>33.729999999999997</v>
      </c>
      <c r="O33">
        <f>ROUND(ROUND(L33*Source!I114, 6)*SmtRes!DA46, 2)</f>
        <v>4958.3100000000004</v>
      </c>
      <c r="P33">
        <f>SmtRes!AG46</f>
        <v>0</v>
      </c>
      <c r="Q33">
        <f>SmtRes!DC46</f>
        <v>0</v>
      </c>
      <c r="R33">
        <f>ROUND(ROUND(Q33*Source!I114, 6)*1, 2)</f>
        <v>0</v>
      </c>
      <c r="S33">
        <f>SmtRes!AC46</f>
        <v>0</v>
      </c>
      <c r="T33">
        <f>ROUND(ROUND(Q33*Source!I114, 6)*SmtRes!AK46, 2)</f>
        <v>0</v>
      </c>
      <c r="U33">
        <f>SmtRes!X46</f>
        <v>924487879</v>
      </c>
      <c r="V33">
        <v>254213091</v>
      </c>
      <c r="W33">
        <v>254213091</v>
      </c>
    </row>
    <row r="34" spans="1:23" x14ac:dyDescent="0.2">
      <c r="A34">
        <f>Source!A114</f>
        <v>17</v>
      </c>
      <c r="C34">
        <v>3</v>
      </c>
      <c r="D34">
        <v>0</v>
      </c>
      <c r="E34">
        <f>SmtRes!AV45</f>
        <v>0</v>
      </c>
      <c r="F34" t="str">
        <f>SmtRes!I45</f>
        <v>21.1-20-54</v>
      </c>
      <c r="G34" t="str">
        <f>SmtRes!K45</f>
        <v>Шпагат пеньковый</v>
      </c>
      <c r="H34" t="str">
        <f>SmtRes!O45</f>
        <v>кг</v>
      </c>
      <c r="I34">
        <f>SmtRes!Y45*Source!I114</f>
        <v>0.49000000000000005</v>
      </c>
      <c r="J34">
        <f>SmtRes!AO45</f>
        <v>1</v>
      </c>
      <c r="K34">
        <f>SmtRes!AE45</f>
        <v>166.07</v>
      </c>
      <c r="L34">
        <f>SmtRes!DB45</f>
        <v>16.61</v>
      </c>
      <c r="M34">
        <f>ROUND(ROUND(L34*Source!I114, 6)*1, 2)</f>
        <v>81.39</v>
      </c>
      <c r="N34">
        <f>SmtRes!AA45</f>
        <v>166.07</v>
      </c>
      <c r="O34">
        <f>ROUND(ROUND(L34*Source!I114, 6)*SmtRes!DA45, 2)</f>
        <v>81.39</v>
      </c>
      <c r="P34">
        <f>SmtRes!AG45</f>
        <v>0</v>
      </c>
      <c r="Q34">
        <f>SmtRes!DC45</f>
        <v>0</v>
      </c>
      <c r="R34">
        <f>ROUND(ROUND(Q34*Source!I114, 6)*1, 2)</f>
        <v>0</v>
      </c>
      <c r="S34">
        <f>SmtRes!AC45</f>
        <v>0</v>
      </c>
      <c r="T34">
        <f>ROUND(ROUND(Q34*Source!I114, 6)*SmtRes!AK45, 2)</f>
        <v>0</v>
      </c>
      <c r="U34">
        <f>SmtRes!X45</f>
        <v>-51070253</v>
      </c>
      <c r="V34">
        <v>634868792</v>
      </c>
      <c r="W34">
        <v>634868792</v>
      </c>
    </row>
    <row r="35" spans="1:23" x14ac:dyDescent="0.2">
      <c r="A35">
        <f>Source!A114</f>
        <v>17</v>
      </c>
      <c r="C35">
        <v>3</v>
      </c>
      <c r="D35">
        <v>0</v>
      </c>
      <c r="E35">
        <f>SmtRes!AV44</f>
        <v>0</v>
      </c>
      <c r="F35" t="str">
        <f>SmtRes!I44</f>
        <v>21.1-20-17</v>
      </c>
      <c r="G35" t="str">
        <f>SmtRes!K44</f>
        <v>Мешковина</v>
      </c>
      <c r="H35" t="str">
        <f>SmtRes!O44</f>
        <v>м2</v>
      </c>
      <c r="I35">
        <f>SmtRes!Y44*Source!I114</f>
        <v>13.72</v>
      </c>
      <c r="J35">
        <f>SmtRes!AO44</f>
        <v>1</v>
      </c>
      <c r="K35">
        <f>SmtRes!AE44</f>
        <v>83.45</v>
      </c>
      <c r="L35">
        <f>SmtRes!DB44</f>
        <v>233.66</v>
      </c>
      <c r="M35">
        <f>ROUND(ROUND(L35*Source!I114, 6)*1, 2)</f>
        <v>1144.93</v>
      </c>
      <c r="N35">
        <f>SmtRes!AA44</f>
        <v>83.45</v>
      </c>
      <c r="O35">
        <f>ROUND(ROUND(L35*Source!I114, 6)*SmtRes!DA44, 2)</f>
        <v>1144.93</v>
      </c>
      <c r="P35">
        <f>SmtRes!AG44</f>
        <v>0</v>
      </c>
      <c r="Q35">
        <f>SmtRes!DC44</f>
        <v>0</v>
      </c>
      <c r="R35">
        <f>ROUND(ROUND(Q35*Source!I114, 6)*1, 2)</f>
        <v>0</v>
      </c>
      <c r="S35">
        <f>SmtRes!AC44</f>
        <v>0</v>
      </c>
      <c r="T35">
        <f>ROUND(ROUND(Q35*Source!I114, 6)*SmtRes!AK44, 2)</f>
        <v>0</v>
      </c>
      <c r="U35">
        <f>SmtRes!X44</f>
        <v>-385315686</v>
      </c>
      <c r="V35">
        <v>132152380</v>
      </c>
      <c r="W35">
        <v>132152380</v>
      </c>
    </row>
    <row r="36" spans="1:23" x14ac:dyDescent="0.2">
      <c r="A36">
        <f>Source!A115</f>
        <v>17</v>
      </c>
      <c r="C36">
        <v>3</v>
      </c>
      <c r="D36">
        <v>0</v>
      </c>
      <c r="E36">
        <f>SmtRes!AV49</f>
        <v>0</v>
      </c>
      <c r="F36" t="str">
        <f>SmtRes!I49</f>
        <v>21.4-4-18</v>
      </c>
      <c r="G36" t="str">
        <f>SmtRes!K49</f>
        <v>Удобрения органические (средняя стоимость)</v>
      </c>
      <c r="H36" t="str">
        <f>SmtRes!O49</f>
        <v>кг</v>
      </c>
      <c r="I36">
        <f>SmtRes!Y49*Source!I115</f>
        <v>3224.2</v>
      </c>
      <c r="J36">
        <f>SmtRes!AO49</f>
        <v>1</v>
      </c>
      <c r="K36">
        <f>SmtRes!AE49</f>
        <v>12.26</v>
      </c>
      <c r="L36">
        <f>SmtRes!DB49</f>
        <v>4291</v>
      </c>
      <c r="M36">
        <f>ROUND(ROUND(L36*Source!I115, 6)*1, 2)</f>
        <v>39528.69</v>
      </c>
      <c r="N36">
        <f>SmtRes!AA49</f>
        <v>12.26</v>
      </c>
      <c r="O36">
        <f>ROUND(ROUND(L36*Source!I115, 6)*SmtRes!DA49, 2)</f>
        <v>39528.69</v>
      </c>
      <c r="P36">
        <f>SmtRes!AG49</f>
        <v>0</v>
      </c>
      <c r="Q36">
        <f>SmtRes!DC49</f>
        <v>0</v>
      </c>
      <c r="R36">
        <f>ROUND(ROUND(Q36*Source!I115, 6)*1, 2)</f>
        <v>0</v>
      </c>
      <c r="S36">
        <f>SmtRes!AC49</f>
        <v>0</v>
      </c>
      <c r="T36">
        <f>ROUND(ROUND(Q36*Source!I115, 6)*SmtRes!AK49, 2)</f>
        <v>0</v>
      </c>
      <c r="U36">
        <f>SmtRes!X49</f>
        <v>1241851292</v>
      </c>
      <c r="V36">
        <v>2052598104</v>
      </c>
      <c r="W36">
        <v>2052598104</v>
      </c>
    </row>
    <row r="37" spans="1:23" x14ac:dyDescent="0.2">
      <c r="A37">
        <f>Source!A115</f>
        <v>17</v>
      </c>
      <c r="C37">
        <v>3</v>
      </c>
      <c r="D37">
        <v>0</v>
      </c>
      <c r="E37">
        <f>SmtRes!AV48</f>
        <v>0</v>
      </c>
      <c r="F37" t="str">
        <f>SmtRes!I48</f>
        <v>21.4-4-12</v>
      </c>
      <c r="G37" t="str">
        <f>SmtRes!K48</f>
        <v>Селитра аммиачная, марка Б</v>
      </c>
      <c r="H37" t="str">
        <f>SmtRes!O48</f>
        <v>кг</v>
      </c>
      <c r="I37">
        <f>SmtRes!Y48*Source!I115</f>
        <v>6.4483999999999995</v>
      </c>
      <c r="J37">
        <f>SmtRes!AO48</f>
        <v>1</v>
      </c>
      <c r="K37">
        <f>SmtRes!AE48</f>
        <v>32.549999999999997</v>
      </c>
      <c r="L37">
        <f>SmtRes!DB48</f>
        <v>22.79</v>
      </c>
      <c r="M37">
        <f>ROUND(ROUND(L37*Source!I115, 6)*1, 2)</f>
        <v>209.94</v>
      </c>
      <c r="N37">
        <f>SmtRes!AA48</f>
        <v>32.549999999999997</v>
      </c>
      <c r="O37">
        <f>ROUND(ROUND(L37*Source!I115, 6)*SmtRes!DA48, 2)</f>
        <v>209.94</v>
      </c>
      <c r="P37">
        <f>SmtRes!AG48</f>
        <v>0</v>
      </c>
      <c r="Q37">
        <f>SmtRes!DC48</f>
        <v>0</v>
      </c>
      <c r="R37">
        <f>ROUND(ROUND(Q37*Source!I115, 6)*1, 2)</f>
        <v>0</v>
      </c>
      <c r="S37">
        <f>SmtRes!AC48</f>
        <v>0</v>
      </c>
      <c r="T37">
        <f>ROUND(ROUND(Q37*Source!I115, 6)*SmtRes!AK48, 2)</f>
        <v>0</v>
      </c>
      <c r="U37">
        <f>SmtRes!X48</f>
        <v>253361717</v>
      </c>
      <c r="V37">
        <v>-1608731110</v>
      </c>
      <c r="W37">
        <v>-1608731110</v>
      </c>
    </row>
    <row r="38" spans="1:23" x14ac:dyDescent="0.2">
      <c r="A38">
        <f>Source!A175</f>
        <v>4</v>
      </c>
      <c r="B38">
        <v>175</v>
      </c>
      <c r="G38" t="str">
        <f>Source!G175</f>
        <v>Посадка на внутридворовых территориях деревьев IV группы, ком 1,3*1,3*0,6, 75% замена земли</v>
      </c>
    </row>
    <row r="39" spans="1:23" x14ac:dyDescent="0.2">
      <c r="A39">
        <f>Source!A179</f>
        <v>5</v>
      </c>
      <c r="B39">
        <v>179</v>
      </c>
      <c r="G39" t="str">
        <f>Source!G179</f>
        <v>Посадка деревьев 120 шт</v>
      </c>
    </row>
    <row r="40" spans="1:23" x14ac:dyDescent="0.2">
      <c r="A40">
        <f>Source!A183</f>
        <v>17</v>
      </c>
      <c r="C40">
        <v>3</v>
      </c>
      <c r="D40">
        <v>0</v>
      </c>
      <c r="E40">
        <f>SmtRes!AV53</f>
        <v>0</v>
      </c>
      <c r="F40" t="str">
        <f>SmtRes!I53</f>
        <v>21.4-6-5</v>
      </c>
      <c r="G40" t="str">
        <f>SmtRes!K53</f>
        <v>Земля растительная</v>
      </c>
      <c r="H40" t="str">
        <f>SmtRes!O53</f>
        <v>м3</v>
      </c>
      <c r="I40">
        <f>SmtRes!Y53*Source!I183</f>
        <v>104.39999999999999</v>
      </c>
      <c r="J40">
        <f>SmtRes!AO53</f>
        <v>1</v>
      </c>
      <c r="K40">
        <f>SmtRes!AE53</f>
        <v>753.67</v>
      </c>
      <c r="L40">
        <f>SmtRes!DB53</f>
        <v>8742.57</v>
      </c>
      <c r="M40">
        <f>ROUND(ROUND(L40*Source!I183, 6)*1, 2)</f>
        <v>78683.13</v>
      </c>
      <c r="N40">
        <f>SmtRes!AA53</f>
        <v>753.67</v>
      </c>
      <c r="O40">
        <f>ROUND(ROUND(L40*Source!I183, 6)*SmtRes!DA53, 2)</f>
        <v>78683.13</v>
      </c>
      <c r="P40">
        <f>SmtRes!AG53</f>
        <v>0</v>
      </c>
      <c r="Q40">
        <f>SmtRes!DC53</f>
        <v>0</v>
      </c>
      <c r="R40">
        <f>ROUND(ROUND(Q40*Source!I183, 6)*1, 2)</f>
        <v>0</v>
      </c>
      <c r="S40">
        <f>SmtRes!AC53</f>
        <v>0</v>
      </c>
      <c r="T40">
        <f>ROUND(ROUND(Q40*Source!I183, 6)*SmtRes!AK53, 2)</f>
        <v>0</v>
      </c>
      <c r="U40">
        <f>SmtRes!X53</f>
        <v>1949937456</v>
      </c>
      <c r="V40">
        <v>-1757888593</v>
      </c>
      <c r="W40">
        <v>-1757888593</v>
      </c>
    </row>
    <row r="41" spans="1:23" x14ac:dyDescent="0.2">
      <c r="A41">
        <f>Source!A183</f>
        <v>17</v>
      </c>
      <c r="C41">
        <v>3</v>
      </c>
      <c r="D41">
        <v>0</v>
      </c>
      <c r="E41">
        <f>SmtRes!AV52</f>
        <v>0</v>
      </c>
      <c r="F41" t="str">
        <f>SmtRes!I52</f>
        <v>21.4-6-15</v>
      </c>
      <c r="G41" t="str">
        <f>SmtRes!K52</f>
        <v>Торф</v>
      </c>
      <c r="H41" t="str">
        <f>SmtRes!O52</f>
        <v>м3</v>
      </c>
      <c r="I41">
        <f>SmtRes!Y52*Source!I183</f>
        <v>34.92</v>
      </c>
      <c r="J41">
        <f>SmtRes!AO52</f>
        <v>1</v>
      </c>
      <c r="K41">
        <f>SmtRes!AE52</f>
        <v>810.33</v>
      </c>
      <c r="L41">
        <f>SmtRes!DB52</f>
        <v>3144.08</v>
      </c>
      <c r="M41">
        <f>ROUND(ROUND(L41*Source!I183, 6)*1, 2)</f>
        <v>28296.720000000001</v>
      </c>
      <c r="N41">
        <f>SmtRes!AA52</f>
        <v>810.33</v>
      </c>
      <c r="O41">
        <f>ROUND(ROUND(L41*Source!I183, 6)*SmtRes!DA52, 2)</f>
        <v>28296.720000000001</v>
      </c>
      <c r="P41">
        <f>SmtRes!AG52</f>
        <v>0</v>
      </c>
      <c r="Q41">
        <f>SmtRes!DC52</f>
        <v>0</v>
      </c>
      <c r="R41">
        <f>ROUND(ROUND(Q41*Source!I183, 6)*1, 2)</f>
        <v>0</v>
      </c>
      <c r="S41">
        <f>SmtRes!AC52</f>
        <v>0</v>
      </c>
      <c r="T41">
        <f>ROUND(ROUND(Q41*Source!I183, 6)*SmtRes!AK52, 2)</f>
        <v>0</v>
      </c>
      <c r="U41">
        <f>SmtRes!X52</f>
        <v>589210780</v>
      </c>
      <c r="V41">
        <v>-1495148101</v>
      </c>
      <c r="W41">
        <v>-1495148101</v>
      </c>
    </row>
    <row r="42" spans="1:23" x14ac:dyDescent="0.2">
      <c r="A42">
        <f>Source!A184</f>
        <v>17</v>
      </c>
      <c r="C42">
        <v>3</v>
      </c>
      <c r="D42">
        <v>0</v>
      </c>
      <c r="E42">
        <f>SmtRes!AV56</f>
        <v>0</v>
      </c>
      <c r="F42" t="str">
        <f>SmtRes!I56</f>
        <v>21.4-6-5</v>
      </c>
      <c r="G42" t="str">
        <f>SmtRes!K56</f>
        <v>Земля растительная</v>
      </c>
      <c r="H42" t="str">
        <f>SmtRes!O56</f>
        <v>м3</v>
      </c>
      <c r="I42">
        <f>SmtRes!Y56*Source!I184</f>
        <v>17.43</v>
      </c>
      <c r="J42">
        <f>SmtRes!AO56</f>
        <v>1</v>
      </c>
      <c r="K42">
        <f>SmtRes!AE56</f>
        <v>753.67</v>
      </c>
      <c r="L42">
        <f>SmtRes!DB56</f>
        <v>4378.82</v>
      </c>
      <c r="M42">
        <f>ROUND(ROUND(L42*Source!I184, 6)*1, 2)</f>
        <v>13136.46</v>
      </c>
      <c r="N42">
        <f>SmtRes!AA56</f>
        <v>753.67</v>
      </c>
      <c r="O42">
        <f>ROUND(ROUND(L42*Source!I184, 6)*SmtRes!DA56, 2)</f>
        <v>13136.46</v>
      </c>
      <c r="P42">
        <f>SmtRes!AG56</f>
        <v>0</v>
      </c>
      <c r="Q42">
        <f>SmtRes!DC56</f>
        <v>0</v>
      </c>
      <c r="R42">
        <f>ROUND(ROUND(Q42*Source!I184, 6)*1, 2)</f>
        <v>0</v>
      </c>
      <c r="S42">
        <f>SmtRes!AC56</f>
        <v>0</v>
      </c>
      <c r="T42">
        <f>ROUND(ROUND(Q42*Source!I184, 6)*SmtRes!AK56, 2)</f>
        <v>0</v>
      </c>
      <c r="U42">
        <f>SmtRes!X56</f>
        <v>1949937456</v>
      </c>
      <c r="V42">
        <v>-1757888593</v>
      </c>
      <c r="W42">
        <v>-1757888593</v>
      </c>
    </row>
    <row r="43" spans="1:23" x14ac:dyDescent="0.2">
      <c r="A43">
        <f>Source!A184</f>
        <v>17</v>
      </c>
      <c r="C43">
        <v>3</v>
      </c>
      <c r="D43">
        <v>0</v>
      </c>
      <c r="E43">
        <f>SmtRes!AV55</f>
        <v>0</v>
      </c>
      <c r="F43" t="str">
        <f>SmtRes!I55</f>
        <v>21.4-6-15</v>
      </c>
      <c r="G43" t="str">
        <f>SmtRes!K55</f>
        <v>Торф</v>
      </c>
      <c r="H43" t="str">
        <f>SmtRes!O55</f>
        <v>м3</v>
      </c>
      <c r="I43">
        <f>SmtRes!Y55*Source!I184</f>
        <v>5.82</v>
      </c>
      <c r="J43">
        <f>SmtRes!AO55</f>
        <v>1</v>
      </c>
      <c r="K43">
        <f>SmtRes!AE55</f>
        <v>810.33</v>
      </c>
      <c r="L43">
        <f>SmtRes!DB55</f>
        <v>1572.04</v>
      </c>
      <c r="M43">
        <f>ROUND(ROUND(L43*Source!I184, 6)*1, 2)</f>
        <v>4716.12</v>
      </c>
      <c r="N43">
        <f>SmtRes!AA55</f>
        <v>810.33</v>
      </c>
      <c r="O43">
        <f>ROUND(ROUND(L43*Source!I184, 6)*SmtRes!DA55, 2)</f>
        <v>4716.12</v>
      </c>
      <c r="P43">
        <f>SmtRes!AG55</f>
        <v>0</v>
      </c>
      <c r="Q43">
        <f>SmtRes!DC55</f>
        <v>0</v>
      </c>
      <c r="R43">
        <f>ROUND(ROUND(Q43*Source!I184, 6)*1, 2)</f>
        <v>0</v>
      </c>
      <c r="S43">
        <f>SmtRes!AC55</f>
        <v>0</v>
      </c>
      <c r="T43">
        <f>ROUND(ROUND(Q43*Source!I184, 6)*SmtRes!AK55, 2)</f>
        <v>0</v>
      </c>
      <c r="U43">
        <f>SmtRes!X55</f>
        <v>589210780</v>
      </c>
      <c r="V43">
        <v>-1495148101</v>
      </c>
      <c r="W43">
        <v>-1495148101</v>
      </c>
    </row>
    <row r="44" spans="1:23" x14ac:dyDescent="0.2">
      <c r="A44">
        <f>Source!A189</f>
        <v>17</v>
      </c>
      <c r="C44">
        <v>3</v>
      </c>
      <c r="D44">
        <v>0</v>
      </c>
      <c r="E44">
        <f>SmtRes!AV67</f>
        <v>0</v>
      </c>
      <c r="F44" t="str">
        <f>SmtRes!I67</f>
        <v>21.1-9-90</v>
      </c>
      <c r="G44" t="str">
        <f>SmtRes!K67</f>
        <v>Бревна строительные окоренные, лиственных пород, длина 3-6,5 м, диаметр 14-24 см, сорт III</v>
      </c>
      <c r="H44" t="str">
        <f>SmtRes!O67</f>
        <v>м3</v>
      </c>
      <c r="I44">
        <f>SmtRes!Y67*Source!I189</f>
        <v>7.1999999999999993</v>
      </c>
      <c r="J44">
        <f>SmtRes!AO67</f>
        <v>1</v>
      </c>
      <c r="K44">
        <f>SmtRes!AE67</f>
        <v>3141.36</v>
      </c>
      <c r="L44">
        <f>SmtRes!DB67</f>
        <v>1884.82</v>
      </c>
      <c r="M44">
        <f>ROUND(ROUND(L44*Source!I189, 6)*1, 2)</f>
        <v>22617.84</v>
      </c>
      <c r="N44">
        <f>SmtRes!AA67</f>
        <v>3141.36</v>
      </c>
      <c r="O44">
        <f>ROUND(ROUND(L44*Source!I189, 6)*SmtRes!DA67, 2)</f>
        <v>22617.84</v>
      </c>
      <c r="P44">
        <f>SmtRes!AG67</f>
        <v>0</v>
      </c>
      <c r="Q44">
        <f>SmtRes!DC67</f>
        <v>0</v>
      </c>
      <c r="R44">
        <f>ROUND(ROUND(Q44*Source!I189, 6)*1, 2)</f>
        <v>0</v>
      </c>
      <c r="S44">
        <f>SmtRes!AC67</f>
        <v>0</v>
      </c>
      <c r="T44">
        <f>ROUND(ROUND(Q44*Source!I189, 6)*SmtRes!AK67, 2)</f>
        <v>0</v>
      </c>
      <c r="U44">
        <f>SmtRes!X67</f>
        <v>-1878549391</v>
      </c>
      <c r="V44">
        <v>-1678936934</v>
      </c>
      <c r="W44">
        <v>-1678936934</v>
      </c>
    </row>
    <row r="45" spans="1:23" x14ac:dyDescent="0.2">
      <c r="A45">
        <f>Source!A189</f>
        <v>17</v>
      </c>
      <c r="C45">
        <v>3</v>
      </c>
      <c r="D45">
        <v>0</v>
      </c>
      <c r="E45">
        <f>SmtRes!AV66</f>
        <v>0</v>
      </c>
      <c r="F45" t="str">
        <f>SmtRes!I66</f>
        <v>21.1-9-57</v>
      </c>
      <c r="G45" t="str">
        <f>SmtRes!K66</f>
        <v>Доски хвойных пород, обрезные, длина 2-6,5 м, сорт III, толщина 40-60 мм</v>
      </c>
      <c r="H45" t="str">
        <f>SmtRes!O66</f>
        <v>м3</v>
      </c>
      <c r="I45">
        <f>SmtRes!Y66*Source!I189</f>
        <v>24</v>
      </c>
      <c r="J45">
        <f>SmtRes!AO66</f>
        <v>1</v>
      </c>
      <c r="K45">
        <f>SmtRes!AE66</f>
        <v>6697.08</v>
      </c>
      <c r="L45">
        <f>SmtRes!DB66</f>
        <v>13394.16</v>
      </c>
      <c r="M45">
        <f>ROUND(ROUND(L45*Source!I189, 6)*1, 2)</f>
        <v>160729.92000000001</v>
      </c>
      <c r="N45">
        <f>SmtRes!AA66</f>
        <v>6697.08</v>
      </c>
      <c r="O45">
        <f>ROUND(ROUND(L45*Source!I189, 6)*SmtRes!DA66, 2)</f>
        <v>160729.92000000001</v>
      </c>
      <c r="P45">
        <f>SmtRes!AG66</f>
        <v>0</v>
      </c>
      <c r="Q45">
        <f>SmtRes!DC66</f>
        <v>0</v>
      </c>
      <c r="R45">
        <f>ROUND(ROUND(Q45*Source!I189, 6)*1, 2)</f>
        <v>0</v>
      </c>
      <c r="S45">
        <f>SmtRes!AC66</f>
        <v>0</v>
      </c>
      <c r="T45">
        <f>ROUND(ROUND(Q45*Source!I189, 6)*SmtRes!AK66, 2)</f>
        <v>0</v>
      </c>
      <c r="U45">
        <f>SmtRes!X66</f>
        <v>770955183</v>
      </c>
      <c r="V45">
        <v>-715990279</v>
      </c>
      <c r="W45">
        <v>-715990279</v>
      </c>
    </row>
    <row r="46" spans="1:23" x14ac:dyDescent="0.2">
      <c r="A46">
        <f>Source!A189</f>
        <v>17</v>
      </c>
      <c r="C46">
        <v>3</v>
      </c>
      <c r="D46">
        <v>0</v>
      </c>
      <c r="E46">
        <f>SmtRes!AV65</f>
        <v>0</v>
      </c>
      <c r="F46" t="str">
        <f>SmtRes!I65</f>
        <v>21.1-20-5</v>
      </c>
      <c r="G46" t="str">
        <f>SmtRes!K65</f>
        <v>Веревка пеньковая техническая</v>
      </c>
      <c r="H46" t="str">
        <f>SmtRes!O65</f>
        <v>кг</v>
      </c>
      <c r="I46">
        <f>SmtRes!Y65*Source!I189</f>
        <v>60</v>
      </c>
      <c r="J46">
        <f>SmtRes!AO65</f>
        <v>1</v>
      </c>
      <c r="K46">
        <f>SmtRes!AE65</f>
        <v>170.28</v>
      </c>
      <c r="L46">
        <f>SmtRes!DB65</f>
        <v>851.4</v>
      </c>
      <c r="M46">
        <f>ROUND(ROUND(L46*Source!I189, 6)*1, 2)</f>
        <v>10216.799999999999</v>
      </c>
      <c r="N46">
        <f>SmtRes!AA65</f>
        <v>170.28</v>
      </c>
      <c r="O46">
        <f>ROUND(ROUND(L46*Source!I189, 6)*SmtRes!DA65, 2)</f>
        <v>10216.799999999999</v>
      </c>
      <c r="P46">
        <f>SmtRes!AG65</f>
        <v>0</v>
      </c>
      <c r="Q46">
        <f>SmtRes!DC65</f>
        <v>0</v>
      </c>
      <c r="R46">
        <f>ROUND(ROUND(Q46*Source!I189, 6)*1, 2)</f>
        <v>0</v>
      </c>
      <c r="S46">
        <f>SmtRes!AC65</f>
        <v>0</v>
      </c>
      <c r="T46">
        <f>ROUND(ROUND(Q46*Source!I189, 6)*SmtRes!AK65, 2)</f>
        <v>0</v>
      </c>
      <c r="U46">
        <f>SmtRes!X65</f>
        <v>-1657742588</v>
      </c>
      <c r="V46">
        <v>756181771</v>
      </c>
      <c r="W46">
        <v>756181771</v>
      </c>
    </row>
    <row r="47" spans="1:23" x14ac:dyDescent="0.2">
      <c r="A47">
        <f>Source!A189</f>
        <v>17</v>
      </c>
      <c r="C47">
        <v>3</v>
      </c>
      <c r="D47">
        <v>0</v>
      </c>
      <c r="E47">
        <f>SmtRes!AV64</f>
        <v>0</v>
      </c>
      <c r="F47" t="str">
        <f>SmtRes!I64</f>
        <v>21.1-11-46</v>
      </c>
      <c r="G47" t="str">
        <f>SmtRes!K64</f>
        <v>Гвозди строительные</v>
      </c>
      <c r="H47" t="str">
        <f>SmtRes!O64</f>
        <v>т</v>
      </c>
      <c r="I47">
        <f>SmtRes!Y64*Source!I189</f>
        <v>0.72</v>
      </c>
      <c r="J47">
        <f>SmtRes!AO64</f>
        <v>1</v>
      </c>
      <c r="K47">
        <f>SmtRes!AE64</f>
        <v>52914.53</v>
      </c>
      <c r="L47">
        <f>SmtRes!DB64</f>
        <v>3174.87</v>
      </c>
      <c r="M47">
        <f>ROUND(ROUND(L47*Source!I189, 6)*1, 2)</f>
        <v>38098.44</v>
      </c>
      <c r="N47">
        <f>SmtRes!AA64</f>
        <v>52914.53</v>
      </c>
      <c r="O47">
        <f>ROUND(ROUND(L47*Source!I189, 6)*SmtRes!DA64, 2)</f>
        <v>38098.44</v>
      </c>
      <c r="P47">
        <f>SmtRes!AG64</f>
        <v>0</v>
      </c>
      <c r="Q47">
        <f>SmtRes!DC64</f>
        <v>0</v>
      </c>
      <c r="R47">
        <f>ROUND(ROUND(Q47*Source!I189, 6)*1, 2)</f>
        <v>0</v>
      </c>
      <c r="S47">
        <f>SmtRes!AC64</f>
        <v>0</v>
      </c>
      <c r="T47">
        <f>ROUND(ROUND(Q47*Source!I189, 6)*SmtRes!AK64, 2)</f>
        <v>0</v>
      </c>
      <c r="U47">
        <f>SmtRes!X64</f>
        <v>-785747182</v>
      </c>
      <c r="V47">
        <v>1773517037</v>
      </c>
      <c r="W47">
        <v>1773517037</v>
      </c>
    </row>
    <row r="48" spans="1:23" x14ac:dyDescent="0.2">
      <c r="A48">
        <f>Source!A190</f>
        <v>17</v>
      </c>
      <c r="C48">
        <v>3</v>
      </c>
      <c r="D48">
        <v>0</v>
      </c>
      <c r="E48">
        <f>SmtRes!AV74</f>
        <v>0</v>
      </c>
      <c r="F48" t="str">
        <f>SmtRes!I74</f>
        <v>21.4-6-7</v>
      </c>
      <c r="G48" t="str">
        <f>SmtRes!K74</f>
        <v>Колья деревянные для подвязки деревьев до 2,5м</v>
      </c>
      <c r="H48" t="str">
        <f>SmtRes!O74</f>
        <v>м3</v>
      </c>
      <c r="I48">
        <f>SmtRes!Y74*Source!I190</f>
        <v>1.9008000000000003</v>
      </c>
      <c r="J48">
        <f>SmtRes!AO74</f>
        <v>1</v>
      </c>
      <c r="K48">
        <f>SmtRes!AE74</f>
        <v>3148.82</v>
      </c>
      <c r="L48">
        <f>SmtRes!DB74</f>
        <v>498.77</v>
      </c>
      <c r="M48">
        <f>ROUND(ROUND(L48*Source!I190, 6)*1, 2)</f>
        <v>5985.24</v>
      </c>
      <c r="N48">
        <f>SmtRes!AA74</f>
        <v>3148.82</v>
      </c>
      <c r="O48">
        <f>ROUND(ROUND(L48*Source!I190, 6)*SmtRes!DA74, 2)</f>
        <v>5985.24</v>
      </c>
      <c r="P48">
        <f>SmtRes!AG74</f>
        <v>0</v>
      </c>
      <c r="Q48">
        <f>SmtRes!DC74</f>
        <v>0</v>
      </c>
      <c r="R48">
        <f>ROUND(ROUND(Q48*Source!I190, 6)*1, 2)</f>
        <v>0</v>
      </c>
      <c r="S48">
        <f>SmtRes!AC74</f>
        <v>0</v>
      </c>
      <c r="T48">
        <f>ROUND(ROUND(Q48*Source!I190, 6)*SmtRes!AK74, 2)</f>
        <v>0</v>
      </c>
      <c r="U48">
        <f>SmtRes!X74</f>
        <v>2077475540</v>
      </c>
      <c r="V48">
        <v>-49724463</v>
      </c>
      <c r="W48">
        <v>-49724463</v>
      </c>
    </row>
    <row r="49" spans="1:23" x14ac:dyDescent="0.2">
      <c r="A49">
        <f>Source!A190</f>
        <v>17</v>
      </c>
      <c r="C49">
        <v>3</v>
      </c>
      <c r="D49">
        <v>0</v>
      </c>
      <c r="E49">
        <f>SmtRes!AV72</f>
        <v>0</v>
      </c>
      <c r="F49" t="str">
        <f>SmtRes!I72</f>
        <v>21.1-25-13</v>
      </c>
      <c r="G49" t="str">
        <f>SmtRes!K72</f>
        <v>Вода</v>
      </c>
      <c r="H49" t="str">
        <f>SmtRes!O72</f>
        <v>м3</v>
      </c>
      <c r="I49">
        <f>SmtRes!Y72*Source!I190</f>
        <v>84</v>
      </c>
      <c r="J49">
        <f>SmtRes!AO72</f>
        <v>1</v>
      </c>
      <c r="K49">
        <f>SmtRes!AE72</f>
        <v>33.729999999999997</v>
      </c>
      <c r="L49">
        <f>SmtRes!DB72</f>
        <v>236.11</v>
      </c>
      <c r="M49">
        <f>ROUND(ROUND(L49*Source!I190, 6)*1, 2)</f>
        <v>2833.32</v>
      </c>
      <c r="N49">
        <f>SmtRes!AA72</f>
        <v>33.729999999999997</v>
      </c>
      <c r="O49">
        <f>ROUND(ROUND(L49*Source!I190, 6)*SmtRes!DA72, 2)</f>
        <v>2833.32</v>
      </c>
      <c r="P49">
        <f>SmtRes!AG72</f>
        <v>0</v>
      </c>
      <c r="Q49">
        <f>SmtRes!DC72</f>
        <v>0</v>
      </c>
      <c r="R49">
        <f>ROUND(ROUND(Q49*Source!I190, 6)*1, 2)</f>
        <v>0</v>
      </c>
      <c r="S49">
        <f>SmtRes!AC72</f>
        <v>0</v>
      </c>
      <c r="T49">
        <f>ROUND(ROUND(Q49*Source!I190, 6)*SmtRes!AK72, 2)</f>
        <v>0</v>
      </c>
      <c r="U49">
        <f>SmtRes!X72</f>
        <v>924487879</v>
      </c>
      <c r="V49">
        <v>254213091</v>
      </c>
      <c r="W49">
        <v>254213091</v>
      </c>
    </row>
    <row r="50" spans="1:23" x14ac:dyDescent="0.2">
      <c r="A50">
        <f>Source!A190</f>
        <v>17</v>
      </c>
      <c r="C50">
        <v>3</v>
      </c>
      <c r="D50">
        <v>0</v>
      </c>
      <c r="E50">
        <f>SmtRes!AV71</f>
        <v>0</v>
      </c>
      <c r="F50" t="str">
        <f>SmtRes!I71</f>
        <v>21.1-20-54</v>
      </c>
      <c r="G50" t="str">
        <f>SmtRes!K71</f>
        <v>Шпагат пеньковый</v>
      </c>
      <c r="H50" t="str">
        <f>SmtRes!O71</f>
        <v>кг</v>
      </c>
      <c r="I50">
        <f>SmtRes!Y71*Source!I190</f>
        <v>3.5999999999999996</v>
      </c>
      <c r="J50">
        <f>SmtRes!AO71</f>
        <v>1</v>
      </c>
      <c r="K50">
        <f>SmtRes!AE71</f>
        <v>166.07</v>
      </c>
      <c r="L50">
        <f>SmtRes!DB71</f>
        <v>49.82</v>
      </c>
      <c r="M50">
        <f>ROUND(ROUND(L50*Source!I190, 6)*1, 2)</f>
        <v>597.84</v>
      </c>
      <c r="N50">
        <f>SmtRes!AA71</f>
        <v>166.07</v>
      </c>
      <c r="O50">
        <f>ROUND(ROUND(L50*Source!I190, 6)*SmtRes!DA71, 2)</f>
        <v>597.84</v>
      </c>
      <c r="P50">
        <f>SmtRes!AG71</f>
        <v>0</v>
      </c>
      <c r="Q50">
        <f>SmtRes!DC71</f>
        <v>0</v>
      </c>
      <c r="R50">
        <f>ROUND(ROUND(Q50*Source!I190, 6)*1, 2)</f>
        <v>0</v>
      </c>
      <c r="S50">
        <f>SmtRes!AC71</f>
        <v>0</v>
      </c>
      <c r="T50">
        <f>ROUND(ROUND(Q50*Source!I190, 6)*SmtRes!AK71, 2)</f>
        <v>0</v>
      </c>
      <c r="U50">
        <f>SmtRes!X71</f>
        <v>-51070253</v>
      </c>
      <c r="V50">
        <v>634868792</v>
      </c>
      <c r="W50">
        <v>634868792</v>
      </c>
    </row>
    <row r="51" spans="1:23" x14ac:dyDescent="0.2">
      <c r="A51">
        <f>Source!A190</f>
        <v>17</v>
      </c>
      <c r="C51">
        <v>3</v>
      </c>
      <c r="D51">
        <v>0</v>
      </c>
      <c r="E51">
        <f>SmtRes!AV70</f>
        <v>0</v>
      </c>
      <c r="F51" t="str">
        <f>SmtRes!I70</f>
        <v>21.1-20-17</v>
      </c>
      <c r="G51" t="str">
        <f>SmtRes!K70</f>
        <v>Мешковина</v>
      </c>
      <c r="H51" t="str">
        <f>SmtRes!O70</f>
        <v>м2</v>
      </c>
      <c r="I51">
        <f>SmtRes!Y70*Source!I190</f>
        <v>24</v>
      </c>
      <c r="J51">
        <f>SmtRes!AO70</f>
        <v>1</v>
      </c>
      <c r="K51">
        <f>SmtRes!AE70</f>
        <v>83.45</v>
      </c>
      <c r="L51">
        <f>SmtRes!DB70</f>
        <v>166.9</v>
      </c>
      <c r="M51">
        <f>ROUND(ROUND(L51*Source!I190, 6)*1, 2)</f>
        <v>2002.8</v>
      </c>
      <c r="N51">
        <f>SmtRes!AA70</f>
        <v>83.45</v>
      </c>
      <c r="O51">
        <f>ROUND(ROUND(L51*Source!I190, 6)*SmtRes!DA70, 2)</f>
        <v>2002.8</v>
      </c>
      <c r="P51">
        <f>SmtRes!AG70</f>
        <v>0</v>
      </c>
      <c r="Q51">
        <f>SmtRes!DC70</f>
        <v>0</v>
      </c>
      <c r="R51">
        <f>ROUND(ROUND(Q51*Source!I190, 6)*1, 2)</f>
        <v>0</v>
      </c>
      <c r="S51">
        <f>SmtRes!AC70</f>
        <v>0</v>
      </c>
      <c r="T51">
        <f>ROUND(ROUND(Q51*Source!I190, 6)*SmtRes!AK70, 2)</f>
        <v>0</v>
      </c>
      <c r="U51">
        <f>SmtRes!X70</f>
        <v>-385315686</v>
      </c>
      <c r="V51">
        <v>132152380</v>
      </c>
      <c r="W51">
        <v>132152380</v>
      </c>
    </row>
    <row r="52" spans="1:23" x14ac:dyDescent="0.2">
      <c r="A52">
        <f>Source!A191</f>
        <v>18</v>
      </c>
      <c r="C52">
        <v>3</v>
      </c>
      <c r="D52">
        <f>Source!BI191</f>
        <v>4</v>
      </c>
      <c r="E52">
        <f>Source!FS191</f>
        <v>0</v>
      </c>
      <c r="F52" t="str">
        <f>Source!F191</f>
        <v>21.4-1-5</v>
      </c>
      <c r="G52" t="str">
        <f>Source!G191</f>
        <v>Деревья декоративные лиственных пород с комом земли, порода: бархат амурский, вяз, дуб, каштан, клен, липа, орех, ясень, размер кома: 1,3х1,3х0,6 м</v>
      </c>
      <c r="H52" t="str">
        <f>Source!H191</f>
        <v>шт.</v>
      </c>
      <c r="I52">
        <f>Source!I191</f>
        <v>120</v>
      </c>
      <c r="J52">
        <v>1</v>
      </c>
      <c r="K52">
        <f>Source!AC191</f>
        <v>8631.6</v>
      </c>
      <c r="M52">
        <f>ROUND(K52*I52, 2)</f>
        <v>1035792</v>
      </c>
      <c r="N52">
        <f>Source!AC191*IF(Source!BC191&lt;&gt; 0, Source!BC191, 1)</f>
        <v>8631.6</v>
      </c>
      <c r="O52">
        <f>ROUND(N52*I52, 2)</f>
        <v>1035792</v>
      </c>
      <c r="P52">
        <f>Source!AE191</f>
        <v>0</v>
      </c>
      <c r="R52">
        <f>ROUND(P52*I52, 2)</f>
        <v>0</v>
      </c>
      <c r="S52">
        <f>Source!AE191*IF(Source!BS191&lt;&gt; 0, Source!BS191, 1)</f>
        <v>0</v>
      </c>
      <c r="T52">
        <f>ROUND(S52*I52, 2)</f>
        <v>0</v>
      </c>
      <c r="U52">
        <f>Source!GF191</f>
        <v>-800209048</v>
      </c>
      <c r="V52">
        <v>2041660152</v>
      </c>
      <c r="W52">
        <v>2041660152</v>
      </c>
    </row>
    <row r="53" spans="1:23" x14ac:dyDescent="0.2">
      <c r="A53">
        <f>Source!A222</f>
        <v>5</v>
      </c>
      <c r="B53">
        <v>222</v>
      </c>
      <c r="G53" t="str">
        <f>Source!G222</f>
        <v>Восстановление отпада деревьев 5%</v>
      </c>
    </row>
    <row r="54" spans="1:23" x14ac:dyDescent="0.2">
      <c r="A54">
        <f>Source!A226</f>
        <v>17</v>
      </c>
      <c r="C54">
        <v>3</v>
      </c>
      <c r="D54">
        <v>0</v>
      </c>
      <c r="E54">
        <f>SmtRes!AV80</f>
        <v>0</v>
      </c>
      <c r="F54" t="str">
        <f>SmtRes!I80</f>
        <v>21.1-9-90</v>
      </c>
      <c r="G54" t="str">
        <f>SmtRes!K80</f>
        <v>Бревна строительные окоренные, лиственных пород, длина 3-6,5 м, диаметр 14-24 см, сорт III</v>
      </c>
      <c r="H54" t="str">
        <f>SmtRes!O80</f>
        <v>м3</v>
      </c>
      <c r="I54">
        <f>SmtRes!Y80*Source!I226</f>
        <v>0.36</v>
      </c>
      <c r="J54">
        <f>SmtRes!AO80</f>
        <v>1</v>
      </c>
      <c r="K54">
        <f>SmtRes!AE80</f>
        <v>3141.36</v>
      </c>
      <c r="L54">
        <f>SmtRes!DB80</f>
        <v>1884.82</v>
      </c>
      <c r="M54">
        <f>ROUND(ROUND(L54*Source!I226, 6)*1, 2)</f>
        <v>1130.8900000000001</v>
      </c>
      <c r="N54">
        <f>SmtRes!AA80</f>
        <v>3141.36</v>
      </c>
      <c r="O54">
        <f>ROUND(ROUND(L54*Source!I226, 6)*SmtRes!DA80, 2)</f>
        <v>1130.8900000000001</v>
      </c>
      <c r="P54">
        <f>SmtRes!AG80</f>
        <v>0</v>
      </c>
      <c r="Q54">
        <f>SmtRes!DC80</f>
        <v>0</v>
      </c>
      <c r="R54">
        <f>ROUND(ROUND(Q54*Source!I226, 6)*1, 2)</f>
        <v>0</v>
      </c>
      <c r="S54">
        <f>SmtRes!AC80</f>
        <v>0</v>
      </c>
      <c r="T54">
        <f>ROUND(ROUND(Q54*Source!I226, 6)*SmtRes!AK80, 2)</f>
        <v>0</v>
      </c>
      <c r="U54">
        <f>SmtRes!X80</f>
        <v>-1878549391</v>
      </c>
      <c r="V54">
        <v>-1678936934</v>
      </c>
      <c r="W54">
        <v>-1678936934</v>
      </c>
    </row>
    <row r="55" spans="1:23" x14ac:dyDescent="0.2">
      <c r="A55">
        <f>Source!A226</f>
        <v>17</v>
      </c>
      <c r="C55">
        <v>3</v>
      </c>
      <c r="D55">
        <v>0</v>
      </c>
      <c r="E55">
        <f>SmtRes!AV79</f>
        <v>0</v>
      </c>
      <c r="F55" t="str">
        <f>SmtRes!I79</f>
        <v>21.1-9-57</v>
      </c>
      <c r="G55" t="str">
        <f>SmtRes!K79</f>
        <v>Доски хвойных пород, обрезные, длина 2-6,5 м, сорт III, толщина 40-60 мм</v>
      </c>
      <c r="H55" t="str">
        <f>SmtRes!O79</f>
        <v>м3</v>
      </c>
      <c r="I55">
        <f>SmtRes!Y79*Source!I226</f>
        <v>1.2</v>
      </c>
      <c r="J55">
        <f>SmtRes!AO79</f>
        <v>1</v>
      </c>
      <c r="K55">
        <f>SmtRes!AE79</f>
        <v>6697.08</v>
      </c>
      <c r="L55">
        <f>SmtRes!DB79</f>
        <v>13394.16</v>
      </c>
      <c r="M55">
        <f>ROUND(ROUND(L55*Source!I226, 6)*1, 2)</f>
        <v>8036.5</v>
      </c>
      <c r="N55">
        <f>SmtRes!AA79</f>
        <v>6697.08</v>
      </c>
      <c r="O55">
        <f>ROUND(ROUND(L55*Source!I226, 6)*SmtRes!DA79, 2)</f>
        <v>8036.5</v>
      </c>
      <c r="P55">
        <f>SmtRes!AG79</f>
        <v>0</v>
      </c>
      <c r="Q55">
        <f>SmtRes!DC79</f>
        <v>0</v>
      </c>
      <c r="R55">
        <f>ROUND(ROUND(Q55*Source!I226, 6)*1, 2)</f>
        <v>0</v>
      </c>
      <c r="S55">
        <f>SmtRes!AC79</f>
        <v>0</v>
      </c>
      <c r="T55">
        <f>ROUND(ROUND(Q55*Source!I226, 6)*SmtRes!AK79, 2)</f>
        <v>0</v>
      </c>
      <c r="U55">
        <f>SmtRes!X79</f>
        <v>770955183</v>
      </c>
      <c r="V55">
        <v>-715990279</v>
      </c>
      <c r="W55">
        <v>-715990279</v>
      </c>
    </row>
    <row r="56" spans="1:23" x14ac:dyDescent="0.2">
      <c r="A56">
        <f>Source!A226</f>
        <v>17</v>
      </c>
      <c r="C56">
        <v>3</v>
      </c>
      <c r="D56">
        <v>0</v>
      </c>
      <c r="E56">
        <f>SmtRes!AV78</f>
        <v>0</v>
      </c>
      <c r="F56" t="str">
        <f>SmtRes!I78</f>
        <v>21.1-20-5</v>
      </c>
      <c r="G56" t="str">
        <f>SmtRes!K78</f>
        <v>Веревка пеньковая техническая</v>
      </c>
      <c r="H56" t="str">
        <f>SmtRes!O78</f>
        <v>кг</v>
      </c>
      <c r="I56">
        <f>SmtRes!Y78*Source!I226</f>
        <v>3</v>
      </c>
      <c r="J56">
        <f>SmtRes!AO78</f>
        <v>1</v>
      </c>
      <c r="K56">
        <f>SmtRes!AE78</f>
        <v>170.28</v>
      </c>
      <c r="L56">
        <f>SmtRes!DB78</f>
        <v>851.4</v>
      </c>
      <c r="M56">
        <f>ROUND(ROUND(L56*Source!I226, 6)*1, 2)</f>
        <v>510.84</v>
      </c>
      <c r="N56">
        <f>SmtRes!AA78</f>
        <v>170.28</v>
      </c>
      <c r="O56">
        <f>ROUND(ROUND(L56*Source!I226, 6)*SmtRes!DA78, 2)</f>
        <v>510.84</v>
      </c>
      <c r="P56">
        <f>SmtRes!AG78</f>
        <v>0</v>
      </c>
      <c r="Q56">
        <f>SmtRes!DC78</f>
        <v>0</v>
      </c>
      <c r="R56">
        <f>ROUND(ROUND(Q56*Source!I226, 6)*1, 2)</f>
        <v>0</v>
      </c>
      <c r="S56">
        <f>SmtRes!AC78</f>
        <v>0</v>
      </c>
      <c r="T56">
        <f>ROUND(ROUND(Q56*Source!I226, 6)*SmtRes!AK78, 2)</f>
        <v>0</v>
      </c>
      <c r="U56">
        <f>SmtRes!X78</f>
        <v>-1657742588</v>
      </c>
      <c r="V56">
        <v>756181771</v>
      </c>
      <c r="W56">
        <v>756181771</v>
      </c>
    </row>
    <row r="57" spans="1:23" x14ac:dyDescent="0.2">
      <c r="A57">
        <f>Source!A226</f>
        <v>17</v>
      </c>
      <c r="C57">
        <v>3</v>
      </c>
      <c r="D57">
        <v>0</v>
      </c>
      <c r="E57">
        <f>SmtRes!AV77</f>
        <v>0</v>
      </c>
      <c r="F57" t="str">
        <f>SmtRes!I77</f>
        <v>21.1-11-46</v>
      </c>
      <c r="G57" t="str">
        <f>SmtRes!K77</f>
        <v>Гвозди строительные</v>
      </c>
      <c r="H57" t="str">
        <f>SmtRes!O77</f>
        <v>т</v>
      </c>
      <c r="I57">
        <f>SmtRes!Y77*Source!I226</f>
        <v>3.5999999999999997E-2</v>
      </c>
      <c r="J57">
        <f>SmtRes!AO77</f>
        <v>1</v>
      </c>
      <c r="K57">
        <f>SmtRes!AE77</f>
        <v>52914.53</v>
      </c>
      <c r="L57">
        <f>SmtRes!DB77</f>
        <v>3174.87</v>
      </c>
      <c r="M57">
        <f>ROUND(ROUND(L57*Source!I226, 6)*1, 2)</f>
        <v>1904.92</v>
      </c>
      <c r="N57">
        <f>SmtRes!AA77</f>
        <v>52914.53</v>
      </c>
      <c r="O57">
        <f>ROUND(ROUND(L57*Source!I226, 6)*SmtRes!DA77, 2)</f>
        <v>1904.92</v>
      </c>
      <c r="P57">
        <f>SmtRes!AG77</f>
        <v>0</v>
      </c>
      <c r="Q57">
        <f>SmtRes!DC77</f>
        <v>0</v>
      </c>
      <c r="R57">
        <f>ROUND(ROUND(Q57*Source!I226, 6)*1, 2)</f>
        <v>0</v>
      </c>
      <c r="S57">
        <f>SmtRes!AC77</f>
        <v>0</v>
      </c>
      <c r="T57">
        <f>ROUND(ROUND(Q57*Source!I226, 6)*SmtRes!AK77, 2)</f>
        <v>0</v>
      </c>
      <c r="U57">
        <f>SmtRes!X77</f>
        <v>-785747182</v>
      </c>
      <c r="V57">
        <v>1773517037</v>
      </c>
      <c r="W57">
        <v>1773517037</v>
      </c>
    </row>
    <row r="58" spans="1:23" x14ac:dyDescent="0.2">
      <c r="A58">
        <f>Source!A229</f>
        <v>17</v>
      </c>
      <c r="C58">
        <v>3</v>
      </c>
      <c r="D58">
        <v>0</v>
      </c>
      <c r="E58">
        <f>SmtRes!AV90</f>
        <v>0</v>
      </c>
      <c r="F58" t="str">
        <f>SmtRes!I90</f>
        <v>21.4-6-7</v>
      </c>
      <c r="G58" t="str">
        <f>SmtRes!K90</f>
        <v>Колья деревянные для подвязки деревьев до 2,5м</v>
      </c>
      <c r="H58" t="str">
        <f>SmtRes!O90</f>
        <v>м3</v>
      </c>
      <c r="I58">
        <f>SmtRes!Y90*Source!I229</f>
        <v>9.5039999999999999E-2</v>
      </c>
      <c r="J58">
        <f>SmtRes!AO90</f>
        <v>1</v>
      </c>
      <c r="K58">
        <f>SmtRes!AE90</f>
        <v>3148.82</v>
      </c>
      <c r="L58">
        <f>SmtRes!DB90</f>
        <v>498.77</v>
      </c>
      <c r="M58">
        <f>ROUND(ROUND(L58*Source!I229, 6)*1, 2)</f>
        <v>299.26</v>
      </c>
      <c r="N58">
        <f>SmtRes!AA90</f>
        <v>3148.82</v>
      </c>
      <c r="O58">
        <f>ROUND(ROUND(L58*Source!I229, 6)*SmtRes!DA90, 2)</f>
        <v>299.26</v>
      </c>
      <c r="P58">
        <f>SmtRes!AG90</f>
        <v>0</v>
      </c>
      <c r="Q58">
        <f>SmtRes!DC90</f>
        <v>0</v>
      </c>
      <c r="R58">
        <f>ROUND(ROUND(Q58*Source!I229, 6)*1, 2)</f>
        <v>0</v>
      </c>
      <c r="S58">
        <f>SmtRes!AC90</f>
        <v>0</v>
      </c>
      <c r="T58">
        <f>ROUND(ROUND(Q58*Source!I229, 6)*SmtRes!AK90, 2)</f>
        <v>0</v>
      </c>
      <c r="U58">
        <f>SmtRes!X90</f>
        <v>2077475540</v>
      </c>
      <c r="V58">
        <v>-49724463</v>
      </c>
      <c r="W58">
        <v>-49724463</v>
      </c>
    </row>
    <row r="59" spans="1:23" x14ac:dyDescent="0.2">
      <c r="A59">
        <f>Source!A229</f>
        <v>17</v>
      </c>
      <c r="C59">
        <v>3</v>
      </c>
      <c r="D59">
        <v>0</v>
      </c>
      <c r="E59">
        <f>SmtRes!AV88</f>
        <v>0</v>
      </c>
      <c r="F59" t="str">
        <f>SmtRes!I88</f>
        <v>21.1-25-13</v>
      </c>
      <c r="G59" t="str">
        <f>SmtRes!K88</f>
        <v>Вода</v>
      </c>
      <c r="H59" t="str">
        <f>SmtRes!O88</f>
        <v>м3</v>
      </c>
      <c r="I59">
        <f>SmtRes!Y88*Source!I229</f>
        <v>4.2</v>
      </c>
      <c r="J59">
        <f>SmtRes!AO88</f>
        <v>1</v>
      </c>
      <c r="K59">
        <f>SmtRes!AE88</f>
        <v>33.729999999999997</v>
      </c>
      <c r="L59">
        <f>SmtRes!DB88</f>
        <v>236.11</v>
      </c>
      <c r="M59">
        <f>ROUND(ROUND(L59*Source!I229, 6)*1, 2)</f>
        <v>141.66999999999999</v>
      </c>
      <c r="N59">
        <f>SmtRes!AA88</f>
        <v>33.729999999999997</v>
      </c>
      <c r="O59">
        <f>ROUND(ROUND(L59*Source!I229, 6)*SmtRes!DA88, 2)</f>
        <v>141.66999999999999</v>
      </c>
      <c r="P59">
        <f>SmtRes!AG88</f>
        <v>0</v>
      </c>
      <c r="Q59">
        <f>SmtRes!DC88</f>
        <v>0</v>
      </c>
      <c r="R59">
        <f>ROUND(ROUND(Q59*Source!I229, 6)*1, 2)</f>
        <v>0</v>
      </c>
      <c r="S59">
        <f>SmtRes!AC88</f>
        <v>0</v>
      </c>
      <c r="T59">
        <f>ROUND(ROUND(Q59*Source!I229, 6)*SmtRes!AK88, 2)</f>
        <v>0</v>
      </c>
      <c r="U59">
        <f>SmtRes!X88</f>
        <v>924487879</v>
      </c>
      <c r="V59">
        <v>254213091</v>
      </c>
      <c r="W59">
        <v>254213091</v>
      </c>
    </row>
    <row r="60" spans="1:23" x14ac:dyDescent="0.2">
      <c r="A60">
        <f>Source!A229</f>
        <v>17</v>
      </c>
      <c r="C60">
        <v>3</v>
      </c>
      <c r="D60">
        <v>0</v>
      </c>
      <c r="E60">
        <f>SmtRes!AV87</f>
        <v>0</v>
      </c>
      <c r="F60" t="str">
        <f>SmtRes!I87</f>
        <v>21.1-20-54</v>
      </c>
      <c r="G60" t="str">
        <f>SmtRes!K87</f>
        <v>Шпагат пеньковый</v>
      </c>
      <c r="H60" t="str">
        <f>SmtRes!O87</f>
        <v>кг</v>
      </c>
      <c r="I60">
        <f>SmtRes!Y87*Source!I229</f>
        <v>0.18</v>
      </c>
      <c r="J60">
        <f>SmtRes!AO87</f>
        <v>1</v>
      </c>
      <c r="K60">
        <f>SmtRes!AE87</f>
        <v>166.07</v>
      </c>
      <c r="L60">
        <f>SmtRes!DB87</f>
        <v>49.82</v>
      </c>
      <c r="M60">
        <f>ROUND(ROUND(L60*Source!I229, 6)*1, 2)</f>
        <v>29.89</v>
      </c>
      <c r="N60">
        <f>SmtRes!AA87</f>
        <v>166.07</v>
      </c>
      <c r="O60">
        <f>ROUND(ROUND(L60*Source!I229, 6)*SmtRes!DA87, 2)</f>
        <v>29.89</v>
      </c>
      <c r="P60">
        <f>SmtRes!AG87</f>
        <v>0</v>
      </c>
      <c r="Q60">
        <f>SmtRes!DC87</f>
        <v>0</v>
      </c>
      <c r="R60">
        <f>ROUND(ROUND(Q60*Source!I229, 6)*1, 2)</f>
        <v>0</v>
      </c>
      <c r="S60">
        <f>SmtRes!AC87</f>
        <v>0</v>
      </c>
      <c r="T60">
        <f>ROUND(ROUND(Q60*Source!I229, 6)*SmtRes!AK87, 2)</f>
        <v>0</v>
      </c>
      <c r="U60">
        <f>SmtRes!X87</f>
        <v>-51070253</v>
      </c>
      <c r="V60">
        <v>634868792</v>
      </c>
      <c r="W60">
        <v>634868792</v>
      </c>
    </row>
    <row r="61" spans="1:23" x14ac:dyDescent="0.2">
      <c r="A61">
        <f>Source!A229</f>
        <v>17</v>
      </c>
      <c r="C61">
        <v>3</v>
      </c>
      <c r="D61">
        <v>0</v>
      </c>
      <c r="E61">
        <f>SmtRes!AV86</f>
        <v>0</v>
      </c>
      <c r="F61" t="str">
        <f>SmtRes!I86</f>
        <v>21.1-20-17</v>
      </c>
      <c r="G61" t="str">
        <f>SmtRes!K86</f>
        <v>Мешковина</v>
      </c>
      <c r="H61" t="str">
        <f>SmtRes!O86</f>
        <v>м2</v>
      </c>
      <c r="I61">
        <f>SmtRes!Y86*Source!I229</f>
        <v>1.2</v>
      </c>
      <c r="J61">
        <f>SmtRes!AO86</f>
        <v>1</v>
      </c>
      <c r="K61">
        <f>SmtRes!AE86</f>
        <v>83.45</v>
      </c>
      <c r="L61">
        <f>SmtRes!DB86</f>
        <v>166.9</v>
      </c>
      <c r="M61">
        <f>ROUND(ROUND(L61*Source!I229, 6)*1, 2)</f>
        <v>100.14</v>
      </c>
      <c r="N61">
        <f>SmtRes!AA86</f>
        <v>83.45</v>
      </c>
      <c r="O61">
        <f>ROUND(ROUND(L61*Source!I229, 6)*SmtRes!DA86, 2)</f>
        <v>100.14</v>
      </c>
      <c r="P61">
        <f>SmtRes!AG86</f>
        <v>0</v>
      </c>
      <c r="Q61">
        <f>SmtRes!DC86</f>
        <v>0</v>
      </c>
      <c r="R61">
        <f>ROUND(ROUND(Q61*Source!I229, 6)*1, 2)</f>
        <v>0</v>
      </c>
      <c r="S61">
        <f>SmtRes!AC86</f>
        <v>0</v>
      </c>
      <c r="T61">
        <f>ROUND(ROUND(Q61*Source!I229, 6)*SmtRes!AK86, 2)</f>
        <v>0</v>
      </c>
      <c r="U61">
        <f>SmtRes!X86</f>
        <v>-385315686</v>
      </c>
      <c r="V61">
        <v>132152380</v>
      </c>
      <c r="W61">
        <v>132152380</v>
      </c>
    </row>
    <row r="62" spans="1:23" x14ac:dyDescent="0.2">
      <c r="A62">
        <f>Source!A230</f>
        <v>18</v>
      </c>
      <c r="C62">
        <v>3</v>
      </c>
      <c r="D62">
        <f>Source!BI230</f>
        <v>4</v>
      </c>
      <c r="E62">
        <f>Source!FS230</f>
        <v>0</v>
      </c>
      <c r="F62" t="str">
        <f>Source!F230</f>
        <v>21.4-1-5</v>
      </c>
      <c r="G62" t="str">
        <f>Source!G230</f>
        <v>Деревья декоративные лиственных пород с комом земли, порода: бархат амурский, вяз, дуб, каштан, клен, липа, орех, ясень, размер кома: 1,3х1,3х0,6 м</v>
      </c>
      <c r="H62" t="str">
        <f>Source!H230</f>
        <v>шт.</v>
      </c>
      <c r="I62">
        <f>Source!I230</f>
        <v>6</v>
      </c>
      <c r="J62">
        <v>1</v>
      </c>
      <c r="K62">
        <f>Source!AC230</f>
        <v>8631.6</v>
      </c>
      <c r="M62">
        <f>ROUND(K62*I62, 2)</f>
        <v>51789.599999999999</v>
      </c>
      <c r="N62">
        <f>Source!AC230*IF(Source!BC230&lt;&gt; 0, Source!BC230, 1)</f>
        <v>8631.6</v>
      </c>
      <c r="O62">
        <f>ROUND(N62*I62, 2)</f>
        <v>51789.599999999999</v>
      </c>
      <c r="P62">
        <f>Source!AE230</f>
        <v>0</v>
      </c>
      <c r="R62">
        <f>ROUND(P62*I62, 2)</f>
        <v>0</v>
      </c>
      <c r="S62">
        <f>Source!AE230*IF(Source!BS230&lt;&gt; 0, Source!BS230, 1)</f>
        <v>0</v>
      </c>
      <c r="T62">
        <f>ROUND(S62*I62, 2)</f>
        <v>0</v>
      </c>
      <c r="U62">
        <f>Source!GF230</f>
        <v>-800209048</v>
      </c>
      <c r="V62">
        <v>2041660152</v>
      </c>
      <c r="W62">
        <v>2041660152</v>
      </c>
    </row>
    <row r="63" spans="1:23" x14ac:dyDescent="0.2">
      <c r="A63">
        <f>Source!A261</f>
        <v>5</v>
      </c>
      <c r="B63">
        <v>261</v>
      </c>
      <c r="G63" t="str">
        <f>Source!G261</f>
        <v>Уход за деревьями - внутридворовые территории</v>
      </c>
    </row>
    <row r="64" spans="1:23" x14ac:dyDescent="0.2">
      <c r="A64">
        <f>Source!A265</f>
        <v>17</v>
      </c>
      <c r="C64">
        <v>3</v>
      </c>
      <c r="D64">
        <v>0</v>
      </c>
      <c r="E64">
        <f>SmtRes!AV95</f>
        <v>0</v>
      </c>
      <c r="F64" t="str">
        <f>SmtRes!I95</f>
        <v>21.1-25-13</v>
      </c>
      <c r="G64" t="str">
        <f>SmtRes!K95</f>
        <v>Вода</v>
      </c>
      <c r="H64" t="str">
        <f>SmtRes!O95</f>
        <v>м3</v>
      </c>
      <c r="I64">
        <f>SmtRes!Y95*Source!I265</f>
        <v>180</v>
      </c>
      <c r="J64">
        <f>SmtRes!AO95</f>
        <v>1</v>
      </c>
      <c r="K64">
        <f>SmtRes!AE95</f>
        <v>33.729999999999997</v>
      </c>
      <c r="L64">
        <f>SmtRes!DB95</f>
        <v>505.95</v>
      </c>
      <c r="M64">
        <f>ROUND(ROUND(L64*Source!I265, 6)*1, 2)</f>
        <v>6071.4</v>
      </c>
      <c r="N64">
        <f>SmtRes!AA95</f>
        <v>33.729999999999997</v>
      </c>
      <c r="O64">
        <f>ROUND(ROUND(L64*Source!I265, 6)*SmtRes!DA95, 2)</f>
        <v>6071.4</v>
      </c>
      <c r="P64">
        <f>SmtRes!AG95</f>
        <v>0</v>
      </c>
      <c r="Q64">
        <f>SmtRes!DC95</f>
        <v>0</v>
      </c>
      <c r="R64">
        <f>ROUND(ROUND(Q64*Source!I265, 6)*1, 2)</f>
        <v>0</v>
      </c>
      <c r="S64">
        <f>SmtRes!AC95</f>
        <v>0</v>
      </c>
      <c r="T64">
        <f>ROUND(ROUND(Q64*Source!I265, 6)*SmtRes!AK95, 2)</f>
        <v>0</v>
      </c>
      <c r="U64">
        <f>SmtRes!X95</f>
        <v>924487879</v>
      </c>
      <c r="V64">
        <v>254213091</v>
      </c>
      <c r="W64">
        <v>254213091</v>
      </c>
    </row>
    <row r="65" spans="1:23" x14ac:dyDescent="0.2">
      <c r="A65">
        <f>Source!A265</f>
        <v>17</v>
      </c>
      <c r="C65">
        <v>3</v>
      </c>
      <c r="D65">
        <v>0</v>
      </c>
      <c r="E65">
        <f>SmtRes!AV94</f>
        <v>0</v>
      </c>
      <c r="F65" t="str">
        <f>SmtRes!I94</f>
        <v>21.1-20-54</v>
      </c>
      <c r="G65" t="str">
        <f>SmtRes!K94</f>
        <v>Шпагат пеньковый</v>
      </c>
      <c r="H65" t="str">
        <f>SmtRes!O94</f>
        <v>кг</v>
      </c>
      <c r="I65">
        <f>SmtRes!Y94*Source!I265</f>
        <v>0.84000000000000008</v>
      </c>
      <c r="J65">
        <f>SmtRes!AO94</f>
        <v>1</v>
      </c>
      <c r="K65">
        <f>SmtRes!AE94</f>
        <v>166.07</v>
      </c>
      <c r="L65">
        <f>SmtRes!DB94</f>
        <v>11.62</v>
      </c>
      <c r="M65">
        <f>ROUND(ROUND(L65*Source!I265, 6)*1, 2)</f>
        <v>139.44</v>
      </c>
      <c r="N65">
        <f>SmtRes!AA94</f>
        <v>166.07</v>
      </c>
      <c r="O65">
        <f>ROUND(ROUND(L65*Source!I265, 6)*SmtRes!DA94, 2)</f>
        <v>139.44</v>
      </c>
      <c r="P65">
        <f>SmtRes!AG94</f>
        <v>0</v>
      </c>
      <c r="Q65">
        <f>SmtRes!DC94</f>
        <v>0</v>
      </c>
      <c r="R65">
        <f>ROUND(ROUND(Q65*Source!I265, 6)*1, 2)</f>
        <v>0</v>
      </c>
      <c r="S65">
        <f>SmtRes!AC94</f>
        <v>0</v>
      </c>
      <c r="T65">
        <f>ROUND(ROUND(Q65*Source!I265, 6)*SmtRes!AK94, 2)</f>
        <v>0</v>
      </c>
      <c r="U65">
        <f>SmtRes!X94</f>
        <v>-51070253</v>
      </c>
      <c r="V65">
        <v>634868792</v>
      </c>
      <c r="W65">
        <v>634868792</v>
      </c>
    </row>
    <row r="66" spans="1:23" x14ac:dyDescent="0.2">
      <c r="A66">
        <f>Source!A265</f>
        <v>17</v>
      </c>
      <c r="C66">
        <v>3</v>
      </c>
      <c r="D66">
        <v>0</v>
      </c>
      <c r="E66">
        <f>SmtRes!AV93</f>
        <v>0</v>
      </c>
      <c r="F66" t="str">
        <f>SmtRes!I93</f>
        <v>21.1-20-17</v>
      </c>
      <c r="G66" t="str">
        <f>SmtRes!K93</f>
        <v>Мешковина</v>
      </c>
      <c r="H66" t="str">
        <f>SmtRes!O93</f>
        <v>м2</v>
      </c>
      <c r="I66">
        <f>SmtRes!Y93*Source!I265</f>
        <v>24</v>
      </c>
      <c r="J66">
        <f>SmtRes!AO93</f>
        <v>1</v>
      </c>
      <c r="K66">
        <f>SmtRes!AE93</f>
        <v>83.45</v>
      </c>
      <c r="L66">
        <f>SmtRes!DB93</f>
        <v>166.9</v>
      </c>
      <c r="M66">
        <f>ROUND(ROUND(L66*Source!I265, 6)*1, 2)</f>
        <v>2002.8</v>
      </c>
      <c r="N66">
        <f>SmtRes!AA93</f>
        <v>83.45</v>
      </c>
      <c r="O66">
        <f>ROUND(ROUND(L66*Source!I265, 6)*SmtRes!DA93, 2)</f>
        <v>2002.8</v>
      </c>
      <c r="P66">
        <f>SmtRes!AG93</f>
        <v>0</v>
      </c>
      <c r="Q66">
        <f>SmtRes!DC93</f>
        <v>0</v>
      </c>
      <c r="R66">
        <f>ROUND(ROUND(Q66*Source!I265, 6)*1, 2)</f>
        <v>0</v>
      </c>
      <c r="S66">
        <f>SmtRes!AC93</f>
        <v>0</v>
      </c>
      <c r="T66">
        <f>ROUND(ROUND(Q66*Source!I265, 6)*SmtRes!AK93, 2)</f>
        <v>0</v>
      </c>
      <c r="U66">
        <f>SmtRes!X93</f>
        <v>-385315686</v>
      </c>
      <c r="V66">
        <v>132152380</v>
      </c>
      <c r="W66">
        <v>132152380</v>
      </c>
    </row>
    <row r="67" spans="1:23" x14ac:dyDescent="0.2">
      <c r="A67">
        <f>Source!A266</f>
        <v>17</v>
      </c>
      <c r="C67">
        <v>3</v>
      </c>
      <c r="D67">
        <v>0</v>
      </c>
      <c r="E67">
        <f>SmtRes!AV98</f>
        <v>0</v>
      </c>
      <c r="F67" t="str">
        <f>SmtRes!I98</f>
        <v>21.4-4-18</v>
      </c>
      <c r="G67" t="str">
        <f>SmtRes!K98</f>
        <v>Удобрения органические (средняя стоимость)</v>
      </c>
      <c r="H67" t="str">
        <f>SmtRes!O98</f>
        <v>кг</v>
      </c>
      <c r="I67">
        <f>SmtRes!Y98*Source!I266</f>
        <v>4242</v>
      </c>
      <c r="J67">
        <f>SmtRes!AO98</f>
        <v>1</v>
      </c>
      <c r="K67">
        <f>SmtRes!AE98</f>
        <v>12.26</v>
      </c>
      <c r="L67">
        <f>SmtRes!DB98</f>
        <v>4291</v>
      </c>
      <c r="M67">
        <f>ROUND(ROUND(L67*Source!I266, 6)*1, 2)</f>
        <v>52006.92</v>
      </c>
      <c r="N67">
        <f>SmtRes!AA98</f>
        <v>12.26</v>
      </c>
      <c r="O67">
        <f>ROUND(ROUND(L67*Source!I266, 6)*SmtRes!DA98, 2)</f>
        <v>52006.92</v>
      </c>
      <c r="P67">
        <f>SmtRes!AG98</f>
        <v>0</v>
      </c>
      <c r="Q67">
        <f>SmtRes!DC98</f>
        <v>0</v>
      </c>
      <c r="R67">
        <f>ROUND(ROUND(Q67*Source!I266, 6)*1, 2)</f>
        <v>0</v>
      </c>
      <c r="S67">
        <f>SmtRes!AC98</f>
        <v>0</v>
      </c>
      <c r="T67">
        <f>ROUND(ROUND(Q67*Source!I266, 6)*SmtRes!AK98, 2)</f>
        <v>0</v>
      </c>
      <c r="U67">
        <f>SmtRes!X98</f>
        <v>1241851292</v>
      </c>
      <c r="V67">
        <v>2052598104</v>
      </c>
      <c r="W67">
        <v>2052598104</v>
      </c>
    </row>
    <row r="68" spans="1:23" x14ac:dyDescent="0.2">
      <c r="A68">
        <f>Source!A266</f>
        <v>17</v>
      </c>
      <c r="C68">
        <v>3</v>
      </c>
      <c r="D68">
        <v>0</v>
      </c>
      <c r="E68">
        <f>SmtRes!AV97</f>
        <v>0</v>
      </c>
      <c r="F68" t="str">
        <f>SmtRes!I97</f>
        <v>21.4-4-12</v>
      </c>
      <c r="G68" t="str">
        <f>SmtRes!K97</f>
        <v>Селитра аммиачная, марка Б</v>
      </c>
      <c r="H68" t="str">
        <f>SmtRes!O97</f>
        <v>кг</v>
      </c>
      <c r="I68">
        <f>SmtRes!Y97*Source!I266</f>
        <v>8.4839999999999982</v>
      </c>
      <c r="J68">
        <f>SmtRes!AO97</f>
        <v>1</v>
      </c>
      <c r="K68">
        <f>SmtRes!AE97</f>
        <v>32.549999999999997</v>
      </c>
      <c r="L68">
        <f>SmtRes!DB97</f>
        <v>22.79</v>
      </c>
      <c r="M68">
        <f>ROUND(ROUND(L68*Source!I266, 6)*1, 2)</f>
        <v>276.20999999999998</v>
      </c>
      <c r="N68">
        <f>SmtRes!AA97</f>
        <v>32.549999999999997</v>
      </c>
      <c r="O68">
        <f>ROUND(ROUND(L68*Source!I266, 6)*SmtRes!DA97, 2)</f>
        <v>276.20999999999998</v>
      </c>
      <c r="P68">
        <f>SmtRes!AG97</f>
        <v>0</v>
      </c>
      <c r="Q68">
        <f>SmtRes!DC97</f>
        <v>0</v>
      </c>
      <c r="R68">
        <f>ROUND(ROUND(Q68*Source!I266, 6)*1, 2)</f>
        <v>0</v>
      </c>
      <c r="S68">
        <f>SmtRes!AC97</f>
        <v>0</v>
      </c>
      <c r="T68">
        <f>ROUND(ROUND(Q68*Source!I266, 6)*SmtRes!AK97, 2)</f>
        <v>0</v>
      </c>
      <c r="U68">
        <f>SmtRes!X97</f>
        <v>253361717</v>
      </c>
      <c r="V68">
        <v>-1608731110</v>
      </c>
      <c r="W68">
        <v>-1608731110</v>
      </c>
    </row>
    <row r="69" spans="1:23" x14ac:dyDescent="0.2">
      <c r="A69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K23"/>
  <sheetViews>
    <sheetView workbookViewId="0">
      <selection activeCell="A3" sqref="A3:F3"/>
    </sheetView>
  </sheetViews>
  <sheetFormatPr defaultRowHeight="12.75" x14ac:dyDescent="0.2"/>
  <cols>
    <col min="1" max="1" width="12.7109375" customWidth="1"/>
    <col min="2" max="2" width="40.7109375" customWidth="1"/>
    <col min="3" max="6" width="12.7109375" customWidth="1"/>
    <col min="35" max="35" width="103.7109375" hidden="1" customWidth="1"/>
    <col min="36" max="38" width="0" hidden="1" customWidth="1"/>
  </cols>
  <sheetData>
    <row r="2" spans="1:37" ht="16.5" x14ac:dyDescent="0.2">
      <c r="A2" s="80" t="s">
        <v>336</v>
      </c>
      <c r="B2" s="81"/>
      <c r="C2" s="81"/>
      <c r="D2" s="81"/>
      <c r="E2" s="81"/>
      <c r="F2" s="81"/>
    </row>
    <row r="3" spans="1:37" ht="49.5" x14ac:dyDescent="0.2">
      <c r="A3" s="80" t="str">
        <f>CONCATENATE("Объект: ",IF(Source!G355&lt;&gt;"Новый объект", Source!G355, ""))</f>
        <v>Объект: 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v>
      </c>
      <c r="B3" s="81"/>
      <c r="C3" s="81"/>
      <c r="D3" s="81"/>
      <c r="E3" s="81"/>
      <c r="F3" s="81"/>
      <c r="AI3" s="38" t="s">
        <v>337</v>
      </c>
    </row>
    <row r="4" spans="1:37" x14ac:dyDescent="0.2">
      <c r="A4" s="67" t="s">
        <v>338</v>
      </c>
      <c r="B4" s="67" t="s">
        <v>339</v>
      </c>
      <c r="C4" s="67" t="s">
        <v>280</v>
      </c>
      <c r="D4" s="67" t="s">
        <v>340</v>
      </c>
      <c r="E4" s="83" t="s">
        <v>341</v>
      </c>
      <c r="F4" s="84"/>
    </row>
    <row r="5" spans="1:37" x14ac:dyDescent="0.2">
      <c r="A5" s="68"/>
      <c r="B5" s="68"/>
      <c r="C5" s="68"/>
      <c r="D5" s="68"/>
      <c r="E5" s="85"/>
      <c r="F5" s="86"/>
    </row>
    <row r="6" spans="1:37" ht="14.25" x14ac:dyDescent="0.2">
      <c r="A6" s="82"/>
      <c r="B6" s="82"/>
      <c r="C6" s="82"/>
      <c r="D6" s="82"/>
      <c r="E6" s="19" t="s">
        <v>342</v>
      </c>
      <c r="F6" s="19" t="s">
        <v>343</v>
      </c>
    </row>
    <row r="7" spans="1:37" ht="14.25" x14ac:dyDescent="0.2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</row>
    <row r="8" spans="1:37" ht="14.25" x14ac:dyDescent="0.2">
      <c r="A8" s="76" t="s">
        <v>344</v>
      </c>
      <c r="B8" s="77"/>
      <c r="C8" s="77"/>
      <c r="D8" s="77"/>
      <c r="E8" s="77"/>
      <c r="F8" s="77"/>
    </row>
    <row r="9" spans="1:37" ht="14.25" x14ac:dyDescent="0.2">
      <c r="A9" s="40" t="s">
        <v>226</v>
      </c>
      <c r="B9" s="41" t="s">
        <v>228</v>
      </c>
      <c r="C9" s="41" t="s">
        <v>229</v>
      </c>
      <c r="D9" s="42">
        <f>ROUND(SUMIF(RV_DATA!W6:'RV_DATA'!W68, 1773517037, RV_DATA!I6:'RV_DATA'!I68), 6)</f>
        <v>1.3280000000000001</v>
      </c>
      <c r="E9" s="43">
        <f>ROUND(RV_DATA!N16, 6)</f>
        <v>52914.53</v>
      </c>
      <c r="F9" s="43">
        <f>ROUND(SUMIF(RV_DATA!W6:'RV_DATA'!W68, 1773517037, RV_DATA!O6:'RV_DATA'!O68), 6)</f>
        <v>70270.48</v>
      </c>
      <c r="AK9">
        <v>3</v>
      </c>
    </row>
    <row r="10" spans="1:37" ht="14.25" x14ac:dyDescent="0.2">
      <c r="A10" s="40" t="s">
        <v>243</v>
      </c>
      <c r="B10" s="41" t="s">
        <v>245</v>
      </c>
      <c r="C10" s="41" t="s">
        <v>246</v>
      </c>
      <c r="D10" s="42">
        <f>ROUND(SUMIF(RV_DATA!W6:'RV_DATA'!W68, 132152380, RV_DATA!I6:'RV_DATA'!I68), 6)</f>
        <v>77.48</v>
      </c>
      <c r="E10" s="43">
        <f>ROUND(RV_DATA!N20, 6)</f>
        <v>83.45</v>
      </c>
      <c r="F10" s="43">
        <f>ROUND(SUMIF(RV_DATA!W6:'RV_DATA'!W68, 132152380, RV_DATA!O6:'RV_DATA'!O68), 6)</f>
        <v>6465.7</v>
      </c>
      <c r="AK10">
        <v>3</v>
      </c>
    </row>
    <row r="11" spans="1:37" ht="14.25" x14ac:dyDescent="0.2">
      <c r="A11" s="40" t="s">
        <v>230</v>
      </c>
      <c r="B11" s="41" t="s">
        <v>232</v>
      </c>
      <c r="C11" s="41" t="s">
        <v>233</v>
      </c>
      <c r="D11" s="42">
        <f>ROUND(SUMIF(RV_DATA!W6:'RV_DATA'!W68, 756181771, RV_DATA!I6:'RV_DATA'!I68), 6)</f>
        <v>89</v>
      </c>
      <c r="E11" s="43">
        <f>ROUND(RV_DATA!N15, 6)</f>
        <v>170.28</v>
      </c>
      <c r="F11" s="43">
        <f>ROUND(SUMIF(RV_DATA!W6:'RV_DATA'!W68, 756181771, RV_DATA!O6:'RV_DATA'!O68), 6)</f>
        <v>15154.92</v>
      </c>
      <c r="AK11">
        <v>3</v>
      </c>
    </row>
    <row r="12" spans="1:37" ht="14.25" x14ac:dyDescent="0.2">
      <c r="A12" s="40" t="s">
        <v>247</v>
      </c>
      <c r="B12" s="41" t="s">
        <v>249</v>
      </c>
      <c r="C12" s="41" t="s">
        <v>233</v>
      </c>
      <c r="D12" s="42">
        <f>ROUND(SUMIF(RV_DATA!W6:'RV_DATA'!W68, 634868792, RV_DATA!I6:'RV_DATA'!I68), 6)</f>
        <v>7.71</v>
      </c>
      <c r="E12" s="43">
        <f>ROUND(RV_DATA!N19, 6)</f>
        <v>166.07</v>
      </c>
      <c r="F12" s="43">
        <f>ROUND(SUMIF(RV_DATA!W6:'RV_DATA'!W68, 634868792, RV_DATA!O6:'RV_DATA'!O68), 6)</f>
        <v>1280.3699999999999</v>
      </c>
      <c r="AK12">
        <v>3</v>
      </c>
    </row>
    <row r="13" spans="1:37" ht="14.25" x14ac:dyDescent="0.2">
      <c r="A13" s="40" t="s">
        <v>250</v>
      </c>
      <c r="B13" s="41" t="s">
        <v>252</v>
      </c>
      <c r="C13" s="41" t="s">
        <v>50</v>
      </c>
      <c r="D13" s="42">
        <f>ROUND(SUMIF(RV_DATA!W6:'RV_DATA'!W68, 254213091, RV_DATA!I6:'RV_DATA'!I68), 6)</f>
        <v>468.76</v>
      </c>
      <c r="E13" s="43">
        <f>ROUND(RV_DATA!N18, 6)</f>
        <v>33.729999999999997</v>
      </c>
      <c r="F13" s="43">
        <f>ROUND(SUMIF(RV_DATA!W6:'RV_DATA'!W68, 254213091, RV_DATA!O6:'RV_DATA'!O68), 6)</f>
        <v>15811.29</v>
      </c>
      <c r="AK13">
        <v>3</v>
      </c>
    </row>
    <row r="14" spans="1:37" ht="28.5" x14ac:dyDescent="0.2">
      <c r="A14" s="40" t="s">
        <v>234</v>
      </c>
      <c r="B14" s="41" t="s">
        <v>236</v>
      </c>
      <c r="C14" s="41" t="s">
        <v>50</v>
      </c>
      <c r="D14" s="42">
        <f>ROUND(SUMIF(RV_DATA!W6:'RV_DATA'!W68, -715990279, RV_DATA!I6:'RV_DATA'!I68), 6)</f>
        <v>39.24</v>
      </c>
      <c r="E14" s="43">
        <f>ROUND(RV_DATA!N14, 6)</f>
        <v>6697.08</v>
      </c>
      <c r="F14" s="43">
        <f>ROUND(SUMIF(RV_DATA!W6:'RV_DATA'!W68, -715990279, RV_DATA!O6:'RV_DATA'!O68), 6)</f>
        <v>262793.45</v>
      </c>
      <c r="AK14">
        <v>3</v>
      </c>
    </row>
    <row r="15" spans="1:37" ht="42.75" x14ac:dyDescent="0.2">
      <c r="A15" s="40" t="s">
        <v>237</v>
      </c>
      <c r="B15" s="41" t="s">
        <v>239</v>
      </c>
      <c r="C15" s="41" t="s">
        <v>50</v>
      </c>
      <c r="D15" s="42">
        <f>ROUND(SUMIF(RV_DATA!W6:'RV_DATA'!W68, -1678936934, RV_DATA!I6:'RV_DATA'!I68), 6)</f>
        <v>10.68</v>
      </c>
      <c r="E15" s="43">
        <f>ROUND(RV_DATA!N13, 6)</f>
        <v>3141.36</v>
      </c>
      <c r="F15" s="43">
        <f>ROUND(SUMIF(RV_DATA!W6:'RV_DATA'!W68, -1678936934, RV_DATA!O6:'RV_DATA'!O68), 6)</f>
        <v>33549.800000000003</v>
      </c>
      <c r="AK15">
        <v>3</v>
      </c>
    </row>
    <row r="16" spans="1:37" ht="57" x14ac:dyDescent="0.2">
      <c r="A16" s="40" t="s">
        <v>173</v>
      </c>
      <c r="B16" s="41" t="s">
        <v>174</v>
      </c>
      <c r="C16" s="41" t="s">
        <v>70</v>
      </c>
      <c r="D16" s="42">
        <f>ROUND(SUMIF(RV_DATA!W6:'RV_DATA'!W68, 2041660152, RV_DATA!I6:'RV_DATA'!I68), 6)</f>
        <v>126</v>
      </c>
      <c r="E16" s="43">
        <f>ROUND(RV_DATA!N52, 6)</f>
        <v>8631.6</v>
      </c>
      <c r="F16" s="43">
        <f>ROUND(SUMIF(RV_DATA!W6:'RV_DATA'!W68, 2041660152, RV_DATA!O6:'RV_DATA'!O68), 6)</f>
        <v>1087581.6000000001</v>
      </c>
      <c r="AK16">
        <v>3</v>
      </c>
    </row>
    <row r="17" spans="1:37" ht="57" x14ac:dyDescent="0.2">
      <c r="A17" s="40" t="s">
        <v>68</v>
      </c>
      <c r="B17" s="41" t="s">
        <v>69</v>
      </c>
      <c r="C17" s="41" t="s">
        <v>70</v>
      </c>
      <c r="D17" s="42">
        <f>ROUND(SUMIF(RV_DATA!W6:'RV_DATA'!W68, -1703568743, RV_DATA!I6:'RV_DATA'!I68), 6)</f>
        <v>52</v>
      </c>
      <c r="E17" s="43">
        <f>ROUND(RV_DATA!N21, 6)</f>
        <v>11813.67</v>
      </c>
      <c r="F17" s="43">
        <f>ROUND(SUMIF(RV_DATA!W6:'RV_DATA'!W68, -1703568743, RV_DATA!O6:'RV_DATA'!O68), 6)</f>
        <v>614310.84</v>
      </c>
      <c r="AK17">
        <v>3</v>
      </c>
    </row>
    <row r="18" spans="1:37" ht="14.25" x14ac:dyDescent="0.2">
      <c r="A18" s="40" t="s">
        <v>256</v>
      </c>
      <c r="B18" s="41" t="s">
        <v>258</v>
      </c>
      <c r="C18" s="41" t="s">
        <v>233</v>
      </c>
      <c r="D18" s="42">
        <f>ROUND(SUMIF(RV_DATA!W6:'RV_DATA'!W68, -1608731110, RV_DATA!I6:'RV_DATA'!I68), 6)</f>
        <v>14.932399999999999</v>
      </c>
      <c r="E18" s="43">
        <f>ROUND(RV_DATA!N37, 6)</f>
        <v>32.549999999999997</v>
      </c>
      <c r="F18" s="43">
        <f>ROUND(SUMIF(RV_DATA!W6:'RV_DATA'!W68, -1608731110, RV_DATA!O6:'RV_DATA'!O68), 6)</f>
        <v>486.15</v>
      </c>
      <c r="AK18">
        <v>3</v>
      </c>
    </row>
    <row r="19" spans="1:37" ht="28.5" x14ac:dyDescent="0.2">
      <c r="A19" s="40" t="s">
        <v>259</v>
      </c>
      <c r="B19" s="41" t="s">
        <v>261</v>
      </c>
      <c r="C19" s="41" t="s">
        <v>233</v>
      </c>
      <c r="D19" s="42">
        <f>ROUND(SUMIF(RV_DATA!W6:'RV_DATA'!W68, 2052598104, RV_DATA!I6:'RV_DATA'!I68), 6)</f>
        <v>7466.2</v>
      </c>
      <c r="E19" s="43">
        <f>ROUND(RV_DATA!N36, 6)</f>
        <v>12.26</v>
      </c>
      <c r="F19" s="43">
        <f>ROUND(SUMIF(RV_DATA!W6:'RV_DATA'!W68, 2052598104, RV_DATA!O6:'RV_DATA'!O68), 6)</f>
        <v>91535.61</v>
      </c>
      <c r="AK19">
        <v>3</v>
      </c>
    </row>
    <row r="20" spans="1:37" ht="14.25" x14ac:dyDescent="0.2">
      <c r="A20" s="40" t="s">
        <v>211</v>
      </c>
      <c r="B20" s="41" t="s">
        <v>213</v>
      </c>
      <c r="C20" s="41" t="s">
        <v>50</v>
      </c>
      <c r="D20" s="42">
        <f>ROUND(SUMIF(RV_DATA!W6:'RV_DATA'!W68, -1495148101, RV_DATA!I6:'RV_DATA'!I68), 6)</f>
        <v>92.19</v>
      </c>
      <c r="E20" s="43">
        <f>ROUND(RV_DATA!N10, 6)</f>
        <v>810.33</v>
      </c>
      <c r="F20" s="43">
        <f>ROUND(SUMIF(RV_DATA!W6:'RV_DATA'!W68, -1495148101, RV_DATA!O6:'RV_DATA'!O68), 6)</f>
        <v>74704.350000000006</v>
      </c>
      <c r="AK20">
        <v>3</v>
      </c>
    </row>
    <row r="21" spans="1:37" ht="14.25" x14ac:dyDescent="0.2">
      <c r="A21" s="40" t="s">
        <v>214</v>
      </c>
      <c r="B21" s="41" t="s">
        <v>216</v>
      </c>
      <c r="C21" s="41" t="s">
        <v>50</v>
      </c>
      <c r="D21" s="42">
        <f>ROUND(SUMIF(RV_DATA!W6:'RV_DATA'!W68, -1757888593, RV_DATA!I6:'RV_DATA'!I68), 6)</f>
        <v>276.18</v>
      </c>
      <c r="E21" s="43">
        <f>ROUND(RV_DATA!N9, 6)</f>
        <v>753.67</v>
      </c>
      <c r="F21" s="43">
        <f>ROUND(SUMIF(RV_DATA!W6:'RV_DATA'!W68, -1757888593, RV_DATA!O6:'RV_DATA'!O68), 6)</f>
        <v>208148.58</v>
      </c>
      <c r="AK21">
        <v>3</v>
      </c>
    </row>
    <row r="22" spans="1:37" ht="28.5" x14ac:dyDescent="0.2">
      <c r="A22" s="40" t="s">
        <v>253</v>
      </c>
      <c r="B22" s="41" t="s">
        <v>255</v>
      </c>
      <c r="C22" s="41" t="s">
        <v>50</v>
      </c>
      <c r="D22" s="42">
        <f>ROUND(SUMIF(RV_DATA!W6:'RV_DATA'!W68, -49724463, RV_DATA!I6:'RV_DATA'!I68), 6)</f>
        <v>3.23136</v>
      </c>
      <c r="E22" s="43">
        <f>ROUND(RV_DATA!N17, 6)</f>
        <v>3148.82</v>
      </c>
      <c r="F22" s="43">
        <f>ROUND(SUMIF(RV_DATA!W6:'RV_DATA'!W68, -49724463, RV_DATA!O6:'RV_DATA'!O68), 6)</f>
        <v>10174.93</v>
      </c>
      <c r="AK22">
        <v>3</v>
      </c>
    </row>
    <row r="23" spans="1:37" ht="15" x14ac:dyDescent="0.25">
      <c r="A23" s="78" t="s">
        <v>345</v>
      </c>
      <c r="B23" s="78"/>
      <c r="C23" s="78"/>
      <c r="D23" s="78"/>
      <c r="E23" s="79">
        <f>SUMIF(AK9:AK22, 3, F9:F22)</f>
        <v>2492268.0700000003</v>
      </c>
      <c r="F23" s="78"/>
    </row>
  </sheetData>
  <sortState xmlns:xlrd2="http://schemas.microsoft.com/office/spreadsheetml/2017/richdata2" ref="A9:AK22">
    <sortCondition ref="A9"/>
  </sortState>
  <mergeCells count="10">
    <mergeCell ref="A8:F8"/>
    <mergeCell ref="A23:D23"/>
    <mergeCell ref="E23:F23"/>
    <mergeCell ref="A2:F2"/>
    <mergeCell ref="A3:F3"/>
    <mergeCell ref="A4:A6"/>
    <mergeCell ref="B4:B6"/>
    <mergeCell ref="C4:C6"/>
    <mergeCell ref="D4:D6"/>
    <mergeCell ref="E4:F5"/>
  </mergeCells>
  <pageMargins left="0.6" right="0.4" top="0.65" bottom="0.4" header="0.4" footer="0.4"/>
  <pageSetup paperSize="9" scale="90" fitToHeight="0" orientation="portrait" verticalDpi="0" r:id="rId1"/>
  <headerFooter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62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1" max="31" width="129.7109375" customWidth="1"/>
  </cols>
  <sheetData>
    <row r="1" spans="1:5" x14ac:dyDescent="0.2">
      <c r="A1" s="8" t="str">
        <f>Source!B1</f>
        <v>Smeta.RU  (495) 974-1589</v>
      </c>
    </row>
    <row r="2" spans="1:5" ht="14.25" x14ac:dyDescent="0.2">
      <c r="C2" s="10"/>
      <c r="D2" s="10"/>
    </row>
    <row r="3" spans="1:5" ht="15" x14ac:dyDescent="0.25">
      <c r="C3" s="10"/>
      <c r="D3" s="31" t="s">
        <v>265</v>
      </c>
    </row>
    <row r="4" spans="1:5" ht="15" x14ac:dyDescent="0.25">
      <c r="C4" s="31"/>
      <c r="D4" s="31"/>
    </row>
    <row r="5" spans="1:5" ht="15" x14ac:dyDescent="0.25">
      <c r="C5" s="88" t="s">
        <v>346</v>
      </c>
      <c r="D5" s="88"/>
    </row>
    <row r="6" spans="1:5" ht="15" x14ac:dyDescent="0.25">
      <c r="C6" s="44"/>
      <c r="D6" s="44"/>
    </row>
    <row r="7" spans="1:5" ht="15" x14ac:dyDescent="0.25">
      <c r="C7" s="88" t="s">
        <v>346</v>
      </c>
      <c r="D7" s="88"/>
    </row>
    <row r="8" spans="1:5" ht="15" x14ac:dyDescent="0.25">
      <c r="C8" s="44"/>
      <c r="D8" s="44"/>
    </row>
    <row r="9" spans="1:5" ht="15" x14ac:dyDescent="0.25">
      <c r="C9" s="31" t="s">
        <v>347</v>
      </c>
      <c r="D9" s="10"/>
    </row>
    <row r="10" spans="1:5" ht="14.25" x14ac:dyDescent="0.2">
      <c r="A10" s="10"/>
      <c r="B10" s="10"/>
      <c r="C10" s="10"/>
      <c r="D10" s="10"/>
      <c r="E10" s="10"/>
    </row>
    <row r="11" spans="1:5" ht="15.75" x14ac:dyDescent="0.25">
      <c r="A11" s="89" t="str">
        <f>CONCATENATE("Дефектный акт ", IF(Source!AN15&lt;&gt;"", Source!AN15," "))</f>
        <v xml:space="preserve">Дефектный акт  </v>
      </c>
      <c r="B11" s="89"/>
      <c r="C11" s="89"/>
      <c r="D11" s="89"/>
      <c r="E11" s="10"/>
    </row>
    <row r="12" spans="1:5" ht="15" x14ac:dyDescent="0.25">
      <c r="A12" s="90" t="str">
        <f>CONCATENATE("На капитальный ремонт ", Source!F12)</f>
        <v>На капитальный ремонт Новый объект_(Копия)_(Копия)</v>
      </c>
      <c r="B12" s="90"/>
      <c r="C12" s="90"/>
      <c r="D12" s="90"/>
      <c r="E12" s="10"/>
    </row>
    <row r="13" spans="1:5" ht="14.25" x14ac:dyDescent="0.2">
      <c r="A13" s="10"/>
      <c r="B13" s="10"/>
      <c r="C13" s="10"/>
      <c r="D13" s="10"/>
      <c r="E13" s="10"/>
    </row>
    <row r="14" spans="1:5" ht="15" x14ac:dyDescent="0.2">
      <c r="A14" s="10"/>
      <c r="B14" s="45" t="s">
        <v>348</v>
      </c>
      <c r="C14" s="10"/>
      <c r="D14" s="10"/>
      <c r="E14" s="10"/>
    </row>
    <row r="15" spans="1:5" ht="15" x14ac:dyDescent="0.2">
      <c r="A15" s="10"/>
      <c r="B15" s="45" t="s">
        <v>349</v>
      </c>
      <c r="C15" s="10"/>
      <c r="D15" s="10"/>
      <c r="E15" s="10"/>
    </row>
    <row r="16" spans="1:5" ht="15" x14ac:dyDescent="0.2">
      <c r="A16" s="10"/>
      <c r="B16" s="45" t="s">
        <v>350</v>
      </c>
      <c r="C16" s="10"/>
      <c r="D16" s="10"/>
      <c r="E16" s="10"/>
    </row>
    <row r="17" spans="1:31" ht="28.5" x14ac:dyDescent="0.2">
      <c r="A17" s="19" t="s">
        <v>351</v>
      </c>
      <c r="B17" s="19" t="s">
        <v>279</v>
      </c>
      <c r="C17" s="19" t="s">
        <v>280</v>
      </c>
      <c r="D17" s="19" t="s">
        <v>352</v>
      </c>
      <c r="E17" s="46" t="s">
        <v>353</v>
      </c>
    </row>
    <row r="18" spans="1:31" ht="14.25" x14ac:dyDescent="0.2">
      <c r="A18" s="47">
        <v>1</v>
      </c>
      <c r="B18" s="47">
        <v>2</v>
      </c>
      <c r="C18" s="47">
        <v>3</v>
      </c>
      <c r="D18" s="47">
        <v>4</v>
      </c>
      <c r="E18" s="48">
        <v>5</v>
      </c>
    </row>
    <row r="19" spans="1:31" ht="16.5" x14ac:dyDescent="0.25">
      <c r="A19" s="87" t="str">
        <f>CONCATENATE("Локальная смета: ", Source!G20)</f>
        <v>Локальная смета: Новая локальная смета</v>
      </c>
      <c r="B19" s="87"/>
      <c r="C19" s="87"/>
      <c r="D19" s="87"/>
      <c r="E19" s="87"/>
    </row>
    <row r="20" spans="1:31" ht="33" x14ac:dyDescent="0.25">
      <c r="A20" s="87" t="str">
        <f>CONCATENATE("Раздел: ", Source!G24)</f>
        <v>Раздел: Посадка деревьев V группы (на видовых территориях - центральная часть города, административных округов); ком. 1,7*1,7*0,65; 100% замена земли</v>
      </c>
      <c r="B20" s="87"/>
      <c r="C20" s="87"/>
      <c r="D20" s="87"/>
      <c r="E20" s="87"/>
      <c r="AE20" s="49" t="str">
        <f>CONCATENATE("Раздел: ", Source!G24)</f>
        <v>Раздел: Посадка деревьев V группы (на видовых территориях - центральная часть города, административных округов); ком. 1,7*1,7*0,65; 100% замена земли</v>
      </c>
    </row>
    <row r="21" spans="1:31" ht="16.5" x14ac:dyDescent="0.25">
      <c r="A21" s="87" t="str">
        <f>CONCATENATE("Подраздел: ", Source!G28)</f>
        <v>Подраздел: Посадка деревьев</v>
      </c>
      <c r="B21" s="87"/>
      <c r="C21" s="87"/>
      <c r="D21" s="87"/>
      <c r="E21" s="87"/>
    </row>
    <row r="22" spans="1:31" ht="57" x14ac:dyDescent="0.2">
      <c r="A22" s="51" t="str">
        <f>Source!E32</f>
        <v>1</v>
      </c>
      <c r="B22" s="52" t="str">
        <f>Source!G32</f>
        <v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100% 49ямх0,75=36,75 ям</v>
      </c>
      <c r="C22" s="53" t="str">
        <f>Source!H32</f>
        <v>10 ям</v>
      </c>
      <c r="D22" s="54">
        <f>Source!I32</f>
        <v>3.6749999999999998</v>
      </c>
      <c r="E22" s="51"/>
    </row>
    <row r="23" spans="1:31" ht="42.75" x14ac:dyDescent="0.2">
      <c r="A23" s="51" t="str">
        <f>Source!E33</f>
        <v>2</v>
      </c>
      <c r="B23" s="52" t="str">
        <f>Source!G33</f>
        <v>Подготовка стандартных посадочных мест вручную с квадратным комом земли размером 1,7х1,7х0,65 м с добавлением растительной земли до 100% 49ямх0,25=12,25 ям</v>
      </c>
      <c r="C23" s="53" t="str">
        <f>Source!H33</f>
        <v>10 ям</v>
      </c>
      <c r="D23" s="54">
        <f>Source!I33</f>
        <v>1.2250000000000001</v>
      </c>
      <c r="E23" s="51"/>
    </row>
    <row r="24" spans="1:31" ht="28.5" x14ac:dyDescent="0.2">
      <c r="A24" s="51" t="str">
        <f>Source!E34</f>
        <v>3</v>
      </c>
      <c r="B24" s="52" t="str">
        <f>Source!G34</f>
        <v>Погрузка грунта вручную в автомобили-самосвалы с выгрузкой (6,08-1,88)х49ямх0,25=51,45м3</v>
      </c>
      <c r="C24" s="53" t="str">
        <f>Source!H34</f>
        <v>100 м3</v>
      </c>
      <c r="D24" s="54">
        <f>Source!I34</f>
        <v>0.51449999999999996</v>
      </c>
      <c r="E24" s="51"/>
    </row>
    <row r="25" spans="1:31" ht="28.5" x14ac:dyDescent="0.2">
      <c r="A25" s="51" t="str">
        <f>Source!E35</f>
        <v>4</v>
      </c>
      <c r="B25" s="52" t="str">
        <f>Source!G35</f>
        <v>Погрузка грунта экскаватором в самосвал (6,08-1,88)х49ямх0,75=154,35 м3</v>
      </c>
      <c r="C25" s="53" t="str">
        <f>Source!H35</f>
        <v>10 м3</v>
      </c>
      <c r="D25" s="54">
        <f>Source!I35</f>
        <v>15.435</v>
      </c>
      <c r="E25" s="51"/>
    </row>
    <row r="26" spans="1:31" ht="28.5" x14ac:dyDescent="0.2">
      <c r="A26" s="51" t="str">
        <f>Source!E36</f>
        <v>5</v>
      </c>
      <c r="B26" s="52" t="str">
        <f>Source!G36</f>
        <v>Перевозка грунта автосамосвалами грузоподъемностью до 10 т на расстояние 1 км (6,08-1,88)*49=205,8 м3</v>
      </c>
      <c r="C26" s="53" t="str">
        <f>Source!H36</f>
        <v>м3</v>
      </c>
      <c r="D26" s="54">
        <f>Source!I36</f>
        <v>205.8</v>
      </c>
      <c r="E26" s="51"/>
    </row>
    <row r="27" spans="1:31" ht="42.75" x14ac:dyDescent="0.2">
      <c r="A27" s="51" t="str">
        <f>Source!E37</f>
        <v>6</v>
      </c>
      <c r="B27" s="52" t="str">
        <f>Source!G37</f>
        <v>Перевозка грунта автосамосвалами грузоподъемностью до 10 т - добавляется на каждый последующий 1 км до 100 км (к поз. 49-3401-1-1) (6,08-1,88)*49=205,8 м3</v>
      </c>
      <c r="C27" s="53" t="str">
        <f>Source!H37</f>
        <v>м3</v>
      </c>
      <c r="D27" s="54">
        <f>Source!I37</f>
        <v>205.8</v>
      </c>
      <c r="E27" s="51"/>
    </row>
    <row r="28" spans="1:31" ht="28.5" x14ac:dyDescent="0.2">
      <c r="A28" s="51" t="str">
        <f>Source!E38</f>
        <v>7</v>
      </c>
      <c r="B28" s="52" t="str">
        <f>Source!G38</f>
        <v>Заготовка деревьев и кустарников с комом земли размером 1,7х1,7х0,65 м</v>
      </c>
      <c r="C28" s="53" t="str">
        <f>Source!H38</f>
        <v>10 шт.</v>
      </c>
      <c r="D28" s="54">
        <f>Source!I38</f>
        <v>4.9000000000000004</v>
      </c>
      <c r="E28" s="51"/>
    </row>
    <row r="29" spans="1:31" ht="28.5" x14ac:dyDescent="0.2">
      <c r="A29" s="51" t="str">
        <f>Source!E39</f>
        <v>8</v>
      </c>
      <c r="B29" s="52" t="str">
        <f>Source!G39</f>
        <v>Посадка деревьев и кустарников с комом земли размером 1,7х1,7х0,65 м (без стоимости деревьев и кустарников)</v>
      </c>
      <c r="C29" s="53" t="str">
        <f>Source!H39</f>
        <v>10 шт.</v>
      </c>
      <c r="D29" s="54">
        <f>Source!I39</f>
        <v>4.9000000000000004</v>
      </c>
      <c r="E29" s="51"/>
    </row>
    <row r="30" spans="1:31" ht="42.75" x14ac:dyDescent="0.2">
      <c r="A30" s="51" t="str">
        <f>Source!E40</f>
        <v>8,1</v>
      </c>
      <c r="B30" s="52" t="str">
        <f>Source!G40</f>
        <v>Деревья декоративные лиственных пород с комом земли, порода: береза, ива, рябина, тополь, черемуха, яблоня, размер кома: 1,7х1,7х0,65 м</v>
      </c>
      <c r="C30" s="53" t="str">
        <f>Source!H40</f>
        <v>шт.</v>
      </c>
      <c r="D30" s="54">
        <f>Source!I40</f>
        <v>49</v>
      </c>
      <c r="E30" s="51"/>
    </row>
    <row r="31" spans="1:31" ht="16.5" x14ac:dyDescent="0.25">
      <c r="A31" s="87" t="str">
        <f>CONCATENATE("Подраздел: ", Source!G71)</f>
        <v>Подраздел: Восстановление отпада</v>
      </c>
      <c r="B31" s="87"/>
      <c r="C31" s="87"/>
      <c r="D31" s="87"/>
      <c r="E31" s="87"/>
    </row>
    <row r="32" spans="1:31" ht="28.5" x14ac:dyDescent="0.2">
      <c r="A32" s="51" t="str">
        <f>Source!E75</f>
        <v>9</v>
      </c>
      <c r="B32" s="52" t="str">
        <f>Source!G75</f>
        <v>Заготовка деревьев и кустарников с комом земли размером 1,7х1,7х0,65 м</v>
      </c>
      <c r="C32" s="53" t="str">
        <f>Source!H75</f>
        <v>10 шт.</v>
      </c>
      <c r="D32" s="54">
        <f>Source!I75</f>
        <v>0.3</v>
      </c>
      <c r="E32" s="51"/>
    </row>
    <row r="33" spans="1:31" ht="42.75" x14ac:dyDescent="0.2">
      <c r="A33" s="51" t="str">
        <f>Source!E76</f>
        <v>10</v>
      </c>
      <c r="B33" s="52" t="str">
        <f>Source!G76</f>
        <v>Подготовка стандартных посадочных мест для деревьев и кустарников механизированным способом с квадратным комом земли размером 1,7х1,7х0,65 м в естественном грунте 3*0,75=2,25</v>
      </c>
      <c r="C33" s="53" t="str">
        <f>Source!H76</f>
        <v>10 ям</v>
      </c>
      <c r="D33" s="54">
        <f>Source!I76</f>
        <v>0.22500000000000001</v>
      </c>
      <c r="E33" s="51"/>
    </row>
    <row r="34" spans="1:31" ht="28.5" x14ac:dyDescent="0.2">
      <c r="A34" s="51" t="str">
        <f>Source!E77</f>
        <v>11</v>
      </c>
      <c r="B34" s="52" t="str">
        <f>Source!G77</f>
        <v>Подготовка стандартных посадочных мест вручную с квадратным комом земли размером 1,7х1,7х0,65 м в естественном грунте 3*0,25=0,75</v>
      </c>
      <c r="C34" s="53" t="str">
        <f>Source!H77</f>
        <v>10 ям</v>
      </c>
      <c r="D34" s="54">
        <f>Source!I77</f>
        <v>7.4999999999999997E-2</v>
      </c>
      <c r="E34" s="51"/>
    </row>
    <row r="35" spans="1:31" ht="28.5" x14ac:dyDescent="0.2">
      <c r="A35" s="51" t="str">
        <f>Source!E78</f>
        <v>12</v>
      </c>
      <c r="B35" s="52" t="str">
        <f>Source!G78</f>
        <v>Посадка деревьев и кустарников с комом земли размером 1,7х1,7х0,65 м (без стоимости деревьев и кустарников)</v>
      </c>
      <c r="C35" s="53" t="str">
        <f>Source!H78</f>
        <v>10 шт.</v>
      </c>
      <c r="D35" s="54">
        <f>Source!I78</f>
        <v>0.3</v>
      </c>
      <c r="E35" s="51"/>
    </row>
    <row r="36" spans="1:31" ht="42.75" x14ac:dyDescent="0.2">
      <c r="A36" s="51" t="str">
        <f>Source!E79</f>
        <v>12,1</v>
      </c>
      <c r="B36" s="52" t="str">
        <f>Source!G79</f>
        <v>Деревья декоративные лиственных пород с комом земли, порода: береза, ива, рябина, тополь, черемуха, яблоня, размер кома: 1,7х1,7х0,65 м</v>
      </c>
      <c r="C36" s="53" t="str">
        <f>Source!H79</f>
        <v>шт.</v>
      </c>
      <c r="D36" s="54">
        <f>Source!I79</f>
        <v>3</v>
      </c>
      <c r="E36" s="51"/>
    </row>
    <row r="37" spans="1:31" ht="16.5" x14ac:dyDescent="0.25">
      <c r="A37" s="87" t="str">
        <f>CONCATENATE("Подраздел: ", Source!G110)</f>
        <v>Подраздел: Уход за деревьями на видовых центральных территориях</v>
      </c>
      <c r="B37" s="87"/>
      <c r="C37" s="87"/>
      <c r="D37" s="87"/>
      <c r="E37" s="87"/>
    </row>
    <row r="38" spans="1:31" ht="28.5" x14ac:dyDescent="0.2">
      <c r="A38" s="51" t="str">
        <f>Source!E114</f>
        <v>13</v>
      </c>
      <c r="B38" s="52" t="str">
        <f>Source!G114</f>
        <v>Уход за деревьями или кустарниками с комом земли в течение года после посадки (комплексные расценки) - ком размером 1,7х1,7х0,65 м</v>
      </c>
      <c r="C38" s="53" t="str">
        <f>Source!H114</f>
        <v>10 шт.</v>
      </c>
      <c r="D38" s="54">
        <f>Source!I114</f>
        <v>4.9000000000000004</v>
      </c>
      <c r="E38" s="51"/>
    </row>
    <row r="39" spans="1:31" ht="28.5" x14ac:dyDescent="0.2">
      <c r="A39" s="51" t="str">
        <f>Source!E115</f>
        <v>14</v>
      </c>
      <c r="B39" s="52" t="str">
        <f>Source!G115</f>
        <v>Внесение минеральных удобрений при посадке деревьев и кустарников для стандартных саженцев 1,88*49ям=92,12м3</v>
      </c>
      <c r="C39" s="53" t="str">
        <f>Source!H115</f>
        <v>10 м3 ям</v>
      </c>
      <c r="D39" s="54">
        <f>Source!I115</f>
        <v>9.2119999999999997</v>
      </c>
      <c r="E39" s="51"/>
    </row>
    <row r="40" spans="1:31" ht="33" x14ac:dyDescent="0.25">
      <c r="A40" s="87" t="str">
        <f>CONCATENATE("Раздел: ", Source!G175)</f>
        <v>Раздел: Посадка на внутридворовых территориях деревьев IV группы, ком 1,3*1,3*0,6, 75% замена земли</v>
      </c>
      <c r="B40" s="87"/>
      <c r="C40" s="87"/>
      <c r="D40" s="87"/>
      <c r="E40" s="87"/>
      <c r="AE40" s="49" t="str">
        <f>CONCATENATE("Раздел: ", Source!G175)</f>
        <v>Раздел: Посадка на внутридворовых территориях деревьев IV группы, ком 1,3*1,3*0,6, 75% замена земли</v>
      </c>
    </row>
    <row r="41" spans="1:31" ht="16.5" x14ac:dyDescent="0.25">
      <c r="A41" s="87" t="str">
        <f>CONCATENATE("Подраздел: ", Source!G179)</f>
        <v>Подраздел: Посадка деревьев 120 шт</v>
      </c>
      <c r="B41" s="87"/>
      <c r="C41" s="87"/>
      <c r="D41" s="87"/>
      <c r="E41" s="87"/>
    </row>
    <row r="42" spans="1:31" ht="42.75" x14ac:dyDescent="0.2">
      <c r="A42" s="51" t="str">
        <f>Source!E183</f>
        <v>15</v>
      </c>
      <c r="B42" s="52" t="str">
        <f>Source!G183</f>
        <v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50% 120х0,75=90 ям</v>
      </c>
      <c r="C42" s="53" t="str">
        <f>Source!H183</f>
        <v>10 ям</v>
      </c>
      <c r="D42" s="54">
        <f>Source!I183</f>
        <v>9</v>
      </c>
      <c r="E42" s="51"/>
    </row>
    <row r="43" spans="1:31" ht="42.75" x14ac:dyDescent="0.2">
      <c r="A43" s="51" t="str">
        <f>Source!E184</f>
        <v>16</v>
      </c>
      <c r="B43" s="52" t="str">
        <f>Source!G184</f>
        <v>Подготовка стандартных посадочных мест вручную с квадратным комом земли размером 1,3х1,3х0,6 м с добавлением растительной земли до 25% 120х0,25=30 ям</v>
      </c>
      <c r="C43" s="53" t="str">
        <f>Source!H184</f>
        <v>10 ям</v>
      </c>
      <c r="D43" s="54">
        <f>Source!I184</f>
        <v>3</v>
      </c>
      <c r="E43" s="51"/>
    </row>
    <row r="44" spans="1:31" ht="28.5" x14ac:dyDescent="0.2">
      <c r="A44" s="51" t="str">
        <f>Source!E185</f>
        <v>17</v>
      </c>
      <c r="B44" s="52" t="str">
        <f>Source!G185</f>
        <v>Погрузка грунта вручную в автомобили-самосвалы с выгрузкой (4,11-1,01)=3,1х120ямх0,25=93м3</v>
      </c>
      <c r="C44" s="53" t="str">
        <f>Source!H185</f>
        <v>100 м3</v>
      </c>
      <c r="D44" s="54">
        <f>Source!I185</f>
        <v>0.93</v>
      </c>
      <c r="E44" s="51"/>
    </row>
    <row r="45" spans="1:31" ht="28.5" x14ac:dyDescent="0.2">
      <c r="A45" s="51" t="str">
        <f>Source!E186</f>
        <v>18</v>
      </c>
      <c r="B45" s="52" t="str">
        <f>Source!G186</f>
        <v>Погрузка грунта экскаватором в самосвал (4,11-1,01)=3,1х120ямх0,75=279 м3</v>
      </c>
      <c r="C45" s="53" t="str">
        <f>Source!H186</f>
        <v>10 м3</v>
      </c>
      <c r="D45" s="54">
        <f>Source!I186</f>
        <v>27.9</v>
      </c>
      <c r="E45" s="51"/>
    </row>
    <row r="46" spans="1:31" ht="28.5" x14ac:dyDescent="0.2">
      <c r="A46" s="51" t="str">
        <f>Source!E187</f>
        <v>19</v>
      </c>
      <c r="B46" s="52" t="str">
        <f>Source!G187</f>
        <v>Перевозка грунта автосамосвалами грузоподъемностью до 10 т на расстояние 1 км (4,11-1,01)=3,1*120=372 м3</v>
      </c>
      <c r="C46" s="53" t="str">
        <f>Source!H187</f>
        <v>м3</v>
      </c>
      <c r="D46" s="54">
        <f>Source!I187</f>
        <v>372</v>
      </c>
      <c r="E46" s="51"/>
    </row>
    <row r="47" spans="1:31" ht="28.5" x14ac:dyDescent="0.2">
      <c r="A47" s="51" t="str">
        <f>Source!E188</f>
        <v>20</v>
      </c>
      <c r="B47" s="52" t="str">
        <f>Source!G188</f>
        <v>Перевозка грунта автосамосвалами грузоподъемностью до 10 т - добавляется на каждый последующий 1 км до 100 км (к поз. 49-3401-1-1)</v>
      </c>
      <c r="C47" s="53" t="str">
        <f>Source!H188</f>
        <v>м3</v>
      </c>
      <c r="D47" s="54">
        <f>Source!I188</f>
        <v>372</v>
      </c>
      <c r="E47" s="51"/>
    </row>
    <row r="48" spans="1:31" ht="14.25" x14ac:dyDescent="0.2">
      <c r="A48" s="51" t="str">
        <f>Source!E189</f>
        <v>21</v>
      </c>
      <c r="B48" s="52" t="str">
        <f>Source!G189</f>
        <v>Заготовка деревьев и кустарников с комом земли размером 1,3х1,3х0,6 м</v>
      </c>
      <c r="C48" s="53" t="str">
        <f>Source!H189</f>
        <v>10 шт.</v>
      </c>
      <c r="D48" s="54">
        <f>Source!I189</f>
        <v>12</v>
      </c>
      <c r="E48" s="51"/>
    </row>
    <row r="49" spans="1:5" ht="28.5" x14ac:dyDescent="0.2">
      <c r="A49" s="51" t="str">
        <f>Source!E190</f>
        <v>22</v>
      </c>
      <c r="B49" s="52" t="str">
        <f>Source!G190</f>
        <v>Посадка деревьев и кустарников с комом земли размером 1,3х1,3х0,6 м (без стоимости деревьев и кустарников)</v>
      </c>
      <c r="C49" s="53" t="str">
        <f>Source!H190</f>
        <v>10 шт.</v>
      </c>
      <c r="D49" s="54">
        <f>Source!I190</f>
        <v>12</v>
      </c>
      <c r="E49" s="51"/>
    </row>
    <row r="50" spans="1:5" ht="42.75" x14ac:dyDescent="0.2">
      <c r="A50" s="51" t="str">
        <f>Source!E191</f>
        <v>22,1</v>
      </c>
      <c r="B50" s="52" t="str">
        <f>Source!G191</f>
        <v>Деревья декоративные лиственных пород с комом земли, порода: бархат амурский, вяз, дуб, каштан, клен, липа, орех, ясень, размер кома: 1,3х1,3х0,6 м</v>
      </c>
      <c r="C50" s="53" t="str">
        <f>Source!H191</f>
        <v>шт.</v>
      </c>
      <c r="D50" s="54">
        <f>Source!I191</f>
        <v>120</v>
      </c>
      <c r="E50" s="51"/>
    </row>
    <row r="51" spans="1:5" ht="16.5" x14ac:dyDescent="0.25">
      <c r="A51" s="87" t="str">
        <f>CONCATENATE("Подраздел: ", Source!G222)</f>
        <v>Подраздел: Восстановление отпада деревьев 5%</v>
      </c>
      <c r="B51" s="87"/>
      <c r="C51" s="87"/>
      <c r="D51" s="87"/>
      <c r="E51" s="87"/>
    </row>
    <row r="52" spans="1:5" ht="14.25" x14ac:dyDescent="0.2">
      <c r="A52" s="51" t="str">
        <f>Source!E226</f>
        <v>23</v>
      </c>
      <c r="B52" s="52" t="str">
        <f>Source!G226</f>
        <v>Заготовка деревьев и кустарников с комом земли размером 1,3х1,3х0,6 м</v>
      </c>
      <c r="C52" s="53" t="str">
        <f>Source!H226</f>
        <v>10 шт.</v>
      </c>
      <c r="D52" s="54">
        <f>Source!I226</f>
        <v>0.6</v>
      </c>
      <c r="E52" s="51"/>
    </row>
    <row r="53" spans="1:5" ht="42.75" x14ac:dyDescent="0.2">
      <c r="A53" s="51" t="str">
        <f>Source!E227</f>
        <v>24</v>
      </c>
      <c r="B53" s="52" t="str">
        <f>Source!G227</f>
        <v>Подготовка стандартных посадочных мест для деревьев и кустарников механизированным способом с квадратным комом земли размером 1,3х1,3х0,6 м в естественном грунте 6х0,75=4,5м2</v>
      </c>
      <c r="C53" s="53" t="str">
        <f>Source!H227</f>
        <v>10 ям</v>
      </c>
      <c r="D53" s="54">
        <f>Source!I227</f>
        <v>0.45</v>
      </c>
      <c r="E53" s="51"/>
    </row>
    <row r="54" spans="1:5" ht="28.5" x14ac:dyDescent="0.2">
      <c r="A54" s="51" t="str">
        <f>Source!E228</f>
        <v>25</v>
      </c>
      <c r="B54" s="52" t="str">
        <f>Source!G228</f>
        <v>Подготовка стандартных посадочных мест вручную с квадратным комом земли размером 1,3х1,3х0,6 м в естественном грунте 6х0,25=1,5ям</v>
      </c>
      <c r="C54" s="53" t="str">
        <f>Source!H228</f>
        <v>10 ям</v>
      </c>
      <c r="D54" s="54">
        <f>Source!I228</f>
        <v>0.15</v>
      </c>
      <c r="E54" s="51"/>
    </row>
    <row r="55" spans="1:5" ht="28.5" x14ac:dyDescent="0.2">
      <c r="A55" s="51" t="str">
        <f>Source!E229</f>
        <v>26</v>
      </c>
      <c r="B55" s="52" t="str">
        <f>Source!G229</f>
        <v>Посадка деревьев и кустарников с комом земли размером 1,3х1,3х0,6 м (без стоимости деревьев и кустарников)</v>
      </c>
      <c r="C55" s="53" t="str">
        <f>Source!H229</f>
        <v>10 шт.</v>
      </c>
      <c r="D55" s="54">
        <f>Source!I229</f>
        <v>0.6</v>
      </c>
      <c r="E55" s="51"/>
    </row>
    <row r="56" spans="1:5" ht="42.75" x14ac:dyDescent="0.2">
      <c r="A56" s="51" t="str">
        <f>Source!E230</f>
        <v>26,1</v>
      </c>
      <c r="B56" s="52" t="str">
        <f>Source!G230</f>
        <v>Деревья декоративные лиственных пород с комом земли, порода: бархат амурский, вяз, дуб, каштан, клен, липа, орех, ясень, размер кома: 1,3х1,3х0,6 м</v>
      </c>
      <c r="C56" s="53" t="str">
        <f>Source!H230</f>
        <v>шт.</v>
      </c>
      <c r="D56" s="54">
        <f>Source!I230</f>
        <v>6</v>
      </c>
      <c r="E56" s="51"/>
    </row>
    <row r="57" spans="1:5" ht="16.5" x14ac:dyDescent="0.25">
      <c r="A57" s="87" t="str">
        <f>CONCATENATE("Подраздел: ", Source!G261)</f>
        <v>Подраздел: Уход за деревьями - внутридворовые территории</v>
      </c>
      <c r="B57" s="87"/>
      <c r="C57" s="87"/>
      <c r="D57" s="87"/>
      <c r="E57" s="87"/>
    </row>
    <row r="58" spans="1:5" ht="28.5" x14ac:dyDescent="0.2">
      <c r="A58" s="51" t="str">
        <f>Source!E265</f>
        <v>27</v>
      </c>
      <c r="B58" s="52" t="str">
        <f>Source!G265</f>
        <v>Уход за деревьями или кустарниками с комом земли в течение года после посадки (комплексные расценки) - ком размером 1,3х1,3х0,6 м</v>
      </c>
      <c r="C58" s="53" t="str">
        <f>Source!H265</f>
        <v>10 шт.</v>
      </c>
      <c r="D58" s="54">
        <f>Source!I265</f>
        <v>12</v>
      </c>
      <c r="E58" s="51"/>
    </row>
    <row r="59" spans="1:5" ht="28.5" x14ac:dyDescent="0.2">
      <c r="A59" s="50" t="str">
        <f>Source!E266</f>
        <v>28</v>
      </c>
      <c r="B59" s="41" t="str">
        <f>Source!G266</f>
        <v>Внесение минеральных удобрений при посадке деревьев и кустарников для стандартных саженцев 1,01х120=121,2 м3</v>
      </c>
      <c r="C59" s="42" t="str">
        <f>Source!H266</f>
        <v>10 м3 ям</v>
      </c>
      <c r="D59" s="39">
        <f>Source!I266</f>
        <v>12.12</v>
      </c>
      <c r="E59" s="50"/>
    </row>
    <row r="62" spans="1:5" ht="15" x14ac:dyDescent="0.25">
      <c r="A62" s="35"/>
      <c r="B62" s="35" t="s">
        <v>354</v>
      </c>
      <c r="C62" s="35"/>
      <c r="D62" s="35"/>
      <c r="E62" s="10"/>
    </row>
  </sheetData>
  <mergeCells count="13">
    <mergeCell ref="A57:E57"/>
    <mergeCell ref="A21:E21"/>
    <mergeCell ref="A31:E31"/>
    <mergeCell ref="A37:E37"/>
    <mergeCell ref="A40:E40"/>
    <mergeCell ref="A41:E41"/>
    <mergeCell ref="A51:E51"/>
    <mergeCell ref="A20:E20"/>
    <mergeCell ref="C5:D5"/>
    <mergeCell ref="C7:D7"/>
    <mergeCell ref="A11:D11"/>
    <mergeCell ref="A12:D12"/>
    <mergeCell ref="A19:E19"/>
  </mergeCells>
  <pageMargins left="0.4" right="0.2" top="0.2" bottom="0.4" header="0.2" footer="0.2"/>
  <pageSetup paperSize="9" scale="76" fitToHeight="0" orientation="portrait" verticalDpi="0" r:id="rId1"/>
  <headerFooter>
    <oddHeader>&amp;L&amp;8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K396"/>
  <sheetViews>
    <sheetView workbookViewId="0">
      <selection activeCell="G12" sqref="G12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52196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392</v>
      </c>
      <c r="C12" s="1">
        <v>0</v>
      </c>
      <c r="D12" s="1">
        <f>ROW(A355)</f>
        <v>355</v>
      </c>
      <c r="E12" s="1">
        <v>0</v>
      </c>
      <c r="F12" s="1" t="s">
        <v>4</v>
      </c>
      <c r="G12" s="1" t="s">
        <v>355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78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6</v>
      </c>
      <c r="AC12" s="1" t="s">
        <v>7</v>
      </c>
      <c r="AD12" s="1" t="s">
        <v>8</v>
      </c>
      <c r="AE12" s="1" t="s">
        <v>9</v>
      </c>
      <c r="AF12" s="1" t="s">
        <v>3</v>
      </c>
      <c r="AG12" s="1" t="s">
        <v>3</v>
      </c>
      <c r="AH12" s="1" t="s">
        <v>10</v>
      </c>
      <c r="AI12" s="1" t="s">
        <v>3</v>
      </c>
      <c r="AJ12" s="1" t="s">
        <v>11</v>
      </c>
      <c r="AK12" s="1"/>
      <c r="AL12" s="1" t="s">
        <v>12</v>
      </c>
      <c r="AM12" s="1" t="s">
        <v>3</v>
      </c>
      <c r="AN12" s="1" t="s">
        <v>13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14</v>
      </c>
      <c r="BI12" s="1" t="s">
        <v>15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16</v>
      </c>
      <c r="BZ12" s="1" t="s">
        <v>17</v>
      </c>
      <c r="CA12" s="1" t="s">
        <v>18</v>
      </c>
      <c r="CB12" s="1" t="s">
        <v>18</v>
      </c>
      <c r="CC12" s="1" t="s">
        <v>18</v>
      </c>
      <c r="CD12" s="1" t="s">
        <v>18</v>
      </c>
      <c r="CE12" s="1" t="s">
        <v>19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B355</f>
        <v>392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объект_(Копия)_(Копия)</v>
      </c>
      <c r="G18" s="2" t="str">
        <f t="shared" si="0"/>
        <v>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v>
      </c>
      <c r="H18" s="2"/>
      <c r="I18" s="2"/>
      <c r="J18" s="2"/>
      <c r="K18" s="2"/>
      <c r="L18" s="2"/>
      <c r="M18" s="2"/>
      <c r="N18" s="2"/>
      <c r="O18" s="2">
        <f t="shared" ref="O18:AT18" si="1">O355</f>
        <v>5167647.33</v>
      </c>
      <c r="P18" s="2">
        <f t="shared" si="1"/>
        <v>2492267.6800000002</v>
      </c>
      <c r="Q18" s="2">
        <f t="shared" si="1"/>
        <v>809914.07</v>
      </c>
      <c r="R18" s="2">
        <f t="shared" si="1"/>
        <v>348650.64</v>
      </c>
      <c r="S18" s="2">
        <f t="shared" si="1"/>
        <v>1865465.58</v>
      </c>
      <c r="T18" s="2">
        <f t="shared" si="1"/>
        <v>0</v>
      </c>
      <c r="U18" s="2">
        <f t="shared" si="1"/>
        <v>9259.7402300000012</v>
      </c>
      <c r="V18" s="2">
        <f t="shared" si="1"/>
        <v>0</v>
      </c>
      <c r="W18" s="2">
        <f t="shared" si="1"/>
        <v>0</v>
      </c>
      <c r="X18" s="2">
        <f t="shared" si="1"/>
        <v>1305825.93</v>
      </c>
      <c r="Y18" s="2">
        <f t="shared" si="1"/>
        <v>0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6551640.1699999999</v>
      </c>
      <c r="AS18" s="2">
        <f t="shared" si="1"/>
        <v>0</v>
      </c>
      <c r="AT18" s="2">
        <f t="shared" si="1"/>
        <v>0</v>
      </c>
      <c r="AU18" s="2">
        <f t="shared" ref="AU18:BZ18" si="2">AU355</f>
        <v>6551640.1699999999</v>
      </c>
      <c r="AV18" s="2">
        <f t="shared" si="2"/>
        <v>2492267.6800000002</v>
      </c>
      <c r="AW18" s="2">
        <f t="shared" si="2"/>
        <v>2492267.6800000002</v>
      </c>
      <c r="AX18" s="2">
        <f t="shared" si="2"/>
        <v>0</v>
      </c>
      <c r="AY18" s="2">
        <f t="shared" si="2"/>
        <v>2492267.6800000002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CA355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DG355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EM355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FS355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ROW(A326)</f>
        <v>326</v>
      </c>
      <c r="E20" s="1"/>
      <c r="F20" s="1" t="s">
        <v>20</v>
      </c>
      <c r="G20" s="1" t="s">
        <v>20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</row>
    <row r="22" spans="1:245" x14ac:dyDescent="0.2">
      <c r="A22" s="2">
        <v>52</v>
      </c>
      <c r="B22" s="2">
        <f t="shared" ref="B22:G22" si="7">B326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O326</f>
        <v>5167647.33</v>
      </c>
      <c r="P22" s="2">
        <f t="shared" si="8"/>
        <v>2492267.6800000002</v>
      </c>
      <c r="Q22" s="2">
        <f t="shared" si="8"/>
        <v>809914.07</v>
      </c>
      <c r="R22" s="2">
        <f t="shared" si="8"/>
        <v>348650.64</v>
      </c>
      <c r="S22" s="2">
        <f t="shared" si="8"/>
        <v>1865465.58</v>
      </c>
      <c r="T22" s="2">
        <f t="shared" si="8"/>
        <v>0</v>
      </c>
      <c r="U22" s="2">
        <f t="shared" si="8"/>
        <v>9259.7402300000012</v>
      </c>
      <c r="V22" s="2">
        <f t="shared" si="8"/>
        <v>0</v>
      </c>
      <c r="W22" s="2">
        <f t="shared" si="8"/>
        <v>0</v>
      </c>
      <c r="X22" s="2">
        <f t="shared" si="8"/>
        <v>1305825.93</v>
      </c>
      <c r="Y22" s="2">
        <f t="shared" si="8"/>
        <v>0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6551640.1699999999</v>
      </c>
      <c r="AS22" s="2">
        <f t="shared" si="8"/>
        <v>0</v>
      </c>
      <c r="AT22" s="2">
        <f t="shared" si="8"/>
        <v>0</v>
      </c>
      <c r="AU22" s="2">
        <f t="shared" ref="AU22:BZ22" si="9">AU326</f>
        <v>6551640.1699999999</v>
      </c>
      <c r="AV22" s="2">
        <f t="shared" si="9"/>
        <v>2492267.6800000002</v>
      </c>
      <c r="AW22" s="2">
        <f t="shared" si="9"/>
        <v>2492267.6800000002</v>
      </c>
      <c r="AX22" s="2">
        <f t="shared" si="9"/>
        <v>0</v>
      </c>
      <c r="AY22" s="2">
        <f t="shared" si="9"/>
        <v>2492267.6800000002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CA326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DG326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EM326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FS326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ROW(A146)</f>
        <v>146</v>
      </c>
      <c r="E24" s="1"/>
      <c r="F24" s="1" t="s">
        <v>21</v>
      </c>
      <c r="G24" s="1" t="s">
        <v>22</v>
      </c>
      <c r="H24" s="1" t="s">
        <v>3</v>
      </c>
      <c r="I24" s="1">
        <v>0</v>
      </c>
      <c r="J24" s="1"/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B146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Посадка деревьев V группы (на видовых территориях - центральная часть города, административных округов); ком. 1,7*1,7*0,65; 100% замена земли</v>
      </c>
      <c r="H26" s="2"/>
      <c r="I26" s="2"/>
      <c r="J26" s="2"/>
      <c r="K26" s="2"/>
      <c r="L26" s="2"/>
      <c r="M26" s="2"/>
      <c r="N26" s="2"/>
      <c r="O26" s="2">
        <f t="shared" ref="O26:AT26" si="15">O146</f>
        <v>2006028.93</v>
      </c>
      <c r="P26" s="2">
        <f t="shared" si="15"/>
        <v>964120.69</v>
      </c>
      <c r="Q26" s="2">
        <f t="shared" si="15"/>
        <v>311302.02</v>
      </c>
      <c r="R26" s="2">
        <f t="shared" si="15"/>
        <v>129514.51</v>
      </c>
      <c r="S26" s="2">
        <f t="shared" si="15"/>
        <v>730606.22</v>
      </c>
      <c r="T26" s="2">
        <f t="shared" si="15"/>
        <v>0</v>
      </c>
      <c r="U26" s="2">
        <f t="shared" si="15"/>
        <v>3707.8259300000004</v>
      </c>
      <c r="V26" s="2">
        <f t="shared" si="15"/>
        <v>0</v>
      </c>
      <c r="W26" s="2">
        <f t="shared" si="15"/>
        <v>0</v>
      </c>
      <c r="X26" s="2">
        <f t="shared" si="15"/>
        <v>511424.36</v>
      </c>
      <c r="Y26" s="2">
        <f t="shared" si="15"/>
        <v>0</v>
      </c>
      <c r="Z26" s="2">
        <f t="shared" si="15"/>
        <v>0</v>
      </c>
      <c r="AA26" s="2">
        <f t="shared" si="15"/>
        <v>0</v>
      </c>
      <c r="AB26" s="2">
        <f t="shared" si="15"/>
        <v>0</v>
      </c>
      <c r="AC26" s="2">
        <f t="shared" si="15"/>
        <v>0</v>
      </c>
      <c r="AD26" s="2">
        <f t="shared" si="15"/>
        <v>0</v>
      </c>
      <c r="AE26" s="2">
        <f t="shared" si="15"/>
        <v>0</v>
      </c>
      <c r="AF26" s="2">
        <f t="shared" si="15"/>
        <v>0</v>
      </c>
      <c r="AG26" s="2">
        <f t="shared" si="15"/>
        <v>0</v>
      </c>
      <c r="AH26" s="2">
        <f t="shared" si="15"/>
        <v>0</v>
      </c>
      <c r="AI26" s="2">
        <f t="shared" si="15"/>
        <v>0</v>
      </c>
      <c r="AJ26" s="2">
        <f t="shared" si="15"/>
        <v>0</v>
      </c>
      <c r="AK26" s="2">
        <f t="shared" si="15"/>
        <v>0</v>
      </c>
      <c r="AL26" s="2">
        <f t="shared" si="15"/>
        <v>0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2549454.11</v>
      </c>
      <c r="AS26" s="2">
        <f t="shared" si="15"/>
        <v>0</v>
      </c>
      <c r="AT26" s="2">
        <f t="shared" si="15"/>
        <v>0</v>
      </c>
      <c r="AU26" s="2">
        <f t="shared" ref="AU26:BZ26" si="16">AU146</f>
        <v>2549454.11</v>
      </c>
      <c r="AV26" s="2">
        <f t="shared" si="16"/>
        <v>964120.69</v>
      </c>
      <c r="AW26" s="2">
        <f t="shared" si="16"/>
        <v>964120.69</v>
      </c>
      <c r="AX26" s="2">
        <f t="shared" si="16"/>
        <v>0</v>
      </c>
      <c r="AY26" s="2">
        <f t="shared" si="16"/>
        <v>964120.69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CA146</f>
        <v>0</v>
      </c>
      <c r="CB26" s="2">
        <f t="shared" si="17"/>
        <v>0</v>
      </c>
      <c r="CC26" s="2">
        <f t="shared" si="17"/>
        <v>0</v>
      </c>
      <c r="CD26" s="2">
        <f t="shared" si="17"/>
        <v>0</v>
      </c>
      <c r="CE26" s="2">
        <f t="shared" si="17"/>
        <v>0</v>
      </c>
      <c r="CF26" s="2">
        <f t="shared" si="17"/>
        <v>0</v>
      </c>
      <c r="CG26" s="2">
        <f t="shared" si="17"/>
        <v>0</v>
      </c>
      <c r="CH26" s="2">
        <f t="shared" si="17"/>
        <v>0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DG146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EM146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FS146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 s="1">
        <v>5</v>
      </c>
      <c r="B28" s="1">
        <v>1</v>
      </c>
      <c r="C28" s="1"/>
      <c r="D28" s="1">
        <f>ROW(A42)</f>
        <v>42</v>
      </c>
      <c r="E28" s="1"/>
      <c r="F28" s="1" t="s">
        <v>23</v>
      </c>
      <c r="G28" s="1" t="s">
        <v>24</v>
      </c>
      <c r="H28" s="1" t="s">
        <v>3</v>
      </c>
      <c r="I28" s="1">
        <v>0</v>
      </c>
      <c r="J28" s="1"/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 t="s">
        <v>3</v>
      </c>
      <c r="V28" s="1">
        <v>0</v>
      </c>
      <c r="W28" s="1"/>
      <c r="X28" s="1"/>
      <c r="Y28" s="1"/>
      <c r="Z28" s="1"/>
      <c r="AA28" s="1"/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/>
      <c r="AI28" s="1"/>
      <c r="AJ28" s="1"/>
      <c r="AK28" s="1"/>
      <c r="AL28" s="1"/>
      <c r="AM28" s="1"/>
      <c r="AN28" s="1"/>
      <c r="AO28" s="1"/>
      <c r="AP28" s="1" t="s">
        <v>3</v>
      </c>
      <c r="AQ28" s="1" t="s">
        <v>3</v>
      </c>
      <c r="AR28" s="1" t="s">
        <v>3</v>
      </c>
      <c r="AS28" s="1"/>
      <c r="AT28" s="1"/>
      <c r="AU28" s="1"/>
      <c r="AV28" s="1"/>
      <c r="AW28" s="1"/>
      <c r="AX28" s="1"/>
      <c r="AY28" s="1"/>
      <c r="AZ28" s="1" t="s">
        <v>3</v>
      </c>
      <c r="BA28" s="1"/>
      <c r="BB28" s="1" t="s">
        <v>3</v>
      </c>
      <c r="BC28" s="1" t="s">
        <v>3</v>
      </c>
      <c r="BD28" s="1" t="s">
        <v>3</v>
      </c>
      <c r="BE28" s="1" t="s">
        <v>3</v>
      </c>
      <c r="BF28" s="1" t="s">
        <v>3</v>
      </c>
      <c r="BG28" s="1" t="s">
        <v>3</v>
      </c>
      <c r="BH28" s="1" t="s">
        <v>3</v>
      </c>
      <c r="BI28" s="1" t="s">
        <v>3</v>
      </c>
      <c r="BJ28" s="1" t="s">
        <v>3</v>
      </c>
      <c r="BK28" s="1" t="s">
        <v>3</v>
      </c>
      <c r="BL28" s="1" t="s">
        <v>3</v>
      </c>
      <c r="BM28" s="1" t="s">
        <v>3</v>
      </c>
      <c r="BN28" s="1" t="s">
        <v>3</v>
      </c>
      <c r="BO28" s="1" t="s">
        <v>3</v>
      </c>
      <c r="BP28" s="1" t="s">
        <v>3</v>
      </c>
      <c r="BQ28" s="1"/>
      <c r="BR28" s="1"/>
      <c r="BS28" s="1"/>
      <c r="BT28" s="1"/>
      <c r="BU28" s="1"/>
      <c r="BV28" s="1"/>
      <c r="BW28" s="1"/>
      <c r="BX28" s="1">
        <v>0</v>
      </c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</v>
      </c>
    </row>
    <row r="30" spans="1:245" x14ac:dyDescent="0.2">
      <c r="A30" s="2">
        <v>52</v>
      </c>
      <c r="B30" s="2">
        <f t="shared" ref="B30:G30" si="21">B42</f>
        <v>1</v>
      </c>
      <c r="C30" s="2">
        <f t="shared" si="21"/>
        <v>5</v>
      </c>
      <c r="D30" s="2">
        <f t="shared" si="21"/>
        <v>28</v>
      </c>
      <c r="E30" s="2">
        <f t="shared" si="21"/>
        <v>0</v>
      </c>
      <c r="F30" s="2" t="str">
        <f t="shared" si="21"/>
        <v>Новый подраздел</v>
      </c>
      <c r="G30" s="2" t="str">
        <f t="shared" si="21"/>
        <v>Посадка деревьев</v>
      </c>
      <c r="H30" s="2"/>
      <c r="I30" s="2"/>
      <c r="J30" s="2"/>
      <c r="K30" s="2"/>
      <c r="L30" s="2"/>
      <c r="M30" s="2"/>
      <c r="N30" s="2"/>
      <c r="O30" s="2">
        <f t="shared" ref="O30:AT30" si="22">O42</f>
        <v>1674944.73</v>
      </c>
      <c r="P30" s="2">
        <f t="shared" si="22"/>
        <v>874341.15</v>
      </c>
      <c r="Q30" s="2">
        <f t="shared" si="22"/>
        <v>211114.87</v>
      </c>
      <c r="R30" s="2">
        <f t="shared" si="22"/>
        <v>106863.06</v>
      </c>
      <c r="S30" s="2">
        <f t="shared" si="22"/>
        <v>589488.71</v>
      </c>
      <c r="T30" s="2">
        <f t="shared" si="22"/>
        <v>0</v>
      </c>
      <c r="U30" s="2">
        <f t="shared" si="22"/>
        <v>2943.3320000000003</v>
      </c>
      <c r="V30" s="2">
        <f t="shared" si="22"/>
        <v>0</v>
      </c>
      <c r="W30" s="2">
        <f t="shared" si="22"/>
        <v>0</v>
      </c>
      <c r="X30" s="2">
        <f t="shared" si="22"/>
        <v>412642.1</v>
      </c>
      <c r="Y30" s="2">
        <f t="shared" si="22"/>
        <v>0</v>
      </c>
      <c r="Z30" s="2">
        <f t="shared" si="22"/>
        <v>0</v>
      </c>
      <c r="AA30" s="2">
        <f t="shared" si="22"/>
        <v>0</v>
      </c>
      <c r="AB30" s="2">
        <f t="shared" si="22"/>
        <v>1674944.73</v>
      </c>
      <c r="AC30" s="2">
        <f t="shared" si="22"/>
        <v>874341.15</v>
      </c>
      <c r="AD30" s="2">
        <f t="shared" si="22"/>
        <v>211114.87</v>
      </c>
      <c r="AE30" s="2">
        <f t="shared" si="22"/>
        <v>106863.06</v>
      </c>
      <c r="AF30" s="2">
        <f t="shared" si="22"/>
        <v>589488.71</v>
      </c>
      <c r="AG30" s="2">
        <f t="shared" si="22"/>
        <v>0</v>
      </c>
      <c r="AH30" s="2">
        <f t="shared" si="22"/>
        <v>2943.3320000000003</v>
      </c>
      <c r="AI30" s="2">
        <f t="shared" si="22"/>
        <v>0</v>
      </c>
      <c r="AJ30" s="2">
        <f t="shared" si="22"/>
        <v>0</v>
      </c>
      <c r="AK30" s="2">
        <f t="shared" si="22"/>
        <v>412642.1</v>
      </c>
      <c r="AL30" s="2">
        <f t="shared" si="22"/>
        <v>0</v>
      </c>
      <c r="AM30" s="2">
        <f t="shared" si="22"/>
        <v>0</v>
      </c>
      <c r="AN30" s="2">
        <f t="shared" si="22"/>
        <v>0</v>
      </c>
      <c r="AO30" s="2">
        <f t="shared" si="22"/>
        <v>0</v>
      </c>
      <c r="AP30" s="2">
        <f t="shared" si="22"/>
        <v>0</v>
      </c>
      <c r="AQ30" s="2">
        <f t="shared" si="22"/>
        <v>0</v>
      </c>
      <c r="AR30" s="2">
        <f t="shared" si="22"/>
        <v>2101919.52</v>
      </c>
      <c r="AS30" s="2">
        <f t="shared" si="22"/>
        <v>0</v>
      </c>
      <c r="AT30" s="2">
        <f t="shared" si="22"/>
        <v>0</v>
      </c>
      <c r="AU30" s="2">
        <f t="shared" ref="AU30:BZ30" si="23">AU42</f>
        <v>2101919.52</v>
      </c>
      <c r="AV30" s="2">
        <f t="shared" si="23"/>
        <v>874341.15</v>
      </c>
      <c r="AW30" s="2">
        <f t="shared" si="23"/>
        <v>874341.15</v>
      </c>
      <c r="AX30" s="2">
        <f t="shared" si="23"/>
        <v>0</v>
      </c>
      <c r="AY30" s="2">
        <f t="shared" si="23"/>
        <v>874341.15</v>
      </c>
      <c r="AZ30" s="2">
        <f t="shared" si="23"/>
        <v>0</v>
      </c>
      <c r="BA30" s="2">
        <f t="shared" si="23"/>
        <v>0</v>
      </c>
      <c r="BB30" s="2">
        <f t="shared" si="23"/>
        <v>0</v>
      </c>
      <c r="BC30" s="2">
        <f t="shared" si="23"/>
        <v>0</v>
      </c>
      <c r="BD30" s="2">
        <f t="shared" si="23"/>
        <v>0</v>
      </c>
      <c r="BE30" s="2">
        <f t="shared" si="23"/>
        <v>0</v>
      </c>
      <c r="BF30" s="2">
        <f t="shared" si="23"/>
        <v>0</v>
      </c>
      <c r="BG30" s="2">
        <f t="shared" si="23"/>
        <v>0</v>
      </c>
      <c r="BH30" s="2">
        <f t="shared" si="23"/>
        <v>0</v>
      </c>
      <c r="BI30" s="2">
        <f t="shared" si="23"/>
        <v>0</v>
      </c>
      <c r="BJ30" s="2">
        <f t="shared" si="23"/>
        <v>0</v>
      </c>
      <c r="BK30" s="2">
        <f t="shared" si="23"/>
        <v>0</v>
      </c>
      <c r="BL30" s="2">
        <f t="shared" si="23"/>
        <v>0</v>
      </c>
      <c r="BM30" s="2">
        <f t="shared" si="23"/>
        <v>0</v>
      </c>
      <c r="BN30" s="2">
        <f t="shared" si="23"/>
        <v>0</v>
      </c>
      <c r="BO30" s="2">
        <f t="shared" si="23"/>
        <v>0</v>
      </c>
      <c r="BP30" s="2">
        <f t="shared" si="23"/>
        <v>0</v>
      </c>
      <c r="BQ30" s="2">
        <f t="shared" si="23"/>
        <v>0</v>
      </c>
      <c r="BR30" s="2">
        <f t="shared" si="23"/>
        <v>0</v>
      </c>
      <c r="BS30" s="2">
        <f t="shared" si="23"/>
        <v>0</v>
      </c>
      <c r="BT30" s="2">
        <f t="shared" si="23"/>
        <v>0</v>
      </c>
      <c r="BU30" s="2">
        <f t="shared" si="23"/>
        <v>0</v>
      </c>
      <c r="BV30" s="2">
        <f t="shared" si="23"/>
        <v>0</v>
      </c>
      <c r="BW30" s="2">
        <f t="shared" si="23"/>
        <v>0</v>
      </c>
      <c r="BX30" s="2">
        <f t="shared" si="23"/>
        <v>0</v>
      </c>
      <c r="BY30" s="2">
        <f t="shared" si="23"/>
        <v>0</v>
      </c>
      <c r="BZ30" s="2">
        <f t="shared" si="23"/>
        <v>0</v>
      </c>
      <c r="CA30" s="2">
        <f t="shared" ref="CA30:DF30" si="24">CA42</f>
        <v>2101919.52</v>
      </c>
      <c r="CB30" s="2">
        <f t="shared" si="24"/>
        <v>0</v>
      </c>
      <c r="CC30" s="2">
        <f t="shared" si="24"/>
        <v>0</v>
      </c>
      <c r="CD30" s="2">
        <f t="shared" si="24"/>
        <v>2101919.52</v>
      </c>
      <c r="CE30" s="2">
        <f t="shared" si="24"/>
        <v>874341.15</v>
      </c>
      <c r="CF30" s="2">
        <f t="shared" si="24"/>
        <v>874341.15</v>
      </c>
      <c r="CG30" s="2">
        <f t="shared" si="24"/>
        <v>0</v>
      </c>
      <c r="CH30" s="2">
        <f t="shared" si="24"/>
        <v>874341.15</v>
      </c>
      <c r="CI30" s="2">
        <f t="shared" si="24"/>
        <v>0</v>
      </c>
      <c r="CJ30" s="2">
        <f t="shared" si="24"/>
        <v>0</v>
      </c>
      <c r="CK30" s="2">
        <f t="shared" si="24"/>
        <v>0</v>
      </c>
      <c r="CL30" s="2">
        <f t="shared" si="24"/>
        <v>0</v>
      </c>
      <c r="CM30" s="2">
        <f t="shared" si="24"/>
        <v>0</v>
      </c>
      <c r="CN30" s="2">
        <f t="shared" si="24"/>
        <v>0</v>
      </c>
      <c r="CO30" s="2">
        <f t="shared" si="24"/>
        <v>0</v>
      </c>
      <c r="CP30" s="2">
        <f t="shared" si="24"/>
        <v>0</v>
      </c>
      <c r="CQ30" s="2">
        <f t="shared" si="24"/>
        <v>0</v>
      </c>
      <c r="CR30" s="2">
        <f t="shared" si="24"/>
        <v>0</v>
      </c>
      <c r="CS30" s="2">
        <f t="shared" si="24"/>
        <v>0</v>
      </c>
      <c r="CT30" s="2">
        <f t="shared" si="24"/>
        <v>0</v>
      </c>
      <c r="CU30" s="2">
        <f t="shared" si="24"/>
        <v>0</v>
      </c>
      <c r="CV30" s="2">
        <f t="shared" si="24"/>
        <v>0</v>
      </c>
      <c r="CW30" s="2">
        <f t="shared" si="24"/>
        <v>0</v>
      </c>
      <c r="CX30" s="2">
        <f t="shared" si="24"/>
        <v>0</v>
      </c>
      <c r="CY30" s="2">
        <f t="shared" si="24"/>
        <v>0</v>
      </c>
      <c r="CZ30" s="2">
        <f t="shared" si="24"/>
        <v>0</v>
      </c>
      <c r="DA30" s="2">
        <f t="shared" si="24"/>
        <v>0</v>
      </c>
      <c r="DB30" s="2">
        <f t="shared" si="24"/>
        <v>0</v>
      </c>
      <c r="DC30" s="2">
        <f t="shared" si="24"/>
        <v>0</v>
      </c>
      <c r="DD30" s="2">
        <f t="shared" si="24"/>
        <v>0</v>
      </c>
      <c r="DE30" s="2">
        <f t="shared" si="24"/>
        <v>0</v>
      </c>
      <c r="DF30" s="2">
        <f t="shared" si="24"/>
        <v>0</v>
      </c>
      <c r="DG30" s="3">
        <f t="shared" ref="DG30:EL30" si="25">DG42</f>
        <v>0</v>
      </c>
      <c r="DH30" s="3">
        <f t="shared" si="25"/>
        <v>0</v>
      </c>
      <c r="DI30" s="3">
        <f t="shared" si="25"/>
        <v>0</v>
      </c>
      <c r="DJ30" s="3">
        <f t="shared" si="25"/>
        <v>0</v>
      </c>
      <c r="DK30" s="3">
        <f t="shared" si="25"/>
        <v>0</v>
      </c>
      <c r="DL30" s="3">
        <f t="shared" si="25"/>
        <v>0</v>
      </c>
      <c r="DM30" s="3">
        <f t="shared" si="25"/>
        <v>0</v>
      </c>
      <c r="DN30" s="3">
        <f t="shared" si="25"/>
        <v>0</v>
      </c>
      <c r="DO30" s="3">
        <f t="shared" si="25"/>
        <v>0</v>
      </c>
      <c r="DP30" s="3">
        <f t="shared" si="25"/>
        <v>0</v>
      </c>
      <c r="DQ30" s="3">
        <f t="shared" si="25"/>
        <v>0</v>
      </c>
      <c r="DR30" s="3">
        <f t="shared" si="25"/>
        <v>0</v>
      </c>
      <c r="DS30" s="3">
        <f t="shared" si="25"/>
        <v>0</v>
      </c>
      <c r="DT30" s="3">
        <f t="shared" si="25"/>
        <v>0</v>
      </c>
      <c r="DU30" s="3">
        <f t="shared" si="25"/>
        <v>0</v>
      </c>
      <c r="DV30" s="3">
        <f t="shared" si="25"/>
        <v>0</v>
      </c>
      <c r="DW30" s="3">
        <f t="shared" si="25"/>
        <v>0</v>
      </c>
      <c r="DX30" s="3">
        <f t="shared" si="25"/>
        <v>0</v>
      </c>
      <c r="DY30" s="3">
        <f t="shared" si="25"/>
        <v>0</v>
      </c>
      <c r="DZ30" s="3">
        <f t="shared" si="25"/>
        <v>0</v>
      </c>
      <c r="EA30" s="3">
        <f t="shared" si="25"/>
        <v>0</v>
      </c>
      <c r="EB30" s="3">
        <f t="shared" si="25"/>
        <v>0</v>
      </c>
      <c r="EC30" s="3">
        <f t="shared" si="25"/>
        <v>0</v>
      </c>
      <c r="ED30" s="3">
        <f t="shared" si="25"/>
        <v>0</v>
      </c>
      <c r="EE30" s="3">
        <f t="shared" si="25"/>
        <v>0</v>
      </c>
      <c r="EF30" s="3">
        <f t="shared" si="25"/>
        <v>0</v>
      </c>
      <c r="EG30" s="3">
        <f t="shared" si="25"/>
        <v>0</v>
      </c>
      <c r="EH30" s="3">
        <f t="shared" si="25"/>
        <v>0</v>
      </c>
      <c r="EI30" s="3">
        <f t="shared" si="25"/>
        <v>0</v>
      </c>
      <c r="EJ30" s="3">
        <f t="shared" si="25"/>
        <v>0</v>
      </c>
      <c r="EK30" s="3">
        <f t="shared" si="25"/>
        <v>0</v>
      </c>
      <c r="EL30" s="3">
        <f t="shared" si="25"/>
        <v>0</v>
      </c>
      <c r="EM30" s="3">
        <f t="shared" ref="EM30:FR30" si="26">EM42</f>
        <v>0</v>
      </c>
      <c r="EN30" s="3">
        <f t="shared" si="26"/>
        <v>0</v>
      </c>
      <c r="EO30" s="3">
        <f t="shared" si="26"/>
        <v>0</v>
      </c>
      <c r="EP30" s="3">
        <f t="shared" si="26"/>
        <v>0</v>
      </c>
      <c r="EQ30" s="3">
        <f t="shared" si="26"/>
        <v>0</v>
      </c>
      <c r="ER30" s="3">
        <f t="shared" si="26"/>
        <v>0</v>
      </c>
      <c r="ES30" s="3">
        <f t="shared" si="26"/>
        <v>0</v>
      </c>
      <c r="ET30" s="3">
        <f t="shared" si="26"/>
        <v>0</v>
      </c>
      <c r="EU30" s="3">
        <f t="shared" si="26"/>
        <v>0</v>
      </c>
      <c r="EV30" s="3">
        <f t="shared" si="26"/>
        <v>0</v>
      </c>
      <c r="EW30" s="3">
        <f t="shared" si="26"/>
        <v>0</v>
      </c>
      <c r="EX30" s="3">
        <f t="shared" si="26"/>
        <v>0</v>
      </c>
      <c r="EY30" s="3">
        <f t="shared" si="26"/>
        <v>0</v>
      </c>
      <c r="EZ30" s="3">
        <f t="shared" si="26"/>
        <v>0</v>
      </c>
      <c r="FA30" s="3">
        <f t="shared" si="26"/>
        <v>0</v>
      </c>
      <c r="FB30" s="3">
        <f t="shared" si="26"/>
        <v>0</v>
      </c>
      <c r="FC30" s="3">
        <f t="shared" si="26"/>
        <v>0</v>
      </c>
      <c r="FD30" s="3">
        <f t="shared" si="26"/>
        <v>0</v>
      </c>
      <c r="FE30" s="3">
        <f t="shared" si="26"/>
        <v>0</v>
      </c>
      <c r="FF30" s="3">
        <f t="shared" si="26"/>
        <v>0</v>
      </c>
      <c r="FG30" s="3">
        <f t="shared" si="26"/>
        <v>0</v>
      </c>
      <c r="FH30" s="3">
        <f t="shared" si="26"/>
        <v>0</v>
      </c>
      <c r="FI30" s="3">
        <f t="shared" si="26"/>
        <v>0</v>
      </c>
      <c r="FJ30" s="3">
        <f t="shared" si="26"/>
        <v>0</v>
      </c>
      <c r="FK30" s="3">
        <f t="shared" si="26"/>
        <v>0</v>
      </c>
      <c r="FL30" s="3">
        <f t="shared" si="26"/>
        <v>0</v>
      </c>
      <c r="FM30" s="3">
        <f t="shared" si="26"/>
        <v>0</v>
      </c>
      <c r="FN30" s="3">
        <f t="shared" si="26"/>
        <v>0</v>
      </c>
      <c r="FO30" s="3">
        <f t="shared" si="26"/>
        <v>0</v>
      </c>
      <c r="FP30" s="3">
        <f t="shared" si="26"/>
        <v>0</v>
      </c>
      <c r="FQ30" s="3">
        <f t="shared" si="26"/>
        <v>0</v>
      </c>
      <c r="FR30" s="3">
        <f t="shared" si="26"/>
        <v>0</v>
      </c>
      <c r="FS30" s="3">
        <f t="shared" ref="FS30:GX30" si="27">FS42</f>
        <v>0</v>
      </c>
      <c r="FT30" s="3">
        <f t="shared" si="27"/>
        <v>0</v>
      </c>
      <c r="FU30" s="3">
        <f t="shared" si="27"/>
        <v>0</v>
      </c>
      <c r="FV30" s="3">
        <f t="shared" si="27"/>
        <v>0</v>
      </c>
      <c r="FW30" s="3">
        <f t="shared" si="27"/>
        <v>0</v>
      </c>
      <c r="FX30" s="3">
        <f t="shared" si="27"/>
        <v>0</v>
      </c>
      <c r="FY30" s="3">
        <f t="shared" si="27"/>
        <v>0</v>
      </c>
      <c r="FZ30" s="3">
        <f t="shared" si="27"/>
        <v>0</v>
      </c>
      <c r="GA30" s="3">
        <f t="shared" si="27"/>
        <v>0</v>
      </c>
      <c r="GB30" s="3">
        <f t="shared" si="27"/>
        <v>0</v>
      </c>
      <c r="GC30" s="3">
        <f t="shared" si="27"/>
        <v>0</v>
      </c>
      <c r="GD30" s="3">
        <f t="shared" si="27"/>
        <v>0</v>
      </c>
      <c r="GE30" s="3">
        <f t="shared" si="27"/>
        <v>0</v>
      </c>
      <c r="GF30" s="3">
        <f t="shared" si="27"/>
        <v>0</v>
      </c>
      <c r="GG30" s="3">
        <f t="shared" si="27"/>
        <v>0</v>
      </c>
      <c r="GH30" s="3">
        <f t="shared" si="27"/>
        <v>0</v>
      </c>
      <c r="GI30" s="3">
        <f t="shared" si="27"/>
        <v>0</v>
      </c>
      <c r="GJ30" s="3">
        <f t="shared" si="27"/>
        <v>0</v>
      </c>
      <c r="GK30" s="3">
        <f t="shared" si="27"/>
        <v>0</v>
      </c>
      <c r="GL30" s="3">
        <f t="shared" si="27"/>
        <v>0</v>
      </c>
      <c r="GM30" s="3">
        <f t="shared" si="27"/>
        <v>0</v>
      </c>
      <c r="GN30" s="3">
        <f t="shared" si="27"/>
        <v>0</v>
      </c>
      <c r="GO30" s="3">
        <f t="shared" si="27"/>
        <v>0</v>
      </c>
      <c r="GP30" s="3">
        <f t="shared" si="27"/>
        <v>0</v>
      </c>
      <c r="GQ30" s="3">
        <f t="shared" si="27"/>
        <v>0</v>
      </c>
      <c r="GR30" s="3">
        <f t="shared" si="27"/>
        <v>0</v>
      </c>
      <c r="GS30" s="3">
        <f t="shared" si="27"/>
        <v>0</v>
      </c>
      <c r="GT30" s="3">
        <f t="shared" si="27"/>
        <v>0</v>
      </c>
      <c r="GU30" s="3">
        <f t="shared" si="27"/>
        <v>0</v>
      </c>
      <c r="GV30" s="3">
        <f t="shared" si="27"/>
        <v>0</v>
      </c>
      <c r="GW30" s="3">
        <f t="shared" si="27"/>
        <v>0</v>
      </c>
      <c r="GX30" s="3">
        <f t="shared" si="27"/>
        <v>0</v>
      </c>
    </row>
    <row r="32" spans="1:245" x14ac:dyDescent="0.2">
      <c r="A32">
        <v>17</v>
      </c>
      <c r="B32">
        <v>1</v>
      </c>
      <c r="C32">
        <f>ROW(SmtRes!A4)</f>
        <v>4</v>
      </c>
      <c r="D32">
        <f>ROW(EtalonRes!A4)</f>
        <v>4</v>
      </c>
      <c r="E32" t="s">
        <v>25</v>
      </c>
      <c r="F32" t="s">
        <v>26</v>
      </c>
      <c r="G32" t="s">
        <v>27</v>
      </c>
      <c r="H32" t="s">
        <v>28</v>
      </c>
      <c r="I32">
        <f>ROUND(36.75/10,9)</f>
        <v>3.6749999999999998</v>
      </c>
      <c r="J32">
        <v>0</v>
      </c>
      <c r="O32">
        <f t="shared" ref="O32:O40" si="28">ROUND(CP32,2)</f>
        <v>199898.68</v>
      </c>
      <c r="P32">
        <f t="shared" ref="P32:P40" si="29">ROUND(CQ32*I32,2)</f>
        <v>118515.33</v>
      </c>
      <c r="Q32">
        <f t="shared" ref="Q32:Q40" si="30">ROUND(CR32*I32,2)</f>
        <v>8598.9500000000007</v>
      </c>
      <c r="R32">
        <f t="shared" ref="R32:R40" si="31">ROUND(CS32*I32,2)</f>
        <v>4705.47</v>
      </c>
      <c r="S32">
        <f t="shared" ref="S32:S40" si="32">ROUND(CT32*I32,2)</f>
        <v>72784.399999999994</v>
      </c>
      <c r="T32">
        <f t="shared" ref="T32:T40" si="33">ROUND(CU32*I32,2)</f>
        <v>0</v>
      </c>
      <c r="U32">
        <f t="shared" ref="U32:U40" si="34">CV32*I32</f>
        <v>422.84550000000002</v>
      </c>
      <c r="V32">
        <f t="shared" ref="V32:V40" si="35">CW32*I32</f>
        <v>0</v>
      </c>
      <c r="W32">
        <f t="shared" ref="W32:W40" si="36">ROUND(CX32*I32,2)</f>
        <v>0</v>
      </c>
      <c r="X32">
        <f t="shared" ref="X32:X40" si="37">ROUND(CY32,2)</f>
        <v>50949.08</v>
      </c>
      <c r="Y32">
        <f t="shared" ref="Y32:Y40" si="38">ROUND(CZ32,2)</f>
        <v>0</v>
      </c>
      <c r="AA32">
        <v>53202630</v>
      </c>
      <c r="AB32">
        <f t="shared" ref="AB32:AB40" si="39">ROUND((AC32+AD32+AF32),6)</f>
        <v>54394.2</v>
      </c>
      <c r="AC32">
        <f>ROUND((ES32),6)</f>
        <v>32249.07</v>
      </c>
      <c r="AD32">
        <f>ROUND((((ET32)-(EU32))+AE32),6)</f>
        <v>2339.85</v>
      </c>
      <c r="AE32">
        <f t="shared" ref="AE32:AF36" si="40">ROUND((EU32),6)</f>
        <v>1280.4000000000001</v>
      </c>
      <c r="AF32">
        <f t="shared" si="40"/>
        <v>19805.28</v>
      </c>
      <c r="AG32">
        <f t="shared" ref="AG32:AG40" si="41">ROUND((AP32),6)</f>
        <v>0</v>
      </c>
      <c r="AH32">
        <f t="shared" ref="AH32:AI36" si="42">(EW32)</f>
        <v>115.06</v>
      </c>
      <c r="AI32">
        <f t="shared" si="42"/>
        <v>0</v>
      </c>
      <c r="AJ32">
        <f t="shared" ref="AJ32:AJ40" si="43">(AS32)</f>
        <v>0</v>
      </c>
      <c r="AK32">
        <v>54394.2</v>
      </c>
      <c r="AL32">
        <v>32249.07</v>
      </c>
      <c r="AM32">
        <v>2339.85</v>
      </c>
      <c r="AN32">
        <v>1280.4000000000001</v>
      </c>
      <c r="AO32">
        <v>19805.28</v>
      </c>
      <c r="AP32">
        <v>0</v>
      </c>
      <c r="AQ32">
        <v>115.06</v>
      </c>
      <c r="AR32">
        <v>0</v>
      </c>
      <c r="AS32">
        <v>0</v>
      </c>
      <c r="AT32">
        <v>70</v>
      </c>
      <c r="AU32">
        <v>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29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ref="CP32:CP40" si="44">(P32+Q32+S32)</f>
        <v>199898.68</v>
      </c>
      <c r="CQ32">
        <f t="shared" ref="CQ32:CQ40" si="45">(AC32*BC32*AW32)</f>
        <v>32249.07</v>
      </c>
      <c r="CR32">
        <f>((((ET32)*BB32-(EU32)*BS32)+AE32*BS32)*AV32)</f>
        <v>2339.85</v>
      </c>
      <c r="CS32">
        <f t="shared" ref="CS32:CS40" si="46">(AE32*BS32*AV32)</f>
        <v>1280.4000000000001</v>
      </c>
      <c r="CT32">
        <f t="shared" ref="CT32:CT40" si="47">(AF32*BA32*AV32)</f>
        <v>19805.28</v>
      </c>
      <c r="CU32">
        <f t="shared" ref="CU32:CU40" si="48">AG32</f>
        <v>0</v>
      </c>
      <c r="CV32">
        <f t="shared" ref="CV32:CV40" si="49">(AH32*AV32)</f>
        <v>115.06</v>
      </c>
      <c r="CW32">
        <f t="shared" ref="CW32:CW40" si="50">AI32</f>
        <v>0</v>
      </c>
      <c r="CX32">
        <f t="shared" ref="CX32:CX40" si="51">AJ32</f>
        <v>0</v>
      </c>
      <c r="CY32">
        <f t="shared" ref="CY32:CY40" si="52">((S32*BZ32)/100)</f>
        <v>50949.08</v>
      </c>
      <c r="CZ32">
        <f t="shared" ref="CZ32:CZ40" si="53">((S32*CA32)/100)</f>
        <v>0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1013</v>
      </c>
      <c r="DV32" t="s">
        <v>28</v>
      </c>
      <c r="DW32" t="s">
        <v>28</v>
      </c>
      <c r="DX32">
        <v>1</v>
      </c>
      <c r="EE32">
        <v>48810626</v>
      </c>
      <c r="EF32">
        <v>1</v>
      </c>
      <c r="EG32" t="s">
        <v>30</v>
      </c>
      <c r="EH32">
        <v>0</v>
      </c>
      <c r="EI32" t="s">
        <v>3</v>
      </c>
      <c r="EJ32">
        <v>4</v>
      </c>
      <c r="EK32">
        <v>0</v>
      </c>
      <c r="EL32" t="s">
        <v>31</v>
      </c>
      <c r="EM32" t="s">
        <v>32</v>
      </c>
      <c r="EO32" t="s">
        <v>3</v>
      </c>
      <c r="EQ32">
        <v>131072</v>
      </c>
      <c r="ER32">
        <v>54394.2</v>
      </c>
      <c r="ES32">
        <v>32249.07</v>
      </c>
      <c r="ET32">
        <v>2339.85</v>
      </c>
      <c r="EU32">
        <v>1280.4000000000001</v>
      </c>
      <c r="EV32">
        <v>19805.28</v>
      </c>
      <c r="EW32">
        <v>115.06</v>
      </c>
      <c r="EX32">
        <v>0</v>
      </c>
      <c r="EY32">
        <v>0</v>
      </c>
      <c r="FQ32">
        <v>0</v>
      </c>
      <c r="FR32">
        <f t="shared" ref="FR32:FR40" si="54">ROUND(IF(AND(BH32=3,BI32=3),P32,0),2)</f>
        <v>0</v>
      </c>
      <c r="FS32">
        <v>0</v>
      </c>
      <c r="FX32">
        <v>70</v>
      </c>
      <c r="FY32">
        <v>0</v>
      </c>
      <c r="GA32" t="s">
        <v>3</v>
      </c>
      <c r="GD32">
        <v>0</v>
      </c>
      <c r="GF32">
        <v>-127776442</v>
      </c>
      <c r="GG32">
        <v>2</v>
      </c>
      <c r="GH32">
        <v>1</v>
      </c>
      <c r="GI32">
        <v>-2</v>
      </c>
      <c r="GJ32">
        <v>0</v>
      </c>
      <c r="GK32">
        <f>ROUND(R32*(R12)/100,2)</f>
        <v>3670.27</v>
      </c>
      <c r="GL32">
        <f t="shared" ref="GL32:GL40" si="55">ROUND(IF(AND(BH32=3,BI32=3,FS32&lt;&gt;0),P32,0),2)</f>
        <v>0</v>
      </c>
      <c r="GM32">
        <f>ROUND(O32+X32+Y32+GK32,2)+GX32</f>
        <v>254518.03</v>
      </c>
      <c r="GN32">
        <f>IF(OR(BI32=0,BI32=1),ROUND(O32+X32+Y32+GK32,2),0)</f>
        <v>0</v>
      </c>
      <c r="GO32">
        <f>IF(BI32=2,ROUND(O32+X32+Y32+GK32,2),0)</f>
        <v>0</v>
      </c>
      <c r="GP32">
        <f>IF(BI32=4,ROUND(O32+X32+Y32+GK32,2)+GX32,0)</f>
        <v>254518.03</v>
      </c>
      <c r="GR32">
        <v>0</v>
      </c>
      <c r="GS32">
        <v>3</v>
      </c>
      <c r="GT32">
        <v>0</v>
      </c>
      <c r="GU32" t="s">
        <v>3</v>
      </c>
      <c r="GV32">
        <f t="shared" ref="GV32:GV40" si="56">ROUND((GT32),6)</f>
        <v>0</v>
      </c>
      <c r="GW32">
        <v>1</v>
      </c>
      <c r="GX32">
        <f t="shared" ref="GX32:GX40" si="57">ROUND(HC32*I32,2)</f>
        <v>0</v>
      </c>
      <c r="HA32">
        <v>0</v>
      </c>
      <c r="HB32">
        <v>0</v>
      </c>
      <c r="HC32">
        <f t="shared" ref="HC32:HC40" si="58">GV32*GW32</f>
        <v>0</v>
      </c>
      <c r="IK32">
        <v>0</v>
      </c>
    </row>
    <row r="33" spans="1:245" x14ac:dyDescent="0.2">
      <c r="A33">
        <v>17</v>
      </c>
      <c r="B33">
        <v>1</v>
      </c>
      <c r="C33">
        <f>ROW(SmtRes!A7)</f>
        <v>7</v>
      </c>
      <c r="D33">
        <f>ROW(EtalonRes!A7)</f>
        <v>7</v>
      </c>
      <c r="E33" t="s">
        <v>33</v>
      </c>
      <c r="F33" t="s">
        <v>34</v>
      </c>
      <c r="G33" t="s">
        <v>35</v>
      </c>
      <c r="H33" t="s">
        <v>28</v>
      </c>
      <c r="I33">
        <f>ROUND(12.25/10,9)</f>
        <v>1.2250000000000001</v>
      </c>
      <c r="J33">
        <v>0</v>
      </c>
      <c r="O33">
        <f t="shared" si="28"/>
        <v>77166.679999999993</v>
      </c>
      <c r="P33">
        <f t="shared" si="29"/>
        <v>39505.11</v>
      </c>
      <c r="Q33">
        <f t="shared" si="30"/>
        <v>0</v>
      </c>
      <c r="R33">
        <f t="shared" si="31"/>
        <v>0</v>
      </c>
      <c r="S33">
        <f t="shared" si="32"/>
        <v>37661.57</v>
      </c>
      <c r="T33">
        <f t="shared" si="33"/>
        <v>0</v>
      </c>
      <c r="U33">
        <f t="shared" si="34"/>
        <v>218.79725000000002</v>
      </c>
      <c r="V33">
        <f t="shared" si="35"/>
        <v>0</v>
      </c>
      <c r="W33">
        <f t="shared" si="36"/>
        <v>0</v>
      </c>
      <c r="X33">
        <f t="shared" si="37"/>
        <v>26363.1</v>
      </c>
      <c r="Y33">
        <f t="shared" si="38"/>
        <v>0</v>
      </c>
      <c r="AA33">
        <v>53202630</v>
      </c>
      <c r="AB33">
        <f t="shared" si="39"/>
        <v>62993.21</v>
      </c>
      <c r="AC33">
        <f>ROUND((ES33),6)</f>
        <v>32249.07</v>
      </c>
      <c r="AD33">
        <f>ROUND((((ET33)-(EU33))+AE33),6)</f>
        <v>0</v>
      </c>
      <c r="AE33">
        <f t="shared" si="40"/>
        <v>0</v>
      </c>
      <c r="AF33">
        <f t="shared" si="40"/>
        <v>30744.14</v>
      </c>
      <c r="AG33">
        <f t="shared" si="41"/>
        <v>0</v>
      </c>
      <c r="AH33">
        <f t="shared" si="42"/>
        <v>178.61</v>
      </c>
      <c r="AI33">
        <f t="shared" si="42"/>
        <v>0</v>
      </c>
      <c r="AJ33">
        <f t="shared" si="43"/>
        <v>0</v>
      </c>
      <c r="AK33">
        <v>62993.21</v>
      </c>
      <c r="AL33">
        <v>32249.07</v>
      </c>
      <c r="AM33">
        <v>0</v>
      </c>
      <c r="AN33">
        <v>0</v>
      </c>
      <c r="AO33">
        <v>30744.14</v>
      </c>
      <c r="AP33">
        <v>0</v>
      </c>
      <c r="AQ33">
        <v>178.61</v>
      </c>
      <c r="AR33">
        <v>0</v>
      </c>
      <c r="AS33">
        <v>0</v>
      </c>
      <c r="AT33">
        <v>70</v>
      </c>
      <c r="AU33">
        <v>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36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44"/>
        <v>77166.679999999993</v>
      </c>
      <c r="CQ33">
        <f t="shared" si="45"/>
        <v>32249.07</v>
      </c>
      <c r="CR33">
        <f>((((ET33)*BB33-(EU33)*BS33)+AE33*BS33)*AV33)</f>
        <v>0</v>
      </c>
      <c r="CS33">
        <f t="shared" si="46"/>
        <v>0</v>
      </c>
      <c r="CT33">
        <f t="shared" si="47"/>
        <v>30744.14</v>
      </c>
      <c r="CU33">
        <f t="shared" si="48"/>
        <v>0</v>
      </c>
      <c r="CV33">
        <f t="shared" si="49"/>
        <v>178.61</v>
      </c>
      <c r="CW33">
        <f t="shared" si="50"/>
        <v>0</v>
      </c>
      <c r="CX33">
        <f t="shared" si="51"/>
        <v>0</v>
      </c>
      <c r="CY33">
        <f t="shared" si="52"/>
        <v>26363.098999999998</v>
      </c>
      <c r="CZ33">
        <f t="shared" si="53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1013</v>
      </c>
      <c r="DV33" t="s">
        <v>28</v>
      </c>
      <c r="DW33" t="s">
        <v>28</v>
      </c>
      <c r="DX33">
        <v>1</v>
      </c>
      <c r="EE33">
        <v>48810626</v>
      </c>
      <c r="EF33">
        <v>1</v>
      </c>
      <c r="EG33" t="s">
        <v>30</v>
      </c>
      <c r="EH33">
        <v>0</v>
      </c>
      <c r="EI33" t="s">
        <v>3</v>
      </c>
      <c r="EJ33">
        <v>4</v>
      </c>
      <c r="EK33">
        <v>0</v>
      </c>
      <c r="EL33" t="s">
        <v>31</v>
      </c>
      <c r="EM33" t="s">
        <v>32</v>
      </c>
      <c r="EO33" t="s">
        <v>3</v>
      </c>
      <c r="EQ33">
        <v>131072</v>
      </c>
      <c r="ER33">
        <v>62993.21</v>
      </c>
      <c r="ES33">
        <v>32249.07</v>
      </c>
      <c r="ET33">
        <v>0</v>
      </c>
      <c r="EU33">
        <v>0</v>
      </c>
      <c r="EV33">
        <v>30744.14</v>
      </c>
      <c r="EW33">
        <v>178.61</v>
      </c>
      <c r="EX33">
        <v>0</v>
      </c>
      <c r="EY33">
        <v>0</v>
      </c>
      <c r="FQ33">
        <v>0</v>
      </c>
      <c r="FR33">
        <f t="shared" si="54"/>
        <v>0</v>
      </c>
      <c r="FS33">
        <v>0</v>
      </c>
      <c r="FX33">
        <v>70</v>
      </c>
      <c r="FY33">
        <v>0</v>
      </c>
      <c r="GA33" t="s">
        <v>3</v>
      </c>
      <c r="GD33">
        <v>0</v>
      </c>
      <c r="GF33">
        <v>-62927202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55"/>
        <v>0</v>
      </c>
      <c r="GM33">
        <f>ROUND(O33+X33+Y33+GK33,2)+GX33</f>
        <v>103529.78</v>
      </c>
      <c r="GN33">
        <f>IF(OR(BI33=0,BI33=1),ROUND(O33+X33+Y33+GK33,2),0)</f>
        <v>0</v>
      </c>
      <c r="GO33">
        <f>IF(BI33=2,ROUND(O33+X33+Y33+GK33,2),0)</f>
        <v>0</v>
      </c>
      <c r="GP33">
        <f>IF(BI33=4,ROUND(O33+X33+Y33+GK33,2)+GX33,0)</f>
        <v>103529.78</v>
      </c>
      <c r="GR33">
        <v>0</v>
      </c>
      <c r="GS33">
        <v>3</v>
      </c>
      <c r="GT33">
        <v>0</v>
      </c>
      <c r="GU33" t="s">
        <v>3</v>
      </c>
      <c r="GV33">
        <f t="shared" si="56"/>
        <v>0</v>
      </c>
      <c r="GW33">
        <v>1</v>
      </c>
      <c r="GX33">
        <f t="shared" si="57"/>
        <v>0</v>
      </c>
      <c r="HA33">
        <v>0</v>
      </c>
      <c r="HB33">
        <v>0</v>
      </c>
      <c r="HC33">
        <f t="shared" si="58"/>
        <v>0</v>
      </c>
      <c r="IK33">
        <v>0</v>
      </c>
    </row>
    <row r="34" spans="1:245" x14ac:dyDescent="0.2">
      <c r="A34">
        <v>17</v>
      </c>
      <c r="B34">
        <v>1</v>
      </c>
      <c r="C34">
        <f>ROW(SmtRes!A8)</f>
        <v>8</v>
      </c>
      <c r="D34">
        <f>ROW(EtalonRes!A8)</f>
        <v>8</v>
      </c>
      <c r="E34" t="s">
        <v>37</v>
      </c>
      <c r="F34" t="s">
        <v>38</v>
      </c>
      <c r="G34" t="s">
        <v>39</v>
      </c>
      <c r="H34" t="s">
        <v>40</v>
      </c>
      <c r="I34">
        <f>ROUND(51.45/100,9)</f>
        <v>0.51449999999999996</v>
      </c>
      <c r="J34">
        <v>0</v>
      </c>
      <c r="O34">
        <f t="shared" si="28"/>
        <v>5478.86</v>
      </c>
      <c r="P34">
        <f t="shared" si="29"/>
        <v>0</v>
      </c>
      <c r="Q34">
        <f t="shared" si="30"/>
        <v>0</v>
      </c>
      <c r="R34">
        <f t="shared" si="31"/>
        <v>0</v>
      </c>
      <c r="S34">
        <f t="shared" si="32"/>
        <v>5478.86</v>
      </c>
      <c r="T34">
        <f t="shared" si="33"/>
        <v>0</v>
      </c>
      <c r="U34">
        <f t="shared" si="34"/>
        <v>42.703499999999998</v>
      </c>
      <c r="V34">
        <f t="shared" si="35"/>
        <v>0</v>
      </c>
      <c r="W34">
        <f t="shared" si="36"/>
        <v>0</v>
      </c>
      <c r="X34">
        <f t="shared" si="37"/>
        <v>3835.2</v>
      </c>
      <c r="Y34">
        <f t="shared" si="38"/>
        <v>0</v>
      </c>
      <c r="AA34">
        <v>53202630</v>
      </c>
      <c r="AB34">
        <f t="shared" si="39"/>
        <v>10648.9</v>
      </c>
      <c r="AC34">
        <f>ROUND((ES34),6)</f>
        <v>0</v>
      </c>
      <c r="AD34">
        <f>ROUND((((ET34)-(EU34))+AE34),6)</f>
        <v>0</v>
      </c>
      <c r="AE34">
        <f t="shared" si="40"/>
        <v>0</v>
      </c>
      <c r="AF34">
        <f t="shared" si="40"/>
        <v>10648.9</v>
      </c>
      <c r="AG34">
        <f t="shared" si="41"/>
        <v>0</v>
      </c>
      <c r="AH34">
        <f t="shared" si="42"/>
        <v>83</v>
      </c>
      <c r="AI34">
        <f t="shared" si="42"/>
        <v>0</v>
      </c>
      <c r="AJ34">
        <f t="shared" si="43"/>
        <v>0</v>
      </c>
      <c r="AK34">
        <v>10648.9</v>
      </c>
      <c r="AL34">
        <v>0</v>
      </c>
      <c r="AM34">
        <v>0</v>
      </c>
      <c r="AN34">
        <v>0</v>
      </c>
      <c r="AO34">
        <v>10648.9</v>
      </c>
      <c r="AP34">
        <v>0</v>
      </c>
      <c r="AQ34">
        <v>83</v>
      </c>
      <c r="AR34">
        <v>0</v>
      </c>
      <c r="AS34">
        <v>0</v>
      </c>
      <c r="AT34">
        <v>70</v>
      </c>
      <c r="AU34">
        <v>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41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44"/>
        <v>5478.86</v>
      </c>
      <c r="CQ34">
        <f t="shared" si="45"/>
        <v>0</v>
      </c>
      <c r="CR34">
        <f>((((ET34)*BB34-(EU34)*BS34)+AE34*BS34)*AV34)</f>
        <v>0</v>
      </c>
      <c r="CS34">
        <f t="shared" si="46"/>
        <v>0</v>
      </c>
      <c r="CT34">
        <f t="shared" si="47"/>
        <v>10648.9</v>
      </c>
      <c r="CU34">
        <f t="shared" si="48"/>
        <v>0</v>
      </c>
      <c r="CV34">
        <f t="shared" si="49"/>
        <v>83</v>
      </c>
      <c r="CW34">
        <f t="shared" si="50"/>
        <v>0</v>
      </c>
      <c r="CX34">
        <f t="shared" si="51"/>
        <v>0</v>
      </c>
      <c r="CY34">
        <f t="shared" si="52"/>
        <v>3835.2019999999993</v>
      </c>
      <c r="CZ34">
        <f t="shared" si="53"/>
        <v>0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1007</v>
      </c>
      <c r="DV34" t="s">
        <v>40</v>
      </c>
      <c r="DW34" t="s">
        <v>40</v>
      </c>
      <c r="DX34">
        <v>100</v>
      </c>
      <c r="EE34">
        <v>48810626</v>
      </c>
      <c r="EF34">
        <v>1</v>
      </c>
      <c r="EG34" t="s">
        <v>30</v>
      </c>
      <c r="EH34">
        <v>0</v>
      </c>
      <c r="EI34" t="s">
        <v>3</v>
      </c>
      <c r="EJ34">
        <v>4</v>
      </c>
      <c r="EK34">
        <v>0</v>
      </c>
      <c r="EL34" t="s">
        <v>31</v>
      </c>
      <c r="EM34" t="s">
        <v>32</v>
      </c>
      <c r="EO34" t="s">
        <v>3</v>
      </c>
      <c r="EQ34">
        <v>131072</v>
      </c>
      <c r="ER34">
        <v>10648.9</v>
      </c>
      <c r="ES34">
        <v>0</v>
      </c>
      <c r="ET34">
        <v>0</v>
      </c>
      <c r="EU34">
        <v>0</v>
      </c>
      <c r="EV34">
        <v>10648.9</v>
      </c>
      <c r="EW34">
        <v>83</v>
      </c>
      <c r="EX34">
        <v>0</v>
      </c>
      <c r="EY34">
        <v>0</v>
      </c>
      <c r="FQ34">
        <v>0</v>
      </c>
      <c r="FR34">
        <f t="shared" si="54"/>
        <v>0</v>
      </c>
      <c r="FS34">
        <v>0</v>
      </c>
      <c r="FX34">
        <v>70</v>
      </c>
      <c r="FY34">
        <v>0</v>
      </c>
      <c r="GA34" t="s">
        <v>3</v>
      </c>
      <c r="GD34">
        <v>0</v>
      </c>
      <c r="GF34">
        <v>2131143359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55"/>
        <v>0</v>
      </c>
      <c r="GM34">
        <f>ROUND(O34+X34+Y34+GK34,2)+GX34</f>
        <v>9314.06</v>
      </c>
      <c r="GN34">
        <f>IF(OR(BI34=0,BI34=1),ROUND(O34+X34+Y34+GK34,2),0)</f>
        <v>0</v>
      </c>
      <c r="GO34">
        <f>IF(BI34=2,ROUND(O34+X34+Y34+GK34,2),0)</f>
        <v>0</v>
      </c>
      <c r="GP34">
        <f>IF(BI34=4,ROUND(O34+X34+Y34+GK34,2)+GX34,0)</f>
        <v>9314.06</v>
      </c>
      <c r="GR34">
        <v>0</v>
      </c>
      <c r="GS34">
        <v>3</v>
      </c>
      <c r="GT34">
        <v>0</v>
      </c>
      <c r="GU34" t="s">
        <v>3</v>
      </c>
      <c r="GV34">
        <f t="shared" si="56"/>
        <v>0</v>
      </c>
      <c r="GW34">
        <v>1</v>
      </c>
      <c r="GX34">
        <f t="shared" si="57"/>
        <v>0</v>
      </c>
      <c r="HA34">
        <v>0</v>
      </c>
      <c r="HB34">
        <v>0</v>
      </c>
      <c r="HC34">
        <f t="shared" si="58"/>
        <v>0</v>
      </c>
      <c r="IK34">
        <v>0</v>
      </c>
    </row>
    <row r="35" spans="1:245" x14ac:dyDescent="0.2">
      <c r="A35">
        <v>17</v>
      </c>
      <c r="B35">
        <v>1</v>
      </c>
      <c r="C35">
        <f>ROW(SmtRes!A10)</f>
        <v>10</v>
      </c>
      <c r="D35">
        <f>ROW(EtalonRes!A10)</f>
        <v>10</v>
      </c>
      <c r="E35" t="s">
        <v>42</v>
      </c>
      <c r="F35" t="s">
        <v>43</v>
      </c>
      <c r="G35" t="s">
        <v>44</v>
      </c>
      <c r="H35" t="s">
        <v>45</v>
      </c>
      <c r="I35">
        <f>ROUND(154.35/10,9)</f>
        <v>15.435</v>
      </c>
      <c r="J35">
        <v>0</v>
      </c>
      <c r="O35">
        <f t="shared" si="28"/>
        <v>20616.990000000002</v>
      </c>
      <c r="P35">
        <f t="shared" si="29"/>
        <v>0</v>
      </c>
      <c r="Q35">
        <f t="shared" si="30"/>
        <v>18263.62</v>
      </c>
      <c r="R35">
        <f t="shared" si="31"/>
        <v>6739.54</v>
      </c>
      <c r="S35">
        <f t="shared" si="32"/>
        <v>2353.37</v>
      </c>
      <c r="T35">
        <f t="shared" si="33"/>
        <v>0</v>
      </c>
      <c r="U35">
        <f t="shared" si="34"/>
        <v>10.03275</v>
      </c>
      <c r="V35">
        <f t="shared" si="35"/>
        <v>0</v>
      </c>
      <c r="W35">
        <f t="shared" si="36"/>
        <v>0</v>
      </c>
      <c r="X35">
        <f t="shared" si="37"/>
        <v>1647.36</v>
      </c>
      <c r="Y35">
        <f t="shared" si="38"/>
        <v>0</v>
      </c>
      <c r="AA35">
        <v>53202630</v>
      </c>
      <c r="AB35">
        <f t="shared" si="39"/>
        <v>1335.73</v>
      </c>
      <c r="AC35">
        <f>ROUND((ES35),6)</f>
        <v>0</v>
      </c>
      <c r="AD35">
        <f>ROUND((((ET35)-(EU35))+AE35),6)</f>
        <v>1183.26</v>
      </c>
      <c r="AE35">
        <f t="shared" si="40"/>
        <v>436.64</v>
      </c>
      <c r="AF35">
        <f t="shared" si="40"/>
        <v>152.47</v>
      </c>
      <c r="AG35">
        <f t="shared" si="41"/>
        <v>0</v>
      </c>
      <c r="AH35">
        <f t="shared" si="42"/>
        <v>0.65</v>
      </c>
      <c r="AI35">
        <f t="shared" si="42"/>
        <v>0</v>
      </c>
      <c r="AJ35">
        <f t="shared" si="43"/>
        <v>0</v>
      </c>
      <c r="AK35">
        <v>1335.73</v>
      </c>
      <c r="AL35">
        <v>0</v>
      </c>
      <c r="AM35">
        <v>1183.26</v>
      </c>
      <c r="AN35">
        <v>436.64</v>
      </c>
      <c r="AO35">
        <v>152.47</v>
      </c>
      <c r="AP35">
        <v>0</v>
      </c>
      <c r="AQ35">
        <v>0.65</v>
      </c>
      <c r="AR35">
        <v>0</v>
      </c>
      <c r="AS35">
        <v>0</v>
      </c>
      <c r="AT35">
        <v>70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46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44"/>
        <v>20616.989999999998</v>
      </c>
      <c r="CQ35">
        <f t="shared" si="45"/>
        <v>0</v>
      </c>
      <c r="CR35">
        <f>((((ET35)*BB35-(EU35)*BS35)+AE35*BS35)*AV35)</f>
        <v>1183.26</v>
      </c>
      <c r="CS35">
        <f t="shared" si="46"/>
        <v>436.64</v>
      </c>
      <c r="CT35">
        <f t="shared" si="47"/>
        <v>152.47</v>
      </c>
      <c r="CU35">
        <f t="shared" si="48"/>
        <v>0</v>
      </c>
      <c r="CV35">
        <f t="shared" si="49"/>
        <v>0.65</v>
      </c>
      <c r="CW35">
        <f t="shared" si="50"/>
        <v>0</v>
      </c>
      <c r="CX35">
        <f t="shared" si="51"/>
        <v>0</v>
      </c>
      <c r="CY35">
        <f t="shared" si="52"/>
        <v>1647.3589999999999</v>
      </c>
      <c r="CZ35">
        <f t="shared" si="53"/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1007</v>
      </c>
      <c r="DV35" t="s">
        <v>45</v>
      </c>
      <c r="DW35" t="s">
        <v>45</v>
      </c>
      <c r="DX35">
        <v>10</v>
      </c>
      <c r="EE35">
        <v>48810626</v>
      </c>
      <c r="EF35">
        <v>1</v>
      </c>
      <c r="EG35" t="s">
        <v>30</v>
      </c>
      <c r="EH35">
        <v>0</v>
      </c>
      <c r="EI35" t="s">
        <v>3</v>
      </c>
      <c r="EJ35">
        <v>4</v>
      </c>
      <c r="EK35">
        <v>0</v>
      </c>
      <c r="EL35" t="s">
        <v>31</v>
      </c>
      <c r="EM35" t="s">
        <v>32</v>
      </c>
      <c r="EO35" t="s">
        <v>3</v>
      </c>
      <c r="EQ35">
        <v>131072</v>
      </c>
      <c r="ER35">
        <v>1335.73</v>
      </c>
      <c r="ES35">
        <v>0</v>
      </c>
      <c r="ET35">
        <v>1183.26</v>
      </c>
      <c r="EU35">
        <v>436.64</v>
      </c>
      <c r="EV35">
        <v>152.47</v>
      </c>
      <c r="EW35">
        <v>0.65</v>
      </c>
      <c r="EX35">
        <v>0</v>
      </c>
      <c r="EY35">
        <v>0</v>
      </c>
      <c r="FQ35">
        <v>0</v>
      </c>
      <c r="FR35">
        <f t="shared" si="54"/>
        <v>0</v>
      </c>
      <c r="FS35">
        <v>0</v>
      </c>
      <c r="FX35">
        <v>70</v>
      </c>
      <c r="FY35">
        <v>0</v>
      </c>
      <c r="GA35" t="s">
        <v>3</v>
      </c>
      <c r="GD35">
        <v>0</v>
      </c>
      <c r="GF35">
        <v>167250325</v>
      </c>
      <c r="GG35">
        <v>2</v>
      </c>
      <c r="GH35">
        <v>1</v>
      </c>
      <c r="GI35">
        <v>-2</v>
      </c>
      <c r="GJ35">
        <v>0</v>
      </c>
      <c r="GK35">
        <f>ROUND(R35*(R12)/100,2)</f>
        <v>5256.84</v>
      </c>
      <c r="GL35">
        <f t="shared" si="55"/>
        <v>0</v>
      </c>
      <c r="GM35">
        <f>ROUND(O35+X35+Y35+GK35,2)+GX35</f>
        <v>27521.19</v>
      </c>
      <c r="GN35">
        <f>IF(OR(BI35=0,BI35=1),ROUND(O35+X35+Y35+GK35,2),0)</f>
        <v>0</v>
      </c>
      <c r="GO35">
        <f>IF(BI35=2,ROUND(O35+X35+Y35+GK35,2),0)</f>
        <v>0</v>
      </c>
      <c r="GP35">
        <f>IF(BI35=4,ROUND(O35+X35+Y35+GK35,2)+GX35,0)</f>
        <v>27521.19</v>
      </c>
      <c r="GR35">
        <v>0</v>
      </c>
      <c r="GS35">
        <v>3</v>
      </c>
      <c r="GT35">
        <v>0</v>
      </c>
      <c r="GU35" t="s">
        <v>3</v>
      </c>
      <c r="GV35">
        <f t="shared" si="56"/>
        <v>0</v>
      </c>
      <c r="GW35">
        <v>1</v>
      </c>
      <c r="GX35">
        <f t="shared" si="57"/>
        <v>0</v>
      </c>
      <c r="HA35">
        <v>0</v>
      </c>
      <c r="HB35">
        <v>0</v>
      </c>
      <c r="HC35">
        <f t="shared" si="58"/>
        <v>0</v>
      </c>
      <c r="IK35">
        <v>0</v>
      </c>
    </row>
    <row r="36" spans="1:245" x14ac:dyDescent="0.2">
      <c r="A36">
        <v>17</v>
      </c>
      <c r="B36">
        <v>1</v>
      </c>
      <c r="C36">
        <f>ROW(SmtRes!A11)</f>
        <v>11</v>
      </c>
      <c r="D36">
        <f>ROW(EtalonRes!A11)</f>
        <v>11</v>
      </c>
      <c r="E36" t="s">
        <v>47</v>
      </c>
      <c r="F36" t="s">
        <v>48</v>
      </c>
      <c r="G36" t="s">
        <v>49</v>
      </c>
      <c r="H36" t="s">
        <v>50</v>
      </c>
      <c r="I36">
        <v>205.8</v>
      </c>
      <c r="J36">
        <v>0</v>
      </c>
      <c r="O36">
        <f t="shared" si="28"/>
        <v>10633.69</v>
      </c>
      <c r="P36">
        <f t="shared" si="29"/>
        <v>0</v>
      </c>
      <c r="Q36">
        <f t="shared" si="30"/>
        <v>10633.69</v>
      </c>
      <c r="R36">
        <f t="shared" si="31"/>
        <v>6219.28</v>
      </c>
      <c r="S36">
        <f t="shared" si="32"/>
        <v>0</v>
      </c>
      <c r="T36">
        <f t="shared" si="33"/>
        <v>0</v>
      </c>
      <c r="U36">
        <f t="shared" si="34"/>
        <v>0</v>
      </c>
      <c r="V36">
        <f t="shared" si="35"/>
        <v>0</v>
      </c>
      <c r="W36">
        <f t="shared" si="36"/>
        <v>0</v>
      </c>
      <c r="X36">
        <f t="shared" si="37"/>
        <v>0</v>
      </c>
      <c r="Y36">
        <f t="shared" si="38"/>
        <v>0</v>
      </c>
      <c r="AA36">
        <v>53202630</v>
      </c>
      <c r="AB36">
        <f t="shared" si="39"/>
        <v>51.67</v>
      </c>
      <c r="AC36">
        <f>ROUND((ES36),6)</f>
        <v>0</v>
      </c>
      <c r="AD36">
        <f>ROUND((((ET36)-(EU36))+AE36),6)</f>
        <v>51.67</v>
      </c>
      <c r="AE36">
        <f t="shared" si="40"/>
        <v>30.22</v>
      </c>
      <c r="AF36">
        <f t="shared" si="40"/>
        <v>0</v>
      </c>
      <c r="AG36">
        <f t="shared" si="41"/>
        <v>0</v>
      </c>
      <c r="AH36">
        <f t="shared" si="42"/>
        <v>0</v>
      </c>
      <c r="AI36">
        <f t="shared" si="42"/>
        <v>0</v>
      </c>
      <c r="AJ36">
        <f t="shared" si="43"/>
        <v>0</v>
      </c>
      <c r="AK36">
        <v>51.67</v>
      </c>
      <c r="AL36">
        <v>0</v>
      </c>
      <c r="AM36">
        <v>51.67</v>
      </c>
      <c r="AN36">
        <v>30.22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51</v>
      </c>
      <c r="BM36">
        <v>1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0</v>
      </c>
      <c r="CA36">
        <v>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44"/>
        <v>10633.69</v>
      </c>
      <c r="CQ36">
        <f t="shared" si="45"/>
        <v>0</v>
      </c>
      <c r="CR36">
        <f>((((ET36)*BB36-(EU36)*BS36)+AE36*BS36)*AV36)</f>
        <v>51.67</v>
      </c>
      <c r="CS36">
        <f t="shared" si="46"/>
        <v>30.22</v>
      </c>
      <c r="CT36">
        <f t="shared" si="47"/>
        <v>0</v>
      </c>
      <c r="CU36">
        <f t="shared" si="48"/>
        <v>0</v>
      </c>
      <c r="CV36">
        <f t="shared" si="49"/>
        <v>0</v>
      </c>
      <c r="CW36">
        <f t="shared" si="50"/>
        <v>0</v>
      </c>
      <c r="CX36">
        <f t="shared" si="51"/>
        <v>0</v>
      </c>
      <c r="CY36">
        <f t="shared" si="52"/>
        <v>0</v>
      </c>
      <c r="CZ36">
        <f t="shared" si="53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1007</v>
      </c>
      <c r="DV36" t="s">
        <v>50</v>
      </c>
      <c r="DW36" t="s">
        <v>50</v>
      </c>
      <c r="DX36">
        <v>1</v>
      </c>
      <c r="EE36">
        <v>48810628</v>
      </c>
      <c r="EF36">
        <v>1</v>
      </c>
      <c r="EG36" t="s">
        <v>30</v>
      </c>
      <c r="EH36">
        <v>0</v>
      </c>
      <c r="EI36" t="s">
        <v>3</v>
      </c>
      <c r="EJ36">
        <v>4</v>
      </c>
      <c r="EK36">
        <v>1</v>
      </c>
      <c r="EL36" t="s">
        <v>52</v>
      </c>
      <c r="EM36" t="s">
        <v>32</v>
      </c>
      <c r="EO36" t="s">
        <v>3</v>
      </c>
      <c r="EQ36">
        <v>131072</v>
      </c>
      <c r="ER36">
        <v>51.67</v>
      </c>
      <c r="ES36">
        <v>0</v>
      </c>
      <c r="ET36">
        <v>51.67</v>
      </c>
      <c r="EU36">
        <v>30.22</v>
      </c>
      <c r="EV36">
        <v>0</v>
      </c>
      <c r="EW36">
        <v>0</v>
      </c>
      <c r="EX36">
        <v>0</v>
      </c>
      <c r="EY36">
        <v>0</v>
      </c>
      <c r="FQ36">
        <v>0</v>
      </c>
      <c r="FR36">
        <f t="shared" si="54"/>
        <v>0</v>
      </c>
      <c r="FS36">
        <v>0</v>
      </c>
      <c r="FX36">
        <v>0</v>
      </c>
      <c r="FY36">
        <v>0</v>
      </c>
      <c r="GA36" t="s">
        <v>3</v>
      </c>
      <c r="GD36">
        <v>1</v>
      </c>
      <c r="GF36">
        <v>1868697823</v>
      </c>
      <c r="GG36">
        <v>2</v>
      </c>
      <c r="GH36">
        <v>1</v>
      </c>
      <c r="GI36">
        <v>-2</v>
      </c>
      <c r="GJ36">
        <v>0</v>
      </c>
      <c r="GK36">
        <v>0</v>
      </c>
      <c r="GL36">
        <f t="shared" si="55"/>
        <v>0</v>
      </c>
      <c r="GM36">
        <f>ROUND(O36+X36+Y36,2)+GX36</f>
        <v>10633.69</v>
      </c>
      <c r="GN36">
        <f>IF(OR(BI36=0,BI36=1),ROUND(O36+X36+Y36,2),0)</f>
        <v>0</v>
      </c>
      <c r="GO36">
        <f>IF(BI36=2,ROUND(O36+X36+Y36,2),0)</f>
        <v>0</v>
      </c>
      <c r="GP36">
        <f>IF(BI36=4,ROUND(O36+X36+Y36,2)+GX36,0)</f>
        <v>10633.69</v>
      </c>
      <c r="GR36">
        <v>0</v>
      </c>
      <c r="GS36">
        <v>3</v>
      </c>
      <c r="GT36">
        <v>0</v>
      </c>
      <c r="GU36" t="s">
        <v>3</v>
      </c>
      <c r="GV36">
        <f t="shared" si="56"/>
        <v>0</v>
      </c>
      <c r="GW36">
        <v>1</v>
      </c>
      <c r="GX36">
        <f t="shared" si="57"/>
        <v>0</v>
      </c>
      <c r="HA36">
        <v>0</v>
      </c>
      <c r="HB36">
        <v>0</v>
      </c>
      <c r="HC36">
        <f t="shared" si="58"/>
        <v>0</v>
      </c>
      <c r="IK36">
        <v>0</v>
      </c>
    </row>
    <row r="37" spans="1:245" x14ac:dyDescent="0.2">
      <c r="A37">
        <v>17</v>
      </c>
      <c r="B37">
        <v>1</v>
      </c>
      <c r="C37">
        <f>ROW(SmtRes!A12)</f>
        <v>12</v>
      </c>
      <c r="D37">
        <f>ROW(EtalonRes!A12)</f>
        <v>12</v>
      </c>
      <c r="E37" t="s">
        <v>53</v>
      </c>
      <c r="F37" t="s">
        <v>54</v>
      </c>
      <c r="G37" t="s">
        <v>55</v>
      </c>
      <c r="H37" t="s">
        <v>50</v>
      </c>
      <c r="I37">
        <v>205.8</v>
      </c>
      <c r="J37">
        <v>0</v>
      </c>
      <c r="O37">
        <f t="shared" si="28"/>
        <v>140658.13</v>
      </c>
      <c r="P37">
        <f t="shared" si="29"/>
        <v>0</v>
      </c>
      <c r="Q37">
        <f t="shared" si="30"/>
        <v>140658.13</v>
      </c>
      <c r="R37">
        <f t="shared" si="31"/>
        <v>82268.55</v>
      </c>
      <c r="S37">
        <f t="shared" si="32"/>
        <v>0</v>
      </c>
      <c r="T37">
        <f t="shared" si="33"/>
        <v>0</v>
      </c>
      <c r="U37">
        <f t="shared" si="34"/>
        <v>0</v>
      </c>
      <c r="V37">
        <f t="shared" si="35"/>
        <v>0</v>
      </c>
      <c r="W37">
        <f t="shared" si="36"/>
        <v>0</v>
      </c>
      <c r="X37">
        <f t="shared" si="37"/>
        <v>0</v>
      </c>
      <c r="Y37">
        <f t="shared" si="38"/>
        <v>0</v>
      </c>
      <c r="AA37">
        <v>53202630</v>
      </c>
      <c r="AB37">
        <f t="shared" si="39"/>
        <v>683.47</v>
      </c>
      <c r="AC37">
        <f>ROUND(((ES37*41)),6)</f>
        <v>0</v>
      </c>
      <c r="AD37">
        <f>ROUND(((((ET37*41))-((EU37*41)))+AE37),6)</f>
        <v>683.47</v>
      </c>
      <c r="AE37">
        <f>ROUND(((EU37*41)),6)</f>
        <v>399.75</v>
      </c>
      <c r="AF37">
        <f>ROUND(((EV37*41)),6)</f>
        <v>0</v>
      </c>
      <c r="AG37">
        <f t="shared" si="41"/>
        <v>0</v>
      </c>
      <c r="AH37">
        <f>((EW37*41))</f>
        <v>0</v>
      </c>
      <c r="AI37">
        <f>((EX37*41))</f>
        <v>0</v>
      </c>
      <c r="AJ37">
        <f t="shared" si="43"/>
        <v>0</v>
      </c>
      <c r="AK37">
        <v>16.670000000000002</v>
      </c>
      <c r="AL37">
        <v>0</v>
      </c>
      <c r="AM37">
        <v>16.670000000000002</v>
      </c>
      <c r="AN37">
        <v>9.75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56</v>
      </c>
      <c r="BM37">
        <v>1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0</v>
      </c>
      <c r="CA37">
        <v>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44"/>
        <v>140658.13</v>
      </c>
      <c r="CQ37">
        <f t="shared" si="45"/>
        <v>0</v>
      </c>
      <c r="CR37">
        <f>(((((ET37*41))*BB37-((EU37*41))*BS37)+AE37*BS37)*AV37)</f>
        <v>683.47</v>
      </c>
      <c r="CS37">
        <f t="shared" si="46"/>
        <v>399.75</v>
      </c>
      <c r="CT37">
        <f t="shared" si="47"/>
        <v>0</v>
      </c>
      <c r="CU37">
        <f t="shared" si="48"/>
        <v>0</v>
      </c>
      <c r="CV37">
        <f t="shared" si="49"/>
        <v>0</v>
      </c>
      <c r="CW37">
        <f t="shared" si="50"/>
        <v>0</v>
      </c>
      <c r="CX37">
        <f t="shared" si="51"/>
        <v>0</v>
      </c>
      <c r="CY37">
        <f t="shared" si="52"/>
        <v>0</v>
      </c>
      <c r="CZ37">
        <f t="shared" si="53"/>
        <v>0</v>
      </c>
      <c r="DC37" t="s">
        <v>3</v>
      </c>
      <c r="DD37" t="s">
        <v>57</v>
      </c>
      <c r="DE37" t="s">
        <v>57</v>
      </c>
      <c r="DF37" t="s">
        <v>57</v>
      </c>
      <c r="DG37" t="s">
        <v>57</v>
      </c>
      <c r="DH37" t="s">
        <v>3</v>
      </c>
      <c r="DI37" t="s">
        <v>57</v>
      </c>
      <c r="DJ37" t="s">
        <v>57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1007</v>
      </c>
      <c r="DV37" t="s">
        <v>50</v>
      </c>
      <c r="DW37" t="s">
        <v>50</v>
      </c>
      <c r="DX37">
        <v>1</v>
      </c>
      <c r="EE37">
        <v>48810628</v>
      </c>
      <c r="EF37">
        <v>1</v>
      </c>
      <c r="EG37" t="s">
        <v>30</v>
      </c>
      <c r="EH37">
        <v>0</v>
      </c>
      <c r="EI37" t="s">
        <v>3</v>
      </c>
      <c r="EJ37">
        <v>4</v>
      </c>
      <c r="EK37">
        <v>1</v>
      </c>
      <c r="EL37" t="s">
        <v>52</v>
      </c>
      <c r="EM37" t="s">
        <v>32</v>
      </c>
      <c r="EO37" t="s">
        <v>3</v>
      </c>
      <c r="EQ37">
        <v>131072</v>
      </c>
      <c r="ER37">
        <v>16.670000000000002</v>
      </c>
      <c r="ES37">
        <v>0</v>
      </c>
      <c r="ET37">
        <v>16.670000000000002</v>
      </c>
      <c r="EU37">
        <v>9.75</v>
      </c>
      <c r="EV37">
        <v>0</v>
      </c>
      <c r="EW37">
        <v>0</v>
      </c>
      <c r="EX37">
        <v>0</v>
      </c>
      <c r="EY37">
        <v>0</v>
      </c>
      <c r="FQ37">
        <v>0</v>
      </c>
      <c r="FR37">
        <f t="shared" si="54"/>
        <v>0</v>
      </c>
      <c r="FS37">
        <v>0</v>
      </c>
      <c r="FX37">
        <v>0</v>
      </c>
      <c r="FY37">
        <v>0</v>
      </c>
      <c r="GA37" t="s">
        <v>3</v>
      </c>
      <c r="GD37">
        <v>1</v>
      </c>
      <c r="GF37">
        <v>-1930558556</v>
      </c>
      <c r="GG37">
        <v>2</v>
      </c>
      <c r="GH37">
        <v>1</v>
      </c>
      <c r="GI37">
        <v>-2</v>
      </c>
      <c r="GJ37">
        <v>0</v>
      </c>
      <c r="GK37">
        <v>0</v>
      </c>
      <c r="GL37">
        <f t="shared" si="55"/>
        <v>0</v>
      </c>
      <c r="GM37">
        <f>ROUND(O37+X37+Y37,2)+GX37</f>
        <v>140658.13</v>
      </c>
      <c r="GN37">
        <f>IF(OR(BI37=0,BI37=1),ROUND(O37+X37+Y37,2),0)</f>
        <v>0</v>
      </c>
      <c r="GO37">
        <f>IF(BI37=2,ROUND(O37+X37+Y37,2),0)</f>
        <v>0</v>
      </c>
      <c r="GP37">
        <f>IF(BI37=4,ROUND(O37+X37+Y37,2)+GX37,0)</f>
        <v>140658.13</v>
      </c>
      <c r="GR37">
        <v>0</v>
      </c>
      <c r="GS37">
        <v>3</v>
      </c>
      <c r="GT37">
        <v>0</v>
      </c>
      <c r="GU37" t="s">
        <v>3</v>
      </c>
      <c r="GV37">
        <f t="shared" si="56"/>
        <v>0</v>
      </c>
      <c r="GW37">
        <v>1</v>
      </c>
      <c r="GX37">
        <f t="shared" si="57"/>
        <v>0</v>
      </c>
      <c r="HA37">
        <v>0</v>
      </c>
      <c r="HB37">
        <v>0</v>
      </c>
      <c r="HC37">
        <f t="shared" si="58"/>
        <v>0</v>
      </c>
      <c r="IK37">
        <v>0</v>
      </c>
    </row>
    <row r="38" spans="1:245" x14ac:dyDescent="0.2">
      <c r="A38">
        <v>17</v>
      </c>
      <c r="B38">
        <v>1</v>
      </c>
      <c r="C38">
        <f>ROW(SmtRes!A18)</f>
        <v>18</v>
      </c>
      <c r="D38">
        <f>ROW(EtalonRes!A18)</f>
        <v>18</v>
      </c>
      <c r="E38" t="s">
        <v>58</v>
      </c>
      <c r="F38" t="s">
        <v>59</v>
      </c>
      <c r="G38" t="s">
        <v>60</v>
      </c>
      <c r="H38" t="s">
        <v>61</v>
      </c>
      <c r="I38">
        <f>ROUND(49/10,9)</f>
        <v>4.9000000000000004</v>
      </c>
      <c r="J38">
        <v>0</v>
      </c>
      <c r="O38">
        <f t="shared" si="28"/>
        <v>497969.16</v>
      </c>
      <c r="P38">
        <f t="shared" si="29"/>
        <v>130530.76</v>
      </c>
      <c r="Q38">
        <f t="shared" si="30"/>
        <v>2125.96</v>
      </c>
      <c r="R38">
        <f t="shared" si="31"/>
        <v>2.11</v>
      </c>
      <c r="S38">
        <f t="shared" si="32"/>
        <v>365312.44</v>
      </c>
      <c r="T38">
        <f t="shared" si="33"/>
        <v>0</v>
      </c>
      <c r="U38">
        <f t="shared" si="34"/>
        <v>1780.7090000000003</v>
      </c>
      <c r="V38">
        <f t="shared" si="35"/>
        <v>0</v>
      </c>
      <c r="W38">
        <f t="shared" si="36"/>
        <v>0</v>
      </c>
      <c r="X38">
        <f t="shared" si="37"/>
        <v>255718.71</v>
      </c>
      <c r="Y38">
        <f t="shared" si="38"/>
        <v>0</v>
      </c>
      <c r="AA38">
        <v>53202630</v>
      </c>
      <c r="AB38">
        <f t="shared" si="39"/>
        <v>101626.36</v>
      </c>
      <c r="AC38">
        <f>ROUND((ES38),6)</f>
        <v>26638.93</v>
      </c>
      <c r="AD38">
        <f>ROUND((((ET38)-(EU38))+AE38),6)</f>
        <v>433.87</v>
      </c>
      <c r="AE38">
        <f t="shared" ref="AE38:AF40" si="59">ROUND((EU38),6)</f>
        <v>0.43</v>
      </c>
      <c r="AF38">
        <f t="shared" si="59"/>
        <v>74553.56</v>
      </c>
      <c r="AG38">
        <f t="shared" si="41"/>
        <v>0</v>
      </c>
      <c r="AH38">
        <f t="shared" ref="AH38:AI40" si="60">(EW38)</f>
        <v>363.41</v>
      </c>
      <c r="AI38">
        <f t="shared" si="60"/>
        <v>0</v>
      </c>
      <c r="AJ38">
        <f t="shared" si="43"/>
        <v>0</v>
      </c>
      <c r="AK38">
        <v>101626.36</v>
      </c>
      <c r="AL38">
        <v>26638.93</v>
      </c>
      <c r="AM38">
        <v>433.87</v>
      </c>
      <c r="AN38">
        <v>0.43</v>
      </c>
      <c r="AO38">
        <v>74553.56</v>
      </c>
      <c r="AP38">
        <v>0</v>
      </c>
      <c r="AQ38">
        <v>363.41</v>
      </c>
      <c r="AR38">
        <v>0</v>
      </c>
      <c r="AS38">
        <v>0</v>
      </c>
      <c r="AT38">
        <v>70</v>
      </c>
      <c r="AU38">
        <v>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62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44"/>
        <v>497969.16000000003</v>
      </c>
      <c r="CQ38">
        <f t="shared" si="45"/>
        <v>26638.93</v>
      </c>
      <c r="CR38">
        <f>((((ET38)*BB38-(EU38)*BS38)+AE38*BS38)*AV38)</f>
        <v>433.87</v>
      </c>
      <c r="CS38">
        <f t="shared" si="46"/>
        <v>0.43</v>
      </c>
      <c r="CT38">
        <f t="shared" si="47"/>
        <v>74553.56</v>
      </c>
      <c r="CU38">
        <f t="shared" si="48"/>
        <v>0</v>
      </c>
      <c r="CV38">
        <f t="shared" si="49"/>
        <v>363.41</v>
      </c>
      <c r="CW38">
        <f t="shared" si="50"/>
        <v>0</v>
      </c>
      <c r="CX38">
        <f t="shared" si="51"/>
        <v>0</v>
      </c>
      <c r="CY38">
        <f t="shared" si="52"/>
        <v>255718.70800000001</v>
      </c>
      <c r="CZ38">
        <f t="shared" si="53"/>
        <v>0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1010</v>
      </c>
      <c r="DV38" t="s">
        <v>61</v>
      </c>
      <c r="DW38" t="s">
        <v>61</v>
      </c>
      <c r="DX38">
        <v>10</v>
      </c>
      <c r="EE38">
        <v>48810626</v>
      </c>
      <c r="EF38">
        <v>1</v>
      </c>
      <c r="EG38" t="s">
        <v>30</v>
      </c>
      <c r="EH38">
        <v>0</v>
      </c>
      <c r="EI38" t="s">
        <v>3</v>
      </c>
      <c r="EJ38">
        <v>4</v>
      </c>
      <c r="EK38">
        <v>0</v>
      </c>
      <c r="EL38" t="s">
        <v>31</v>
      </c>
      <c r="EM38" t="s">
        <v>32</v>
      </c>
      <c r="EO38" t="s">
        <v>3</v>
      </c>
      <c r="EQ38">
        <v>131072</v>
      </c>
      <c r="ER38">
        <v>101626.36</v>
      </c>
      <c r="ES38">
        <v>26638.93</v>
      </c>
      <c r="ET38">
        <v>433.87</v>
      </c>
      <c r="EU38">
        <v>0.43</v>
      </c>
      <c r="EV38">
        <v>74553.56</v>
      </c>
      <c r="EW38">
        <v>363.41</v>
      </c>
      <c r="EX38">
        <v>0</v>
      </c>
      <c r="EY38">
        <v>0</v>
      </c>
      <c r="FQ38">
        <v>0</v>
      </c>
      <c r="FR38">
        <f t="shared" si="54"/>
        <v>0</v>
      </c>
      <c r="FS38">
        <v>0</v>
      </c>
      <c r="FX38">
        <v>70</v>
      </c>
      <c r="FY38">
        <v>0</v>
      </c>
      <c r="GA38" t="s">
        <v>3</v>
      </c>
      <c r="GD38">
        <v>0</v>
      </c>
      <c r="GF38">
        <v>-849514718</v>
      </c>
      <c r="GG38">
        <v>2</v>
      </c>
      <c r="GH38">
        <v>1</v>
      </c>
      <c r="GI38">
        <v>-2</v>
      </c>
      <c r="GJ38">
        <v>0</v>
      </c>
      <c r="GK38">
        <f>ROUND(R38*(R12)/100,2)</f>
        <v>1.65</v>
      </c>
      <c r="GL38">
        <f t="shared" si="55"/>
        <v>0</v>
      </c>
      <c r="GM38">
        <f>ROUND(O38+X38+Y38+GK38,2)+GX38</f>
        <v>753689.52</v>
      </c>
      <c r="GN38">
        <f>IF(OR(BI38=0,BI38=1),ROUND(O38+X38+Y38+GK38,2),0)</f>
        <v>0</v>
      </c>
      <c r="GO38">
        <f>IF(BI38=2,ROUND(O38+X38+Y38+GK38,2),0)</f>
        <v>0</v>
      </c>
      <c r="GP38">
        <f>IF(BI38=4,ROUND(O38+X38+Y38+GK38,2)+GX38,0)</f>
        <v>753689.52</v>
      </c>
      <c r="GR38">
        <v>0</v>
      </c>
      <c r="GS38">
        <v>3</v>
      </c>
      <c r="GT38">
        <v>0</v>
      </c>
      <c r="GU38" t="s">
        <v>3</v>
      </c>
      <c r="GV38">
        <f t="shared" si="56"/>
        <v>0</v>
      </c>
      <c r="GW38">
        <v>1</v>
      </c>
      <c r="GX38">
        <f t="shared" si="57"/>
        <v>0</v>
      </c>
      <c r="HA38">
        <v>0</v>
      </c>
      <c r="HB38">
        <v>0</v>
      </c>
      <c r="HC38">
        <f t="shared" si="58"/>
        <v>0</v>
      </c>
      <c r="IK38">
        <v>0</v>
      </c>
    </row>
    <row r="39" spans="1:245" x14ac:dyDescent="0.2">
      <c r="A39">
        <v>17</v>
      </c>
      <c r="B39">
        <v>1</v>
      </c>
      <c r="C39">
        <f>ROW(SmtRes!A25)</f>
        <v>25</v>
      </c>
      <c r="D39">
        <f>ROW(EtalonRes!A25)</f>
        <v>25</v>
      </c>
      <c r="E39" t="s">
        <v>63</v>
      </c>
      <c r="F39" t="s">
        <v>64</v>
      </c>
      <c r="G39" t="s">
        <v>65</v>
      </c>
      <c r="H39" t="s">
        <v>61</v>
      </c>
      <c r="I39">
        <f>ROUND(49/10,9)</f>
        <v>4.9000000000000004</v>
      </c>
      <c r="J39">
        <v>0</v>
      </c>
      <c r="O39">
        <f t="shared" si="28"/>
        <v>143652.71</v>
      </c>
      <c r="P39">
        <f t="shared" si="29"/>
        <v>6920.12</v>
      </c>
      <c r="Q39">
        <f t="shared" si="30"/>
        <v>30834.52</v>
      </c>
      <c r="R39">
        <f t="shared" si="31"/>
        <v>6928.11</v>
      </c>
      <c r="S39">
        <f t="shared" si="32"/>
        <v>105898.07</v>
      </c>
      <c r="T39">
        <f t="shared" si="33"/>
        <v>0</v>
      </c>
      <c r="U39">
        <f t="shared" si="34"/>
        <v>468.24400000000003</v>
      </c>
      <c r="V39">
        <f t="shared" si="35"/>
        <v>0</v>
      </c>
      <c r="W39">
        <f t="shared" si="36"/>
        <v>0</v>
      </c>
      <c r="X39">
        <f t="shared" si="37"/>
        <v>74128.649999999994</v>
      </c>
      <c r="Y39">
        <f t="shared" si="38"/>
        <v>0</v>
      </c>
      <c r="AA39">
        <v>53202630</v>
      </c>
      <c r="AB39">
        <f t="shared" si="39"/>
        <v>29316.880000000001</v>
      </c>
      <c r="AC39">
        <f>ROUND((ES39),6)</f>
        <v>1412.27</v>
      </c>
      <c r="AD39">
        <f>ROUND((((ET39)-(EU39))+AE39),6)</f>
        <v>6292.76</v>
      </c>
      <c r="AE39">
        <f t="shared" si="59"/>
        <v>1413.9</v>
      </c>
      <c r="AF39">
        <f t="shared" si="59"/>
        <v>21611.85</v>
      </c>
      <c r="AG39">
        <f t="shared" si="41"/>
        <v>0</v>
      </c>
      <c r="AH39">
        <f t="shared" si="60"/>
        <v>95.56</v>
      </c>
      <c r="AI39">
        <f t="shared" si="60"/>
        <v>0</v>
      </c>
      <c r="AJ39">
        <f t="shared" si="43"/>
        <v>0</v>
      </c>
      <c r="AK39">
        <v>29316.880000000001</v>
      </c>
      <c r="AL39">
        <v>1412.27</v>
      </c>
      <c r="AM39">
        <v>6292.76</v>
      </c>
      <c r="AN39">
        <v>1413.9</v>
      </c>
      <c r="AO39">
        <v>21611.85</v>
      </c>
      <c r="AP39">
        <v>0</v>
      </c>
      <c r="AQ39">
        <v>95.56</v>
      </c>
      <c r="AR39">
        <v>0</v>
      </c>
      <c r="AS39">
        <v>0</v>
      </c>
      <c r="AT39">
        <v>70</v>
      </c>
      <c r="AU39">
        <v>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4</v>
      </c>
      <c r="BJ39" t="s">
        <v>66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44"/>
        <v>143652.71000000002</v>
      </c>
      <c r="CQ39">
        <f t="shared" si="45"/>
        <v>1412.27</v>
      </c>
      <c r="CR39">
        <f>((((ET39)*BB39-(EU39)*BS39)+AE39*BS39)*AV39)</f>
        <v>6292.76</v>
      </c>
      <c r="CS39">
        <f t="shared" si="46"/>
        <v>1413.9</v>
      </c>
      <c r="CT39">
        <f t="shared" si="47"/>
        <v>21611.85</v>
      </c>
      <c r="CU39">
        <f t="shared" si="48"/>
        <v>0</v>
      </c>
      <c r="CV39">
        <f t="shared" si="49"/>
        <v>95.56</v>
      </c>
      <c r="CW39">
        <f t="shared" si="50"/>
        <v>0</v>
      </c>
      <c r="CX39">
        <f t="shared" si="51"/>
        <v>0</v>
      </c>
      <c r="CY39">
        <f t="shared" si="52"/>
        <v>74128.649000000005</v>
      </c>
      <c r="CZ39">
        <f t="shared" si="53"/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1010</v>
      </c>
      <c r="DV39" t="s">
        <v>61</v>
      </c>
      <c r="DW39" t="s">
        <v>61</v>
      </c>
      <c r="DX39">
        <v>10</v>
      </c>
      <c r="EE39">
        <v>48810626</v>
      </c>
      <c r="EF39">
        <v>1</v>
      </c>
      <c r="EG39" t="s">
        <v>30</v>
      </c>
      <c r="EH39">
        <v>0</v>
      </c>
      <c r="EI39" t="s">
        <v>3</v>
      </c>
      <c r="EJ39">
        <v>4</v>
      </c>
      <c r="EK39">
        <v>0</v>
      </c>
      <c r="EL39" t="s">
        <v>31</v>
      </c>
      <c r="EM39" t="s">
        <v>32</v>
      </c>
      <c r="EO39" t="s">
        <v>3</v>
      </c>
      <c r="EQ39">
        <v>131072</v>
      </c>
      <c r="ER39">
        <v>29316.880000000001</v>
      </c>
      <c r="ES39">
        <v>1412.27</v>
      </c>
      <c r="ET39">
        <v>6292.76</v>
      </c>
      <c r="EU39">
        <v>1413.9</v>
      </c>
      <c r="EV39">
        <v>21611.85</v>
      </c>
      <c r="EW39">
        <v>95.56</v>
      </c>
      <c r="EX39">
        <v>0</v>
      </c>
      <c r="EY39">
        <v>0</v>
      </c>
      <c r="FQ39">
        <v>0</v>
      </c>
      <c r="FR39">
        <f t="shared" si="54"/>
        <v>0</v>
      </c>
      <c r="FS39">
        <v>0</v>
      </c>
      <c r="FX39">
        <v>70</v>
      </c>
      <c r="FY39">
        <v>0</v>
      </c>
      <c r="GA39" t="s">
        <v>3</v>
      </c>
      <c r="GD39">
        <v>0</v>
      </c>
      <c r="GF39">
        <v>-1200473938</v>
      </c>
      <c r="GG39">
        <v>2</v>
      </c>
      <c r="GH39">
        <v>1</v>
      </c>
      <c r="GI39">
        <v>-2</v>
      </c>
      <c r="GJ39">
        <v>0</v>
      </c>
      <c r="GK39">
        <f>ROUND(R39*(R12)/100,2)</f>
        <v>5403.93</v>
      </c>
      <c r="GL39">
        <f t="shared" si="55"/>
        <v>0</v>
      </c>
      <c r="GM39">
        <f>ROUND(O39+X39+Y39+GK39,2)+GX39</f>
        <v>223185.29</v>
      </c>
      <c r="GN39">
        <f>IF(OR(BI39=0,BI39=1),ROUND(O39+X39+Y39+GK39,2),0)</f>
        <v>0</v>
      </c>
      <c r="GO39">
        <f>IF(BI39=2,ROUND(O39+X39+Y39+GK39,2),0)</f>
        <v>0</v>
      </c>
      <c r="GP39">
        <f>IF(BI39=4,ROUND(O39+X39+Y39+GK39,2)+GX39,0)</f>
        <v>223185.29</v>
      </c>
      <c r="GR39">
        <v>0</v>
      </c>
      <c r="GS39">
        <v>3</v>
      </c>
      <c r="GT39">
        <v>0</v>
      </c>
      <c r="GU39" t="s">
        <v>3</v>
      </c>
      <c r="GV39">
        <f t="shared" si="56"/>
        <v>0</v>
      </c>
      <c r="GW39">
        <v>1</v>
      </c>
      <c r="GX39">
        <f t="shared" si="57"/>
        <v>0</v>
      </c>
      <c r="HA39">
        <v>0</v>
      </c>
      <c r="HB39">
        <v>0</v>
      </c>
      <c r="HC39">
        <f t="shared" si="58"/>
        <v>0</v>
      </c>
      <c r="IK39">
        <v>0</v>
      </c>
    </row>
    <row r="40" spans="1:245" x14ac:dyDescent="0.2">
      <c r="A40">
        <v>18</v>
      </c>
      <c r="B40">
        <v>1</v>
      </c>
      <c r="C40">
        <v>24</v>
      </c>
      <c r="E40" t="s">
        <v>67</v>
      </c>
      <c r="F40" t="s">
        <v>68</v>
      </c>
      <c r="G40" t="s">
        <v>69</v>
      </c>
      <c r="H40" t="s">
        <v>70</v>
      </c>
      <c r="I40">
        <f>I39*J40</f>
        <v>49</v>
      </c>
      <c r="J40">
        <v>10</v>
      </c>
      <c r="O40">
        <f t="shared" si="28"/>
        <v>578869.82999999996</v>
      </c>
      <c r="P40">
        <f t="shared" si="29"/>
        <v>578869.82999999996</v>
      </c>
      <c r="Q40">
        <f t="shared" si="30"/>
        <v>0</v>
      </c>
      <c r="R40">
        <f t="shared" si="31"/>
        <v>0</v>
      </c>
      <c r="S40">
        <f t="shared" si="32"/>
        <v>0</v>
      </c>
      <c r="T40">
        <f t="shared" si="33"/>
        <v>0</v>
      </c>
      <c r="U40">
        <f t="shared" si="34"/>
        <v>0</v>
      </c>
      <c r="V40">
        <f t="shared" si="35"/>
        <v>0</v>
      </c>
      <c r="W40">
        <f t="shared" si="36"/>
        <v>0</v>
      </c>
      <c r="X40">
        <f t="shared" si="37"/>
        <v>0</v>
      </c>
      <c r="Y40">
        <f t="shared" si="38"/>
        <v>0</v>
      </c>
      <c r="AA40">
        <v>53202630</v>
      </c>
      <c r="AB40">
        <f t="shared" si="39"/>
        <v>11813.67</v>
      </c>
      <c r="AC40">
        <f>ROUND((ES40),6)</f>
        <v>11813.67</v>
      </c>
      <c r="AD40">
        <f>ROUND((((ET40)-(EU40))+AE40),6)</f>
        <v>0</v>
      </c>
      <c r="AE40">
        <f t="shared" si="59"/>
        <v>0</v>
      </c>
      <c r="AF40">
        <f t="shared" si="59"/>
        <v>0</v>
      </c>
      <c r="AG40">
        <f t="shared" si="41"/>
        <v>0</v>
      </c>
      <c r="AH40">
        <f t="shared" si="60"/>
        <v>0</v>
      </c>
      <c r="AI40">
        <f t="shared" si="60"/>
        <v>0</v>
      </c>
      <c r="AJ40">
        <f t="shared" si="43"/>
        <v>0</v>
      </c>
      <c r="AK40">
        <v>11813.67</v>
      </c>
      <c r="AL40">
        <v>11813.67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3</v>
      </c>
      <c r="BI40">
        <v>4</v>
      </c>
      <c r="BJ40" t="s">
        <v>71</v>
      </c>
      <c r="BM40">
        <v>0</v>
      </c>
      <c r="BN40">
        <v>0</v>
      </c>
      <c r="BO40" t="s">
        <v>3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44"/>
        <v>578869.82999999996</v>
      </c>
      <c r="CQ40">
        <f t="shared" si="45"/>
        <v>11813.67</v>
      </c>
      <c r="CR40">
        <f>((((ET40)*BB40-(EU40)*BS40)+AE40*BS40)*AV40)</f>
        <v>0</v>
      </c>
      <c r="CS40">
        <f t="shared" si="46"/>
        <v>0</v>
      </c>
      <c r="CT40">
        <f t="shared" si="47"/>
        <v>0</v>
      </c>
      <c r="CU40">
        <f t="shared" si="48"/>
        <v>0</v>
      </c>
      <c r="CV40">
        <f t="shared" si="49"/>
        <v>0</v>
      </c>
      <c r="CW40">
        <f t="shared" si="50"/>
        <v>0</v>
      </c>
      <c r="CX40">
        <f t="shared" si="51"/>
        <v>0</v>
      </c>
      <c r="CY40">
        <f t="shared" si="52"/>
        <v>0</v>
      </c>
      <c r="CZ40">
        <f t="shared" si="53"/>
        <v>0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1010</v>
      </c>
      <c r="DV40" t="s">
        <v>70</v>
      </c>
      <c r="DW40" t="s">
        <v>70</v>
      </c>
      <c r="DX40">
        <v>1</v>
      </c>
      <c r="EE40">
        <v>48810626</v>
      </c>
      <c r="EF40">
        <v>1</v>
      </c>
      <c r="EG40" t="s">
        <v>30</v>
      </c>
      <c r="EH40">
        <v>0</v>
      </c>
      <c r="EI40" t="s">
        <v>3</v>
      </c>
      <c r="EJ40">
        <v>4</v>
      </c>
      <c r="EK40">
        <v>0</v>
      </c>
      <c r="EL40" t="s">
        <v>31</v>
      </c>
      <c r="EM40" t="s">
        <v>32</v>
      </c>
      <c r="EO40" t="s">
        <v>3</v>
      </c>
      <c r="EQ40">
        <v>0</v>
      </c>
      <c r="ER40">
        <v>11813.67</v>
      </c>
      <c r="ES40">
        <v>11813.67</v>
      </c>
      <c r="ET40">
        <v>0</v>
      </c>
      <c r="EU40">
        <v>0</v>
      </c>
      <c r="EV40">
        <v>0</v>
      </c>
      <c r="EW40">
        <v>0</v>
      </c>
      <c r="EX40">
        <v>0</v>
      </c>
      <c r="FQ40">
        <v>0</v>
      </c>
      <c r="FR40">
        <f t="shared" si="54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700882888</v>
      </c>
      <c r="GG40">
        <v>2</v>
      </c>
      <c r="GH40">
        <v>1</v>
      </c>
      <c r="GI40">
        <v>-2</v>
      </c>
      <c r="GJ40">
        <v>0</v>
      </c>
      <c r="GK40">
        <f>ROUND(R40*(R12)/100,2)</f>
        <v>0</v>
      </c>
      <c r="GL40">
        <f t="shared" si="55"/>
        <v>0</v>
      </c>
      <c r="GM40">
        <f>ROUND(O40+X40+Y40+GK40,2)+GX40</f>
        <v>578869.82999999996</v>
      </c>
      <c r="GN40">
        <f>IF(OR(BI40=0,BI40=1),ROUND(O40+X40+Y40+GK40,2),0)</f>
        <v>0</v>
      </c>
      <c r="GO40">
        <f>IF(BI40=2,ROUND(O40+X40+Y40+GK40,2),0)</f>
        <v>0</v>
      </c>
      <c r="GP40">
        <f>IF(BI40=4,ROUND(O40+X40+Y40+GK40,2)+GX40,0)</f>
        <v>578869.82999999996</v>
      </c>
      <c r="GR40">
        <v>0</v>
      </c>
      <c r="GS40">
        <v>3</v>
      </c>
      <c r="GT40">
        <v>0</v>
      </c>
      <c r="GU40" t="s">
        <v>3</v>
      </c>
      <c r="GV40">
        <f t="shared" si="56"/>
        <v>0</v>
      </c>
      <c r="GW40">
        <v>1</v>
      </c>
      <c r="GX40">
        <f t="shared" si="57"/>
        <v>0</v>
      </c>
      <c r="HA40">
        <v>0</v>
      </c>
      <c r="HB40">
        <v>0</v>
      </c>
      <c r="HC40">
        <f t="shared" si="58"/>
        <v>0</v>
      </c>
      <c r="IK40">
        <v>0</v>
      </c>
    </row>
    <row r="42" spans="1:245" x14ac:dyDescent="0.2">
      <c r="A42" s="2">
        <v>51</v>
      </c>
      <c r="B42" s="2">
        <f>B28</f>
        <v>1</v>
      </c>
      <c r="C42" s="2">
        <f>A28</f>
        <v>5</v>
      </c>
      <c r="D42" s="2">
        <f>ROW(A28)</f>
        <v>28</v>
      </c>
      <c r="E42" s="2"/>
      <c r="F42" s="2" t="str">
        <f>IF(F28&lt;&gt;"",F28,"")</f>
        <v>Новый подраздел</v>
      </c>
      <c r="G42" s="2" t="str">
        <f>IF(G28&lt;&gt;"",G28,"")</f>
        <v>Посадка деревьев</v>
      </c>
      <c r="H42" s="2">
        <v>0</v>
      </c>
      <c r="I42" s="2"/>
      <c r="J42" s="2"/>
      <c r="K42" s="2"/>
      <c r="L42" s="2"/>
      <c r="M42" s="2"/>
      <c r="N42" s="2"/>
      <c r="O42" s="2">
        <f t="shared" ref="O42:T42" si="61">ROUND(AB42,2)</f>
        <v>1674944.73</v>
      </c>
      <c r="P42" s="2">
        <f t="shared" si="61"/>
        <v>874341.15</v>
      </c>
      <c r="Q42" s="2">
        <f t="shared" si="61"/>
        <v>211114.87</v>
      </c>
      <c r="R42" s="2">
        <f t="shared" si="61"/>
        <v>106863.06</v>
      </c>
      <c r="S42" s="2">
        <f t="shared" si="61"/>
        <v>589488.71</v>
      </c>
      <c r="T42" s="2">
        <f t="shared" si="61"/>
        <v>0</v>
      </c>
      <c r="U42" s="2">
        <f>AH42</f>
        <v>2943.3320000000003</v>
      </c>
      <c r="V42" s="2">
        <f>AI42</f>
        <v>0</v>
      </c>
      <c r="W42" s="2">
        <f>ROUND(AJ42,2)</f>
        <v>0</v>
      </c>
      <c r="X42" s="2">
        <f>ROUND(AK42,2)</f>
        <v>412642.1</v>
      </c>
      <c r="Y42" s="2">
        <f>ROUND(AL42,2)</f>
        <v>0</v>
      </c>
      <c r="Z42" s="2"/>
      <c r="AA42" s="2"/>
      <c r="AB42" s="2">
        <f>ROUND(SUMIF(AA32:AA40,"=53202630",O32:O40),2)</f>
        <v>1674944.73</v>
      </c>
      <c r="AC42" s="2">
        <f>ROUND(SUMIF(AA32:AA40,"=53202630",P32:P40),2)</f>
        <v>874341.15</v>
      </c>
      <c r="AD42" s="2">
        <f>ROUND(SUMIF(AA32:AA40,"=53202630",Q32:Q40),2)</f>
        <v>211114.87</v>
      </c>
      <c r="AE42" s="2">
        <f>ROUND(SUMIF(AA32:AA40,"=53202630",R32:R40),2)</f>
        <v>106863.06</v>
      </c>
      <c r="AF42" s="2">
        <f>ROUND(SUMIF(AA32:AA40,"=53202630",S32:S40),2)</f>
        <v>589488.71</v>
      </c>
      <c r="AG42" s="2">
        <f>ROUND(SUMIF(AA32:AA40,"=53202630",T32:T40),2)</f>
        <v>0</v>
      </c>
      <c r="AH42" s="2">
        <f>SUMIF(AA32:AA40,"=53202630",U32:U40)</f>
        <v>2943.3320000000003</v>
      </c>
      <c r="AI42" s="2">
        <f>SUMIF(AA32:AA40,"=53202630",V32:V40)</f>
        <v>0</v>
      </c>
      <c r="AJ42" s="2">
        <f>ROUND(SUMIF(AA32:AA40,"=53202630",W32:W40),2)</f>
        <v>0</v>
      </c>
      <c r="AK42" s="2">
        <f>ROUND(SUMIF(AA32:AA40,"=53202630",X32:X40),2)</f>
        <v>412642.1</v>
      </c>
      <c r="AL42" s="2">
        <f>ROUND(SUMIF(AA32:AA40,"=53202630",Y32:Y40),2)</f>
        <v>0</v>
      </c>
      <c r="AM42" s="2"/>
      <c r="AN42" s="2"/>
      <c r="AO42" s="2">
        <f t="shared" ref="AO42:BC42" si="62">ROUND(BX42,2)</f>
        <v>0</v>
      </c>
      <c r="AP42" s="2">
        <f t="shared" si="62"/>
        <v>0</v>
      </c>
      <c r="AQ42" s="2">
        <f t="shared" si="62"/>
        <v>0</v>
      </c>
      <c r="AR42" s="2">
        <f t="shared" si="62"/>
        <v>2101919.52</v>
      </c>
      <c r="AS42" s="2">
        <f t="shared" si="62"/>
        <v>0</v>
      </c>
      <c r="AT42" s="2">
        <f t="shared" si="62"/>
        <v>0</v>
      </c>
      <c r="AU42" s="2">
        <f t="shared" si="62"/>
        <v>2101919.52</v>
      </c>
      <c r="AV42" s="2">
        <f t="shared" si="62"/>
        <v>874341.15</v>
      </c>
      <c r="AW42" s="2">
        <f t="shared" si="62"/>
        <v>874341.15</v>
      </c>
      <c r="AX42" s="2">
        <f t="shared" si="62"/>
        <v>0</v>
      </c>
      <c r="AY42" s="2">
        <f t="shared" si="62"/>
        <v>874341.15</v>
      </c>
      <c r="AZ42" s="2">
        <f t="shared" si="62"/>
        <v>0</v>
      </c>
      <c r="BA42" s="2">
        <f t="shared" si="62"/>
        <v>0</v>
      </c>
      <c r="BB42" s="2">
        <f t="shared" si="62"/>
        <v>0</v>
      </c>
      <c r="BC42" s="2">
        <f t="shared" si="62"/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>
        <f>ROUND(SUMIF(AA32:AA40,"=53202630",FQ32:FQ40),2)</f>
        <v>0</v>
      </c>
      <c r="BY42" s="2">
        <f>ROUND(SUMIF(AA32:AA40,"=53202630",FR32:FR40),2)</f>
        <v>0</v>
      </c>
      <c r="BZ42" s="2">
        <f>ROUND(SUMIF(AA32:AA40,"=53202630",GL32:GL40),2)</f>
        <v>0</v>
      </c>
      <c r="CA42" s="2">
        <f>ROUND(SUMIF(AA32:AA40,"=53202630",GM32:GM40),2)</f>
        <v>2101919.52</v>
      </c>
      <c r="CB42" s="2">
        <f>ROUND(SUMIF(AA32:AA40,"=53202630",GN32:GN40),2)</f>
        <v>0</v>
      </c>
      <c r="CC42" s="2">
        <f>ROUND(SUMIF(AA32:AA40,"=53202630",GO32:GO40),2)</f>
        <v>0</v>
      </c>
      <c r="CD42" s="2">
        <f>ROUND(SUMIF(AA32:AA40,"=53202630",GP32:GP40),2)</f>
        <v>2101919.52</v>
      </c>
      <c r="CE42" s="2">
        <f>AC42-BX42</f>
        <v>874341.15</v>
      </c>
      <c r="CF42" s="2">
        <f>AC42-BY42</f>
        <v>874341.15</v>
      </c>
      <c r="CG42" s="2">
        <f>BX42-BZ42</f>
        <v>0</v>
      </c>
      <c r="CH42" s="2">
        <f>AC42-BX42-BY42+BZ42</f>
        <v>874341.15</v>
      </c>
      <c r="CI42" s="2">
        <f>BY42-BZ42</f>
        <v>0</v>
      </c>
      <c r="CJ42" s="2">
        <f>ROUND(SUMIF(AA32:AA40,"=53202630",GX32:GX40),2)</f>
        <v>0</v>
      </c>
      <c r="CK42" s="2">
        <f>ROUND(SUMIF(AA32:AA40,"=53202630",GY32:GY40),2)</f>
        <v>0</v>
      </c>
      <c r="CL42" s="2">
        <f>ROUND(SUMIF(AA32:AA40,"=53202630",GZ32:GZ40),2)</f>
        <v>0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>
        <v>0</v>
      </c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201</v>
      </c>
      <c r="F44" s="4">
        <f>ROUND(Source!O42,O44)</f>
        <v>1674944.73</v>
      </c>
      <c r="G44" s="4" t="s">
        <v>72</v>
      </c>
      <c r="H44" s="4" t="s">
        <v>73</v>
      </c>
      <c r="I44" s="4"/>
      <c r="J44" s="4"/>
      <c r="K44" s="4">
        <v>201</v>
      </c>
      <c r="L44" s="4">
        <v>1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202</v>
      </c>
      <c r="F45" s="4">
        <f>ROUND(Source!P42,O45)</f>
        <v>874341.15</v>
      </c>
      <c r="G45" s="4" t="s">
        <v>74</v>
      </c>
      <c r="H45" s="4" t="s">
        <v>75</v>
      </c>
      <c r="I45" s="4"/>
      <c r="J45" s="4"/>
      <c r="K45" s="4">
        <v>202</v>
      </c>
      <c r="L45" s="4">
        <v>2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222</v>
      </c>
      <c r="F46" s="4">
        <f>ROUND(Source!AO42,O46)</f>
        <v>0</v>
      </c>
      <c r="G46" s="4" t="s">
        <v>76</v>
      </c>
      <c r="H46" s="4" t="s">
        <v>77</v>
      </c>
      <c r="I46" s="4"/>
      <c r="J46" s="4"/>
      <c r="K46" s="4">
        <v>222</v>
      </c>
      <c r="L46" s="4">
        <v>3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225</v>
      </c>
      <c r="F47" s="4">
        <f>ROUND(Source!AV42,O47)</f>
        <v>874341.15</v>
      </c>
      <c r="G47" s="4" t="s">
        <v>78</v>
      </c>
      <c r="H47" s="4" t="s">
        <v>79</v>
      </c>
      <c r="I47" s="4"/>
      <c r="J47" s="4"/>
      <c r="K47" s="4">
        <v>225</v>
      </c>
      <c r="L47" s="4">
        <v>4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226</v>
      </c>
      <c r="F48" s="4">
        <f>ROUND(Source!AW42,O48)</f>
        <v>874341.15</v>
      </c>
      <c r="G48" s="4" t="s">
        <v>80</v>
      </c>
      <c r="H48" s="4" t="s">
        <v>81</v>
      </c>
      <c r="I48" s="4"/>
      <c r="J48" s="4"/>
      <c r="K48" s="4">
        <v>226</v>
      </c>
      <c r="L48" s="4">
        <v>5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227</v>
      </c>
      <c r="F49" s="4">
        <f>ROUND(Source!AX42,O49)</f>
        <v>0</v>
      </c>
      <c r="G49" s="4" t="s">
        <v>82</v>
      </c>
      <c r="H49" s="4" t="s">
        <v>83</v>
      </c>
      <c r="I49" s="4"/>
      <c r="J49" s="4"/>
      <c r="K49" s="4">
        <v>227</v>
      </c>
      <c r="L49" s="4">
        <v>6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228</v>
      </c>
      <c r="F50" s="4">
        <f>ROUND(Source!AY42,O50)</f>
        <v>874341.15</v>
      </c>
      <c r="G50" s="4" t="s">
        <v>84</v>
      </c>
      <c r="H50" s="4" t="s">
        <v>85</v>
      </c>
      <c r="I50" s="4"/>
      <c r="J50" s="4"/>
      <c r="K50" s="4">
        <v>228</v>
      </c>
      <c r="L50" s="4">
        <v>7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216</v>
      </c>
      <c r="F51" s="4">
        <f>ROUND(Source!AP42,O51)</f>
        <v>0</v>
      </c>
      <c r="G51" s="4" t="s">
        <v>86</v>
      </c>
      <c r="H51" s="4" t="s">
        <v>87</v>
      </c>
      <c r="I51" s="4"/>
      <c r="J51" s="4"/>
      <c r="K51" s="4">
        <v>216</v>
      </c>
      <c r="L51" s="4">
        <v>8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223</v>
      </c>
      <c r="F52" s="4">
        <f>ROUND(Source!AQ42,O52)</f>
        <v>0</v>
      </c>
      <c r="G52" s="4" t="s">
        <v>88</v>
      </c>
      <c r="H52" s="4" t="s">
        <v>89</v>
      </c>
      <c r="I52" s="4"/>
      <c r="J52" s="4"/>
      <c r="K52" s="4">
        <v>223</v>
      </c>
      <c r="L52" s="4">
        <v>9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229</v>
      </c>
      <c r="F53" s="4">
        <f>ROUND(Source!AZ42,O53)</f>
        <v>0</v>
      </c>
      <c r="G53" s="4" t="s">
        <v>90</v>
      </c>
      <c r="H53" s="4" t="s">
        <v>91</v>
      </c>
      <c r="I53" s="4"/>
      <c r="J53" s="4"/>
      <c r="K53" s="4">
        <v>229</v>
      </c>
      <c r="L53" s="4">
        <v>10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203</v>
      </c>
      <c r="F54" s="4">
        <f>ROUND(Source!Q42,O54)</f>
        <v>211114.87</v>
      </c>
      <c r="G54" s="4" t="s">
        <v>92</v>
      </c>
      <c r="H54" s="4" t="s">
        <v>93</v>
      </c>
      <c r="I54" s="4"/>
      <c r="J54" s="4"/>
      <c r="K54" s="4">
        <v>203</v>
      </c>
      <c r="L54" s="4">
        <v>11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231</v>
      </c>
      <c r="F55" s="4">
        <f>ROUND(Source!BB42,O55)</f>
        <v>0</v>
      </c>
      <c r="G55" s="4" t="s">
        <v>94</v>
      </c>
      <c r="H55" s="4" t="s">
        <v>95</v>
      </c>
      <c r="I55" s="4"/>
      <c r="J55" s="4"/>
      <c r="K55" s="4">
        <v>231</v>
      </c>
      <c r="L55" s="4">
        <v>12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204</v>
      </c>
      <c r="F56" s="4">
        <f>ROUND(Source!R42,O56)</f>
        <v>106863.06</v>
      </c>
      <c r="G56" s="4" t="s">
        <v>96</v>
      </c>
      <c r="H56" s="4" t="s">
        <v>97</v>
      </c>
      <c r="I56" s="4"/>
      <c r="J56" s="4"/>
      <c r="K56" s="4">
        <v>204</v>
      </c>
      <c r="L56" s="4">
        <v>13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205</v>
      </c>
      <c r="F57" s="4">
        <f>ROUND(Source!S42,O57)</f>
        <v>589488.71</v>
      </c>
      <c r="G57" s="4" t="s">
        <v>98</v>
      </c>
      <c r="H57" s="4" t="s">
        <v>99</v>
      </c>
      <c r="I57" s="4"/>
      <c r="J57" s="4"/>
      <c r="K57" s="4">
        <v>205</v>
      </c>
      <c r="L57" s="4">
        <v>14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232</v>
      </c>
      <c r="F58" s="4">
        <f>ROUND(Source!BC42,O58)</f>
        <v>0</v>
      </c>
      <c r="G58" s="4" t="s">
        <v>100</v>
      </c>
      <c r="H58" s="4" t="s">
        <v>101</v>
      </c>
      <c r="I58" s="4"/>
      <c r="J58" s="4"/>
      <c r="K58" s="4">
        <v>232</v>
      </c>
      <c r="L58" s="4">
        <v>15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214</v>
      </c>
      <c r="F59" s="4">
        <f>ROUND(Source!AS42,O59)</f>
        <v>0</v>
      </c>
      <c r="G59" s="4" t="s">
        <v>102</v>
      </c>
      <c r="H59" s="4" t="s">
        <v>103</v>
      </c>
      <c r="I59" s="4"/>
      <c r="J59" s="4"/>
      <c r="K59" s="4">
        <v>214</v>
      </c>
      <c r="L59" s="4">
        <v>16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215</v>
      </c>
      <c r="F60" s="4">
        <f>ROUND(Source!AT42,O60)</f>
        <v>0</v>
      </c>
      <c r="G60" s="4" t="s">
        <v>104</v>
      </c>
      <c r="H60" s="4" t="s">
        <v>105</v>
      </c>
      <c r="I60" s="4"/>
      <c r="J60" s="4"/>
      <c r="K60" s="4">
        <v>215</v>
      </c>
      <c r="L60" s="4">
        <v>17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217</v>
      </c>
      <c r="F61" s="4">
        <f>ROUND(Source!AU42,O61)</f>
        <v>2101919.52</v>
      </c>
      <c r="G61" s="4" t="s">
        <v>106</v>
      </c>
      <c r="H61" s="4" t="s">
        <v>107</v>
      </c>
      <c r="I61" s="4"/>
      <c r="J61" s="4"/>
      <c r="K61" s="4">
        <v>217</v>
      </c>
      <c r="L61" s="4">
        <v>18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230</v>
      </c>
      <c r="F62" s="4">
        <f>ROUND(Source!BA42,O62)</f>
        <v>0</v>
      </c>
      <c r="G62" s="4" t="s">
        <v>108</v>
      </c>
      <c r="H62" s="4" t="s">
        <v>109</v>
      </c>
      <c r="I62" s="4"/>
      <c r="J62" s="4"/>
      <c r="K62" s="4">
        <v>230</v>
      </c>
      <c r="L62" s="4">
        <v>19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206</v>
      </c>
      <c r="F63" s="4">
        <f>ROUND(Source!T42,O63)</f>
        <v>0</v>
      </c>
      <c r="G63" s="4" t="s">
        <v>110</v>
      </c>
      <c r="H63" s="4" t="s">
        <v>111</v>
      </c>
      <c r="I63" s="4"/>
      <c r="J63" s="4"/>
      <c r="K63" s="4">
        <v>206</v>
      </c>
      <c r="L63" s="4">
        <v>20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207</v>
      </c>
      <c r="F64" s="4">
        <f>Source!U42</f>
        <v>2943.3320000000003</v>
      </c>
      <c r="G64" s="4" t="s">
        <v>112</v>
      </c>
      <c r="H64" s="4" t="s">
        <v>113</v>
      </c>
      <c r="I64" s="4"/>
      <c r="J64" s="4"/>
      <c r="K64" s="4">
        <v>207</v>
      </c>
      <c r="L64" s="4">
        <v>21</v>
      </c>
      <c r="M64" s="4">
        <v>3</v>
      </c>
      <c r="N64" s="4" t="s">
        <v>3</v>
      </c>
      <c r="O64" s="4">
        <v>-1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208</v>
      </c>
      <c r="F65" s="4">
        <f>Source!V42</f>
        <v>0</v>
      </c>
      <c r="G65" s="4" t="s">
        <v>114</v>
      </c>
      <c r="H65" s="4" t="s">
        <v>115</v>
      </c>
      <c r="I65" s="4"/>
      <c r="J65" s="4"/>
      <c r="K65" s="4">
        <v>208</v>
      </c>
      <c r="L65" s="4">
        <v>22</v>
      </c>
      <c r="M65" s="4">
        <v>3</v>
      </c>
      <c r="N65" s="4" t="s">
        <v>3</v>
      </c>
      <c r="O65" s="4">
        <v>-1</v>
      </c>
      <c r="P65" s="4"/>
      <c r="Q65" s="4"/>
      <c r="R65" s="4"/>
      <c r="S65" s="4"/>
      <c r="T65" s="4"/>
      <c r="U65" s="4"/>
      <c r="V65" s="4"/>
      <c r="W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209</v>
      </c>
      <c r="F66" s="4">
        <f>ROUND(Source!W42,O66)</f>
        <v>0</v>
      </c>
      <c r="G66" s="4" t="s">
        <v>116</v>
      </c>
      <c r="H66" s="4" t="s">
        <v>117</v>
      </c>
      <c r="I66" s="4"/>
      <c r="J66" s="4"/>
      <c r="K66" s="4">
        <v>209</v>
      </c>
      <c r="L66" s="4">
        <v>23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210</v>
      </c>
      <c r="F67" s="4">
        <f>ROUND(Source!X42,O67)</f>
        <v>412642.1</v>
      </c>
      <c r="G67" s="4" t="s">
        <v>118</v>
      </c>
      <c r="H67" s="4" t="s">
        <v>119</v>
      </c>
      <c r="I67" s="4"/>
      <c r="J67" s="4"/>
      <c r="K67" s="4">
        <v>210</v>
      </c>
      <c r="L67" s="4">
        <v>24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 x14ac:dyDescent="0.2">
      <c r="A68" s="4">
        <v>50</v>
      </c>
      <c r="B68" s="4">
        <v>0</v>
      </c>
      <c r="C68" s="4">
        <v>0</v>
      </c>
      <c r="D68" s="4">
        <v>1</v>
      </c>
      <c r="E68" s="4">
        <v>211</v>
      </c>
      <c r="F68" s="4">
        <f>ROUND(Source!Y42,O68)</f>
        <v>0</v>
      </c>
      <c r="G68" s="4" t="s">
        <v>120</v>
      </c>
      <c r="H68" s="4" t="s">
        <v>121</v>
      </c>
      <c r="I68" s="4"/>
      <c r="J68" s="4"/>
      <c r="K68" s="4">
        <v>211</v>
      </c>
      <c r="L68" s="4">
        <v>25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45" x14ac:dyDescent="0.2">
      <c r="A69" s="4">
        <v>50</v>
      </c>
      <c r="B69" s="4">
        <v>0</v>
      </c>
      <c r="C69" s="4">
        <v>0</v>
      </c>
      <c r="D69" s="4">
        <v>1</v>
      </c>
      <c r="E69" s="4">
        <v>224</v>
      </c>
      <c r="F69" s="4">
        <f>ROUND(Source!AR42,O69)</f>
        <v>2101919.52</v>
      </c>
      <c r="G69" s="4" t="s">
        <v>122</v>
      </c>
      <c r="H69" s="4" t="s">
        <v>123</v>
      </c>
      <c r="I69" s="4"/>
      <c r="J69" s="4"/>
      <c r="K69" s="4">
        <v>224</v>
      </c>
      <c r="L69" s="4">
        <v>26</v>
      </c>
      <c r="M69" s="4">
        <v>3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1" spans="1:245" x14ac:dyDescent="0.2">
      <c r="A71" s="1">
        <v>5</v>
      </c>
      <c r="B71" s="1">
        <v>1</v>
      </c>
      <c r="C71" s="1"/>
      <c r="D71" s="1">
        <f>ROW(A81)</f>
        <v>81</v>
      </c>
      <c r="E71" s="1"/>
      <c r="F71" s="1" t="s">
        <v>23</v>
      </c>
      <c r="G71" s="1" t="s">
        <v>124</v>
      </c>
      <c r="H71" s="1" t="s">
        <v>3</v>
      </c>
      <c r="I71" s="1">
        <v>0</v>
      </c>
      <c r="J71" s="1"/>
      <c r="K71" s="1">
        <v>0</v>
      </c>
      <c r="L71" s="1"/>
      <c r="M71" s="1"/>
      <c r="N71" s="1"/>
      <c r="O71" s="1"/>
      <c r="P71" s="1"/>
      <c r="Q71" s="1"/>
      <c r="R71" s="1"/>
      <c r="S71" s="1"/>
      <c r="T71" s="1"/>
      <c r="U71" s="1" t="s">
        <v>3</v>
      </c>
      <c r="V71" s="1">
        <v>0</v>
      </c>
      <c r="W71" s="1"/>
      <c r="X71" s="1"/>
      <c r="Y71" s="1"/>
      <c r="Z71" s="1"/>
      <c r="AA71" s="1"/>
      <c r="AB71" s="1" t="s">
        <v>3</v>
      </c>
      <c r="AC71" s="1" t="s">
        <v>3</v>
      </c>
      <c r="AD71" s="1" t="s">
        <v>3</v>
      </c>
      <c r="AE71" s="1" t="s">
        <v>3</v>
      </c>
      <c r="AF71" s="1" t="s">
        <v>3</v>
      </c>
      <c r="AG71" s="1" t="s">
        <v>3</v>
      </c>
      <c r="AH71" s="1"/>
      <c r="AI71" s="1"/>
      <c r="AJ71" s="1"/>
      <c r="AK71" s="1"/>
      <c r="AL71" s="1"/>
      <c r="AM71" s="1"/>
      <c r="AN71" s="1"/>
      <c r="AO71" s="1"/>
      <c r="AP71" s="1" t="s">
        <v>3</v>
      </c>
      <c r="AQ71" s="1" t="s">
        <v>3</v>
      </c>
      <c r="AR71" s="1" t="s">
        <v>3</v>
      </c>
      <c r="AS71" s="1"/>
      <c r="AT71" s="1"/>
      <c r="AU71" s="1"/>
      <c r="AV71" s="1"/>
      <c r="AW71" s="1"/>
      <c r="AX71" s="1"/>
      <c r="AY71" s="1"/>
      <c r="AZ71" s="1" t="s">
        <v>3</v>
      </c>
      <c r="BA71" s="1"/>
      <c r="BB71" s="1" t="s">
        <v>3</v>
      </c>
      <c r="BC71" s="1" t="s">
        <v>3</v>
      </c>
      <c r="BD71" s="1" t="s">
        <v>3</v>
      </c>
      <c r="BE71" s="1" t="s">
        <v>3</v>
      </c>
      <c r="BF71" s="1" t="s">
        <v>3</v>
      </c>
      <c r="BG71" s="1" t="s">
        <v>3</v>
      </c>
      <c r="BH71" s="1" t="s">
        <v>3</v>
      </c>
      <c r="BI71" s="1" t="s">
        <v>3</v>
      </c>
      <c r="BJ71" s="1" t="s">
        <v>3</v>
      </c>
      <c r="BK71" s="1" t="s">
        <v>3</v>
      </c>
      <c r="BL71" s="1" t="s">
        <v>3</v>
      </c>
      <c r="BM71" s="1" t="s">
        <v>3</v>
      </c>
      <c r="BN71" s="1" t="s">
        <v>3</v>
      </c>
      <c r="BO71" s="1" t="s">
        <v>3</v>
      </c>
      <c r="BP71" s="1" t="s">
        <v>3</v>
      </c>
      <c r="BQ71" s="1"/>
      <c r="BR71" s="1"/>
      <c r="BS71" s="1"/>
      <c r="BT71" s="1"/>
      <c r="BU71" s="1"/>
      <c r="BV71" s="1"/>
      <c r="BW71" s="1"/>
      <c r="BX71" s="1">
        <v>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>
        <v>0</v>
      </c>
    </row>
    <row r="73" spans="1:245" x14ac:dyDescent="0.2">
      <c r="A73" s="2">
        <v>52</v>
      </c>
      <c r="B73" s="2">
        <f t="shared" ref="B73:G73" si="63">B81</f>
        <v>1</v>
      </c>
      <c r="C73" s="2">
        <f t="shared" si="63"/>
        <v>5</v>
      </c>
      <c r="D73" s="2">
        <f t="shared" si="63"/>
        <v>71</v>
      </c>
      <c r="E73" s="2">
        <f t="shared" si="63"/>
        <v>0</v>
      </c>
      <c r="F73" s="2" t="str">
        <f t="shared" si="63"/>
        <v>Новый подраздел</v>
      </c>
      <c r="G73" s="2" t="str">
        <f t="shared" si="63"/>
        <v>Восстановление отпада</v>
      </c>
      <c r="H73" s="2"/>
      <c r="I73" s="2"/>
      <c r="J73" s="2"/>
      <c r="K73" s="2"/>
      <c r="L73" s="2"/>
      <c r="M73" s="2"/>
      <c r="N73" s="2"/>
      <c r="O73" s="2">
        <f t="shared" ref="O73:AT73" si="64">O81</f>
        <v>77832.25</v>
      </c>
      <c r="P73" s="2">
        <f t="shared" si="64"/>
        <v>43856.37</v>
      </c>
      <c r="Q73" s="2">
        <f t="shared" si="64"/>
        <v>2544.46</v>
      </c>
      <c r="R73" s="2">
        <f t="shared" si="64"/>
        <v>712.39</v>
      </c>
      <c r="S73" s="2">
        <f t="shared" si="64"/>
        <v>31431.42</v>
      </c>
      <c r="T73" s="2">
        <f t="shared" si="64"/>
        <v>0</v>
      </c>
      <c r="U73" s="2">
        <f t="shared" si="64"/>
        <v>153.20325</v>
      </c>
      <c r="V73" s="2">
        <f t="shared" si="64"/>
        <v>0</v>
      </c>
      <c r="W73" s="2">
        <f t="shared" si="64"/>
        <v>0</v>
      </c>
      <c r="X73" s="2">
        <f t="shared" si="64"/>
        <v>22002</v>
      </c>
      <c r="Y73" s="2">
        <f t="shared" si="64"/>
        <v>0</v>
      </c>
      <c r="Z73" s="2">
        <f t="shared" si="64"/>
        <v>0</v>
      </c>
      <c r="AA73" s="2">
        <f t="shared" si="64"/>
        <v>0</v>
      </c>
      <c r="AB73" s="2">
        <f t="shared" si="64"/>
        <v>77832.25</v>
      </c>
      <c r="AC73" s="2">
        <f t="shared" si="64"/>
        <v>43856.37</v>
      </c>
      <c r="AD73" s="2">
        <f t="shared" si="64"/>
        <v>2544.46</v>
      </c>
      <c r="AE73" s="2">
        <f t="shared" si="64"/>
        <v>712.39</v>
      </c>
      <c r="AF73" s="2">
        <f t="shared" si="64"/>
        <v>31431.42</v>
      </c>
      <c r="AG73" s="2">
        <f t="shared" si="64"/>
        <v>0</v>
      </c>
      <c r="AH73" s="2">
        <f t="shared" si="64"/>
        <v>153.20325</v>
      </c>
      <c r="AI73" s="2">
        <f t="shared" si="64"/>
        <v>0</v>
      </c>
      <c r="AJ73" s="2">
        <f t="shared" si="64"/>
        <v>0</v>
      </c>
      <c r="AK73" s="2">
        <f t="shared" si="64"/>
        <v>22002</v>
      </c>
      <c r="AL73" s="2">
        <f t="shared" si="64"/>
        <v>0</v>
      </c>
      <c r="AM73" s="2">
        <f t="shared" si="64"/>
        <v>0</v>
      </c>
      <c r="AN73" s="2">
        <f t="shared" si="64"/>
        <v>0</v>
      </c>
      <c r="AO73" s="2">
        <f t="shared" si="64"/>
        <v>0</v>
      </c>
      <c r="AP73" s="2">
        <f t="shared" si="64"/>
        <v>0</v>
      </c>
      <c r="AQ73" s="2">
        <f t="shared" si="64"/>
        <v>0</v>
      </c>
      <c r="AR73" s="2">
        <f t="shared" si="64"/>
        <v>100389.91</v>
      </c>
      <c r="AS73" s="2">
        <f t="shared" si="64"/>
        <v>0</v>
      </c>
      <c r="AT73" s="2">
        <f t="shared" si="64"/>
        <v>0</v>
      </c>
      <c r="AU73" s="2">
        <f t="shared" ref="AU73:BZ73" si="65">AU81</f>
        <v>100389.91</v>
      </c>
      <c r="AV73" s="2">
        <f t="shared" si="65"/>
        <v>43856.37</v>
      </c>
      <c r="AW73" s="2">
        <f t="shared" si="65"/>
        <v>43856.37</v>
      </c>
      <c r="AX73" s="2">
        <f t="shared" si="65"/>
        <v>0</v>
      </c>
      <c r="AY73" s="2">
        <f t="shared" si="65"/>
        <v>43856.37</v>
      </c>
      <c r="AZ73" s="2">
        <f t="shared" si="65"/>
        <v>0</v>
      </c>
      <c r="BA73" s="2">
        <f t="shared" si="65"/>
        <v>0</v>
      </c>
      <c r="BB73" s="2">
        <f t="shared" si="65"/>
        <v>0</v>
      </c>
      <c r="BC73" s="2">
        <f t="shared" si="65"/>
        <v>0</v>
      </c>
      <c r="BD73" s="2">
        <f t="shared" si="65"/>
        <v>0</v>
      </c>
      <c r="BE73" s="2">
        <f t="shared" si="65"/>
        <v>0</v>
      </c>
      <c r="BF73" s="2">
        <f t="shared" si="65"/>
        <v>0</v>
      </c>
      <c r="BG73" s="2">
        <f t="shared" si="65"/>
        <v>0</v>
      </c>
      <c r="BH73" s="2">
        <f t="shared" si="65"/>
        <v>0</v>
      </c>
      <c r="BI73" s="2">
        <f t="shared" si="65"/>
        <v>0</v>
      </c>
      <c r="BJ73" s="2">
        <f t="shared" si="65"/>
        <v>0</v>
      </c>
      <c r="BK73" s="2">
        <f t="shared" si="65"/>
        <v>0</v>
      </c>
      <c r="BL73" s="2">
        <f t="shared" si="65"/>
        <v>0</v>
      </c>
      <c r="BM73" s="2">
        <f t="shared" si="65"/>
        <v>0</v>
      </c>
      <c r="BN73" s="2">
        <f t="shared" si="65"/>
        <v>0</v>
      </c>
      <c r="BO73" s="2">
        <f t="shared" si="65"/>
        <v>0</v>
      </c>
      <c r="BP73" s="2">
        <f t="shared" si="65"/>
        <v>0</v>
      </c>
      <c r="BQ73" s="2">
        <f t="shared" si="65"/>
        <v>0</v>
      </c>
      <c r="BR73" s="2">
        <f t="shared" si="65"/>
        <v>0</v>
      </c>
      <c r="BS73" s="2">
        <f t="shared" si="65"/>
        <v>0</v>
      </c>
      <c r="BT73" s="2">
        <f t="shared" si="65"/>
        <v>0</v>
      </c>
      <c r="BU73" s="2">
        <f t="shared" si="65"/>
        <v>0</v>
      </c>
      <c r="BV73" s="2">
        <f t="shared" si="65"/>
        <v>0</v>
      </c>
      <c r="BW73" s="2">
        <f t="shared" si="65"/>
        <v>0</v>
      </c>
      <c r="BX73" s="2">
        <f t="shared" si="65"/>
        <v>0</v>
      </c>
      <c r="BY73" s="2">
        <f t="shared" si="65"/>
        <v>0</v>
      </c>
      <c r="BZ73" s="2">
        <f t="shared" si="65"/>
        <v>0</v>
      </c>
      <c r="CA73" s="2">
        <f t="shared" ref="CA73:DF73" si="66">CA81</f>
        <v>100389.91</v>
      </c>
      <c r="CB73" s="2">
        <f t="shared" si="66"/>
        <v>0</v>
      </c>
      <c r="CC73" s="2">
        <f t="shared" si="66"/>
        <v>0</v>
      </c>
      <c r="CD73" s="2">
        <f t="shared" si="66"/>
        <v>100389.91</v>
      </c>
      <c r="CE73" s="2">
        <f t="shared" si="66"/>
        <v>43856.37</v>
      </c>
      <c r="CF73" s="2">
        <f t="shared" si="66"/>
        <v>43856.37</v>
      </c>
      <c r="CG73" s="2">
        <f t="shared" si="66"/>
        <v>0</v>
      </c>
      <c r="CH73" s="2">
        <f t="shared" si="66"/>
        <v>43856.37</v>
      </c>
      <c r="CI73" s="2">
        <f t="shared" si="66"/>
        <v>0</v>
      </c>
      <c r="CJ73" s="2">
        <f t="shared" si="66"/>
        <v>0</v>
      </c>
      <c r="CK73" s="2">
        <f t="shared" si="66"/>
        <v>0</v>
      </c>
      <c r="CL73" s="2">
        <f t="shared" si="66"/>
        <v>0</v>
      </c>
      <c r="CM73" s="2">
        <f t="shared" si="66"/>
        <v>0</v>
      </c>
      <c r="CN73" s="2">
        <f t="shared" si="66"/>
        <v>0</v>
      </c>
      <c r="CO73" s="2">
        <f t="shared" si="66"/>
        <v>0</v>
      </c>
      <c r="CP73" s="2">
        <f t="shared" si="66"/>
        <v>0</v>
      </c>
      <c r="CQ73" s="2">
        <f t="shared" si="66"/>
        <v>0</v>
      </c>
      <c r="CR73" s="2">
        <f t="shared" si="66"/>
        <v>0</v>
      </c>
      <c r="CS73" s="2">
        <f t="shared" si="66"/>
        <v>0</v>
      </c>
      <c r="CT73" s="2">
        <f t="shared" si="66"/>
        <v>0</v>
      </c>
      <c r="CU73" s="2">
        <f t="shared" si="66"/>
        <v>0</v>
      </c>
      <c r="CV73" s="2">
        <f t="shared" si="66"/>
        <v>0</v>
      </c>
      <c r="CW73" s="2">
        <f t="shared" si="66"/>
        <v>0</v>
      </c>
      <c r="CX73" s="2">
        <f t="shared" si="66"/>
        <v>0</v>
      </c>
      <c r="CY73" s="2">
        <f t="shared" si="66"/>
        <v>0</v>
      </c>
      <c r="CZ73" s="2">
        <f t="shared" si="66"/>
        <v>0</v>
      </c>
      <c r="DA73" s="2">
        <f t="shared" si="66"/>
        <v>0</v>
      </c>
      <c r="DB73" s="2">
        <f t="shared" si="66"/>
        <v>0</v>
      </c>
      <c r="DC73" s="2">
        <f t="shared" si="66"/>
        <v>0</v>
      </c>
      <c r="DD73" s="2">
        <f t="shared" si="66"/>
        <v>0</v>
      </c>
      <c r="DE73" s="2">
        <f t="shared" si="66"/>
        <v>0</v>
      </c>
      <c r="DF73" s="2">
        <f t="shared" si="66"/>
        <v>0</v>
      </c>
      <c r="DG73" s="3">
        <f t="shared" ref="DG73:EL73" si="67">DG81</f>
        <v>0</v>
      </c>
      <c r="DH73" s="3">
        <f t="shared" si="67"/>
        <v>0</v>
      </c>
      <c r="DI73" s="3">
        <f t="shared" si="67"/>
        <v>0</v>
      </c>
      <c r="DJ73" s="3">
        <f t="shared" si="67"/>
        <v>0</v>
      </c>
      <c r="DK73" s="3">
        <f t="shared" si="67"/>
        <v>0</v>
      </c>
      <c r="DL73" s="3">
        <f t="shared" si="67"/>
        <v>0</v>
      </c>
      <c r="DM73" s="3">
        <f t="shared" si="67"/>
        <v>0</v>
      </c>
      <c r="DN73" s="3">
        <f t="shared" si="67"/>
        <v>0</v>
      </c>
      <c r="DO73" s="3">
        <f t="shared" si="67"/>
        <v>0</v>
      </c>
      <c r="DP73" s="3">
        <f t="shared" si="67"/>
        <v>0</v>
      </c>
      <c r="DQ73" s="3">
        <f t="shared" si="67"/>
        <v>0</v>
      </c>
      <c r="DR73" s="3">
        <f t="shared" si="67"/>
        <v>0</v>
      </c>
      <c r="DS73" s="3">
        <f t="shared" si="67"/>
        <v>0</v>
      </c>
      <c r="DT73" s="3">
        <f t="shared" si="67"/>
        <v>0</v>
      </c>
      <c r="DU73" s="3">
        <f t="shared" si="67"/>
        <v>0</v>
      </c>
      <c r="DV73" s="3">
        <f t="shared" si="67"/>
        <v>0</v>
      </c>
      <c r="DW73" s="3">
        <f t="shared" si="67"/>
        <v>0</v>
      </c>
      <c r="DX73" s="3">
        <f t="shared" si="67"/>
        <v>0</v>
      </c>
      <c r="DY73" s="3">
        <f t="shared" si="67"/>
        <v>0</v>
      </c>
      <c r="DZ73" s="3">
        <f t="shared" si="67"/>
        <v>0</v>
      </c>
      <c r="EA73" s="3">
        <f t="shared" si="67"/>
        <v>0</v>
      </c>
      <c r="EB73" s="3">
        <f t="shared" si="67"/>
        <v>0</v>
      </c>
      <c r="EC73" s="3">
        <f t="shared" si="67"/>
        <v>0</v>
      </c>
      <c r="ED73" s="3">
        <f t="shared" si="67"/>
        <v>0</v>
      </c>
      <c r="EE73" s="3">
        <f t="shared" si="67"/>
        <v>0</v>
      </c>
      <c r="EF73" s="3">
        <f t="shared" si="67"/>
        <v>0</v>
      </c>
      <c r="EG73" s="3">
        <f t="shared" si="67"/>
        <v>0</v>
      </c>
      <c r="EH73" s="3">
        <f t="shared" si="67"/>
        <v>0</v>
      </c>
      <c r="EI73" s="3">
        <f t="shared" si="67"/>
        <v>0</v>
      </c>
      <c r="EJ73" s="3">
        <f t="shared" si="67"/>
        <v>0</v>
      </c>
      <c r="EK73" s="3">
        <f t="shared" si="67"/>
        <v>0</v>
      </c>
      <c r="EL73" s="3">
        <f t="shared" si="67"/>
        <v>0</v>
      </c>
      <c r="EM73" s="3">
        <f t="shared" ref="EM73:FR73" si="68">EM81</f>
        <v>0</v>
      </c>
      <c r="EN73" s="3">
        <f t="shared" si="68"/>
        <v>0</v>
      </c>
      <c r="EO73" s="3">
        <f t="shared" si="68"/>
        <v>0</v>
      </c>
      <c r="EP73" s="3">
        <f t="shared" si="68"/>
        <v>0</v>
      </c>
      <c r="EQ73" s="3">
        <f t="shared" si="68"/>
        <v>0</v>
      </c>
      <c r="ER73" s="3">
        <f t="shared" si="68"/>
        <v>0</v>
      </c>
      <c r="ES73" s="3">
        <f t="shared" si="68"/>
        <v>0</v>
      </c>
      <c r="ET73" s="3">
        <f t="shared" si="68"/>
        <v>0</v>
      </c>
      <c r="EU73" s="3">
        <f t="shared" si="68"/>
        <v>0</v>
      </c>
      <c r="EV73" s="3">
        <f t="shared" si="68"/>
        <v>0</v>
      </c>
      <c r="EW73" s="3">
        <f t="shared" si="68"/>
        <v>0</v>
      </c>
      <c r="EX73" s="3">
        <f t="shared" si="68"/>
        <v>0</v>
      </c>
      <c r="EY73" s="3">
        <f t="shared" si="68"/>
        <v>0</v>
      </c>
      <c r="EZ73" s="3">
        <f t="shared" si="68"/>
        <v>0</v>
      </c>
      <c r="FA73" s="3">
        <f t="shared" si="68"/>
        <v>0</v>
      </c>
      <c r="FB73" s="3">
        <f t="shared" si="68"/>
        <v>0</v>
      </c>
      <c r="FC73" s="3">
        <f t="shared" si="68"/>
        <v>0</v>
      </c>
      <c r="FD73" s="3">
        <f t="shared" si="68"/>
        <v>0</v>
      </c>
      <c r="FE73" s="3">
        <f t="shared" si="68"/>
        <v>0</v>
      </c>
      <c r="FF73" s="3">
        <f t="shared" si="68"/>
        <v>0</v>
      </c>
      <c r="FG73" s="3">
        <f t="shared" si="68"/>
        <v>0</v>
      </c>
      <c r="FH73" s="3">
        <f t="shared" si="68"/>
        <v>0</v>
      </c>
      <c r="FI73" s="3">
        <f t="shared" si="68"/>
        <v>0</v>
      </c>
      <c r="FJ73" s="3">
        <f t="shared" si="68"/>
        <v>0</v>
      </c>
      <c r="FK73" s="3">
        <f t="shared" si="68"/>
        <v>0</v>
      </c>
      <c r="FL73" s="3">
        <f t="shared" si="68"/>
        <v>0</v>
      </c>
      <c r="FM73" s="3">
        <f t="shared" si="68"/>
        <v>0</v>
      </c>
      <c r="FN73" s="3">
        <f t="shared" si="68"/>
        <v>0</v>
      </c>
      <c r="FO73" s="3">
        <f t="shared" si="68"/>
        <v>0</v>
      </c>
      <c r="FP73" s="3">
        <f t="shared" si="68"/>
        <v>0</v>
      </c>
      <c r="FQ73" s="3">
        <f t="shared" si="68"/>
        <v>0</v>
      </c>
      <c r="FR73" s="3">
        <f t="shared" si="68"/>
        <v>0</v>
      </c>
      <c r="FS73" s="3">
        <f t="shared" ref="FS73:GX73" si="69">FS81</f>
        <v>0</v>
      </c>
      <c r="FT73" s="3">
        <f t="shared" si="69"/>
        <v>0</v>
      </c>
      <c r="FU73" s="3">
        <f t="shared" si="69"/>
        <v>0</v>
      </c>
      <c r="FV73" s="3">
        <f t="shared" si="69"/>
        <v>0</v>
      </c>
      <c r="FW73" s="3">
        <f t="shared" si="69"/>
        <v>0</v>
      </c>
      <c r="FX73" s="3">
        <f t="shared" si="69"/>
        <v>0</v>
      </c>
      <c r="FY73" s="3">
        <f t="shared" si="69"/>
        <v>0</v>
      </c>
      <c r="FZ73" s="3">
        <f t="shared" si="69"/>
        <v>0</v>
      </c>
      <c r="GA73" s="3">
        <f t="shared" si="69"/>
        <v>0</v>
      </c>
      <c r="GB73" s="3">
        <f t="shared" si="69"/>
        <v>0</v>
      </c>
      <c r="GC73" s="3">
        <f t="shared" si="69"/>
        <v>0</v>
      </c>
      <c r="GD73" s="3">
        <f t="shared" si="69"/>
        <v>0</v>
      </c>
      <c r="GE73" s="3">
        <f t="shared" si="69"/>
        <v>0</v>
      </c>
      <c r="GF73" s="3">
        <f t="shared" si="69"/>
        <v>0</v>
      </c>
      <c r="GG73" s="3">
        <f t="shared" si="69"/>
        <v>0</v>
      </c>
      <c r="GH73" s="3">
        <f t="shared" si="69"/>
        <v>0</v>
      </c>
      <c r="GI73" s="3">
        <f t="shared" si="69"/>
        <v>0</v>
      </c>
      <c r="GJ73" s="3">
        <f t="shared" si="69"/>
        <v>0</v>
      </c>
      <c r="GK73" s="3">
        <f t="shared" si="69"/>
        <v>0</v>
      </c>
      <c r="GL73" s="3">
        <f t="shared" si="69"/>
        <v>0</v>
      </c>
      <c r="GM73" s="3">
        <f t="shared" si="69"/>
        <v>0</v>
      </c>
      <c r="GN73" s="3">
        <f t="shared" si="69"/>
        <v>0</v>
      </c>
      <c r="GO73" s="3">
        <f t="shared" si="69"/>
        <v>0</v>
      </c>
      <c r="GP73" s="3">
        <f t="shared" si="69"/>
        <v>0</v>
      </c>
      <c r="GQ73" s="3">
        <f t="shared" si="69"/>
        <v>0</v>
      </c>
      <c r="GR73" s="3">
        <f t="shared" si="69"/>
        <v>0</v>
      </c>
      <c r="GS73" s="3">
        <f t="shared" si="69"/>
        <v>0</v>
      </c>
      <c r="GT73" s="3">
        <f t="shared" si="69"/>
        <v>0</v>
      </c>
      <c r="GU73" s="3">
        <f t="shared" si="69"/>
        <v>0</v>
      </c>
      <c r="GV73" s="3">
        <f t="shared" si="69"/>
        <v>0</v>
      </c>
      <c r="GW73" s="3">
        <f t="shared" si="69"/>
        <v>0</v>
      </c>
      <c r="GX73" s="3">
        <f t="shared" si="69"/>
        <v>0</v>
      </c>
    </row>
    <row r="75" spans="1:245" x14ac:dyDescent="0.2">
      <c r="A75">
        <v>17</v>
      </c>
      <c r="B75">
        <v>1</v>
      </c>
      <c r="C75">
        <f>ROW(SmtRes!A31)</f>
        <v>31</v>
      </c>
      <c r="D75">
        <f>ROW(EtalonRes!A31)</f>
        <v>31</v>
      </c>
      <c r="E75" t="s">
        <v>125</v>
      </c>
      <c r="F75" t="s">
        <v>59</v>
      </c>
      <c r="G75" t="s">
        <v>60</v>
      </c>
      <c r="H75" t="s">
        <v>61</v>
      </c>
      <c r="I75">
        <f>ROUND(3/10,9)</f>
        <v>0.3</v>
      </c>
      <c r="J75">
        <v>0</v>
      </c>
      <c r="O75">
        <f>ROUND(CP75,2)</f>
        <v>30487.91</v>
      </c>
      <c r="P75">
        <f>ROUND(CQ75*I75,2)</f>
        <v>7991.68</v>
      </c>
      <c r="Q75">
        <f>ROUND(CR75*I75,2)</f>
        <v>130.16</v>
      </c>
      <c r="R75">
        <f>ROUND(CS75*I75,2)</f>
        <v>0.13</v>
      </c>
      <c r="S75">
        <f>ROUND(CT75*I75,2)</f>
        <v>22366.07</v>
      </c>
      <c r="T75">
        <f>ROUND(CU75*I75,2)</f>
        <v>0</v>
      </c>
      <c r="U75">
        <f>CV75*I75</f>
        <v>109.02300000000001</v>
      </c>
      <c r="V75">
        <f>CW75*I75</f>
        <v>0</v>
      </c>
      <c r="W75">
        <f>ROUND(CX75*I75,2)</f>
        <v>0</v>
      </c>
      <c r="X75">
        <f t="shared" ref="X75:Y79" si="70">ROUND(CY75,2)</f>
        <v>15656.25</v>
      </c>
      <c r="Y75">
        <f t="shared" si="70"/>
        <v>0</v>
      </c>
      <c r="AA75">
        <v>53202630</v>
      </c>
      <c r="AB75">
        <f>ROUND((AC75+AD75+AF75),6)</f>
        <v>101626.36</v>
      </c>
      <c r="AC75">
        <f>ROUND((ES75),6)</f>
        <v>26638.93</v>
      </c>
      <c r="AD75">
        <f>ROUND((((ET75)-(EU75))+AE75),6)</f>
        <v>433.87</v>
      </c>
      <c r="AE75">
        <f t="shared" ref="AE75:AF79" si="71">ROUND((EU75),6)</f>
        <v>0.43</v>
      </c>
      <c r="AF75">
        <f t="shared" si="71"/>
        <v>74553.56</v>
      </c>
      <c r="AG75">
        <f>ROUND((AP75),6)</f>
        <v>0</v>
      </c>
      <c r="AH75">
        <f t="shared" ref="AH75:AI79" si="72">(EW75)</f>
        <v>363.41</v>
      </c>
      <c r="AI75">
        <f t="shared" si="72"/>
        <v>0</v>
      </c>
      <c r="AJ75">
        <f>(AS75)</f>
        <v>0</v>
      </c>
      <c r="AK75">
        <v>101626.36</v>
      </c>
      <c r="AL75">
        <v>26638.93</v>
      </c>
      <c r="AM75">
        <v>433.87</v>
      </c>
      <c r="AN75">
        <v>0.43</v>
      </c>
      <c r="AO75">
        <v>74553.56</v>
      </c>
      <c r="AP75">
        <v>0</v>
      </c>
      <c r="AQ75">
        <v>363.41</v>
      </c>
      <c r="AR75">
        <v>0</v>
      </c>
      <c r="AS75">
        <v>0</v>
      </c>
      <c r="AT75">
        <v>70</v>
      </c>
      <c r="AU75">
        <v>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D75" t="s">
        <v>3</v>
      </c>
      <c r="BE75" t="s">
        <v>3</v>
      </c>
      <c r="BF75" t="s">
        <v>3</v>
      </c>
      <c r="BG75" t="s">
        <v>3</v>
      </c>
      <c r="BH75">
        <v>0</v>
      </c>
      <c r="BI75">
        <v>4</v>
      </c>
      <c r="BJ75" t="s">
        <v>62</v>
      </c>
      <c r="BM75">
        <v>0</v>
      </c>
      <c r="BN75">
        <v>0</v>
      </c>
      <c r="BO75" t="s">
        <v>3</v>
      </c>
      <c r="BP75">
        <v>0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 t="s">
        <v>3</v>
      </c>
      <c r="BZ75">
        <v>70</v>
      </c>
      <c r="CA75">
        <v>0</v>
      </c>
      <c r="CE75">
        <v>0</v>
      </c>
      <c r="CF75">
        <v>0</v>
      </c>
      <c r="CG75">
        <v>0</v>
      </c>
      <c r="CM75">
        <v>0</v>
      </c>
      <c r="CN75" t="s">
        <v>3</v>
      </c>
      <c r="CO75">
        <v>0</v>
      </c>
      <c r="CP75">
        <f>(P75+Q75+S75)</f>
        <v>30487.91</v>
      </c>
      <c r="CQ75">
        <f>(AC75*BC75*AW75)</f>
        <v>26638.93</v>
      </c>
      <c r="CR75">
        <f>((((ET75)*BB75-(EU75)*BS75)+AE75*BS75)*AV75)</f>
        <v>433.87</v>
      </c>
      <c r="CS75">
        <f>(AE75*BS75*AV75)</f>
        <v>0.43</v>
      </c>
      <c r="CT75">
        <f>(AF75*BA75*AV75)</f>
        <v>74553.56</v>
      </c>
      <c r="CU75">
        <f>AG75</f>
        <v>0</v>
      </c>
      <c r="CV75">
        <f>(AH75*AV75)</f>
        <v>363.41</v>
      </c>
      <c r="CW75">
        <f t="shared" ref="CW75:CX79" si="73">AI75</f>
        <v>0</v>
      </c>
      <c r="CX75">
        <f t="shared" si="73"/>
        <v>0</v>
      </c>
      <c r="CY75">
        <f>((S75*BZ75)/100)</f>
        <v>15656.249</v>
      </c>
      <c r="CZ75">
        <f>((S75*CA75)/100)</f>
        <v>0</v>
      </c>
      <c r="DC75" t="s">
        <v>3</v>
      </c>
      <c r="DD75" t="s">
        <v>3</v>
      </c>
      <c r="DE75" t="s">
        <v>3</v>
      </c>
      <c r="DF75" t="s">
        <v>3</v>
      </c>
      <c r="DG75" t="s">
        <v>3</v>
      </c>
      <c r="DH75" t="s">
        <v>3</v>
      </c>
      <c r="DI75" t="s">
        <v>3</v>
      </c>
      <c r="DJ75" t="s">
        <v>3</v>
      </c>
      <c r="DK75" t="s">
        <v>3</v>
      </c>
      <c r="DL75" t="s">
        <v>3</v>
      </c>
      <c r="DM75" t="s">
        <v>3</v>
      </c>
      <c r="DN75">
        <v>0</v>
      </c>
      <c r="DO75">
        <v>0</v>
      </c>
      <c r="DP75">
        <v>1</v>
      </c>
      <c r="DQ75">
        <v>1</v>
      </c>
      <c r="DU75">
        <v>1010</v>
      </c>
      <c r="DV75" t="s">
        <v>61</v>
      </c>
      <c r="DW75" t="s">
        <v>61</v>
      </c>
      <c r="DX75">
        <v>10</v>
      </c>
      <c r="EE75">
        <v>48810626</v>
      </c>
      <c r="EF75">
        <v>1</v>
      </c>
      <c r="EG75" t="s">
        <v>30</v>
      </c>
      <c r="EH75">
        <v>0</v>
      </c>
      <c r="EI75" t="s">
        <v>3</v>
      </c>
      <c r="EJ75">
        <v>4</v>
      </c>
      <c r="EK75">
        <v>0</v>
      </c>
      <c r="EL75" t="s">
        <v>31</v>
      </c>
      <c r="EM75" t="s">
        <v>32</v>
      </c>
      <c r="EO75" t="s">
        <v>3</v>
      </c>
      <c r="EQ75">
        <v>131072</v>
      </c>
      <c r="ER75">
        <v>101626.36</v>
      </c>
      <c r="ES75">
        <v>26638.93</v>
      </c>
      <c r="ET75">
        <v>433.87</v>
      </c>
      <c r="EU75">
        <v>0.43</v>
      </c>
      <c r="EV75">
        <v>74553.56</v>
      </c>
      <c r="EW75">
        <v>363.41</v>
      </c>
      <c r="EX75">
        <v>0</v>
      </c>
      <c r="EY75">
        <v>0</v>
      </c>
      <c r="FQ75">
        <v>0</v>
      </c>
      <c r="FR75">
        <f>ROUND(IF(AND(BH75=3,BI75=3),P75,0),2)</f>
        <v>0</v>
      </c>
      <c r="FS75">
        <v>0</v>
      </c>
      <c r="FX75">
        <v>70</v>
      </c>
      <c r="FY75">
        <v>0</v>
      </c>
      <c r="GA75" t="s">
        <v>3</v>
      </c>
      <c r="GD75">
        <v>0</v>
      </c>
      <c r="GF75">
        <v>-849514718</v>
      </c>
      <c r="GG75">
        <v>2</v>
      </c>
      <c r="GH75">
        <v>1</v>
      </c>
      <c r="GI75">
        <v>-2</v>
      </c>
      <c r="GJ75">
        <v>0</v>
      </c>
      <c r="GK75">
        <f>ROUND(R75*(R12)/100,2)</f>
        <v>0.1</v>
      </c>
      <c r="GL75">
        <f>ROUND(IF(AND(BH75=3,BI75=3,FS75&lt;&gt;0),P75,0),2)</f>
        <v>0</v>
      </c>
      <c r="GM75">
        <f>ROUND(O75+X75+Y75+GK75,2)+GX75</f>
        <v>46144.26</v>
      </c>
      <c r="GN75">
        <f>IF(OR(BI75=0,BI75=1),ROUND(O75+X75+Y75+GK75,2),0)</f>
        <v>0</v>
      </c>
      <c r="GO75">
        <f>IF(BI75=2,ROUND(O75+X75+Y75+GK75,2),0)</f>
        <v>0</v>
      </c>
      <c r="GP75">
        <f>IF(BI75=4,ROUND(O75+X75+Y75+GK75,2)+GX75,0)</f>
        <v>46144.26</v>
      </c>
      <c r="GR75">
        <v>0</v>
      </c>
      <c r="GS75">
        <v>3</v>
      </c>
      <c r="GT75">
        <v>0</v>
      </c>
      <c r="GU75" t="s">
        <v>3</v>
      </c>
      <c r="GV75">
        <f>ROUND((GT75),6)</f>
        <v>0</v>
      </c>
      <c r="GW75">
        <v>1</v>
      </c>
      <c r="GX75">
        <f>ROUND(HC75*I75,2)</f>
        <v>0</v>
      </c>
      <c r="HA75">
        <v>0</v>
      </c>
      <c r="HB75">
        <v>0</v>
      </c>
      <c r="HC75">
        <f>GV75*GW75</f>
        <v>0</v>
      </c>
      <c r="IK75">
        <v>0</v>
      </c>
    </row>
    <row r="76" spans="1:245" x14ac:dyDescent="0.2">
      <c r="A76">
        <v>17</v>
      </c>
      <c r="B76">
        <v>1</v>
      </c>
      <c r="C76">
        <f>ROW(SmtRes!A33)</f>
        <v>33</v>
      </c>
      <c r="D76">
        <f>ROW(EtalonRes!A33)</f>
        <v>33</v>
      </c>
      <c r="E76" t="s">
        <v>126</v>
      </c>
      <c r="F76" t="s">
        <v>127</v>
      </c>
      <c r="G76" t="s">
        <v>128</v>
      </c>
      <c r="H76" t="s">
        <v>28</v>
      </c>
      <c r="I76">
        <f>ROUND(2.25/10,9)</f>
        <v>0.22500000000000001</v>
      </c>
      <c r="J76">
        <v>0</v>
      </c>
      <c r="O76">
        <f>ROUND(CP76,2)</f>
        <v>1825.42</v>
      </c>
      <c r="P76">
        <f>ROUND(CQ76*I76,2)</f>
        <v>0</v>
      </c>
      <c r="Q76">
        <f>ROUND(CR76*I76,2)</f>
        <v>526.47</v>
      </c>
      <c r="R76">
        <f>ROUND(CS76*I76,2)</f>
        <v>288.08999999999997</v>
      </c>
      <c r="S76">
        <f>ROUND(CT76*I76,2)</f>
        <v>1298.95</v>
      </c>
      <c r="T76">
        <f>ROUND(CU76*I76,2)</f>
        <v>0</v>
      </c>
      <c r="U76">
        <f>CV76*I76</f>
        <v>8.0594999999999999</v>
      </c>
      <c r="V76">
        <f>CW76*I76</f>
        <v>0</v>
      </c>
      <c r="W76">
        <f>ROUND(CX76*I76,2)</f>
        <v>0</v>
      </c>
      <c r="X76">
        <f t="shared" si="70"/>
        <v>909.27</v>
      </c>
      <c r="Y76">
        <f t="shared" si="70"/>
        <v>0</v>
      </c>
      <c r="AA76">
        <v>53202630</v>
      </c>
      <c r="AB76">
        <f>ROUND((AC76+AD76+AF76),6)</f>
        <v>8112.96</v>
      </c>
      <c r="AC76">
        <f>ROUND((ES76),6)</f>
        <v>0</v>
      </c>
      <c r="AD76">
        <f>ROUND((((ET76)-(EU76))+AE76),6)</f>
        <v>2339.85</v>
      </c>
      <c r="AE76">
        <f t="shared" si="71"/>
        <v>1280.4000000000001</v>
      </c>
      <c r="AF76">
        <f t="shared" si="71"/>
        <v>5773.11</v>
      </c>
      <c r="AG76">
        <f>ROUND((AP76),6)</f>
        <v>0</v>
      </c>
      <c r="AH76">
        <f t="shared" si="72"/>
        <v>35.82</v>
      </c>
      <c r="AI76">
        <f t="shared" si="72"/>
        <v>0</v>
      </c>
      <c r="AJ76">
        <f>(AS76)</f>
        <v>0</v>
      </c>
      <c r="AK76">
        <v>8112.96</v>
      </c>
      <c r="AL76">
        <v>0</v>
      </c>
      <c r="AM76">
        <v>2339.85</v>
      </c>
      <c r="AN76">
        <v>1280.4000000000001</v>
      </c>
      <c r="AO76">
        <v>5773.11</v>
      </c>
      <c r="AP76">
        <v>0</v>
      </c>
      <c r="AQ76">
        <v>35.82</v>
      </c>
      <c r="AR76">
        <v>0</v>
      </c>
      <c r="AS76">
        <v>0</v>
      </c>
      <c r="AT76">
        <v>70</v>
      </c>
      <c r="AU76">
        <v>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D76" t="s">
        <v>3</v>
      </c>
      <c r="BE76" t="s">
        <v>3</v>
      </c>
      <c r="BF76" t="s">
        <v>3</v>
      </c>
      <c r="BG76" t="s">
        <v>3</v>
      </c>
      <c r="BH76">
        <v>0</v>
      </c>
      <c r="BI76">
        <v>4</v>
      </c>
      <c r="BJ76" t="s">
        <v>129</v>
      </c>
      <c r="BM76">
        <v>0</v>
      </c>
      <c r="BN76">
        <v>0</v>
      </c>
      <c r="BO76" t="s">
        <v>3</v>
      </c>
      <c r="BP76">
        <v>0</v>
      </c>
      <c r="BQ76">
        <v>1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3</v>
      </c>
      <c r="BZ76">
        <v>70</v>
      </c>
      <c r="CA76">
        <v>0</v>
      </c>
      <c r="CE76">
        <v>0</v>
      </c>
      <c r="CF76">
        <v>0</v>
      </c>
      <c r="CG76">
        <v>0</v>
      </c>
      <c r="CM76">
        <v>0</v>
      </c>
      <c r="CN76" t="s">
        <v>3</v>
      </c>
      <c r="CO76">
        <v>0</v>
      </c>
      <c r="CP76">
        <f>(P76+Q76+S76)</f>
        <v>1825.42</v>
      </c>
      <c r="CQ76">
        <f>(AC76*BC76*AW76)</f>
        <v>0</v>
      </c>
      <c r="CR76">
        <f>((((ET76)*BB76-(EU76)*BS76)+AE76*BS76)*AV76)</f>
        <v>2339.85</v>
      </c>
      <c r="CS76">
        <f>(AE76*BS76*AV76)</f>
        <v>1280.4000000000001</v>
      </c>
      <c r="CT76">
        <f>(AF76*BA76*AV76)</f>
        <v>5773.11</v>
      </c>
      <c r="CU76">
        <f>AG76</f>
        <v>0</v>
      </c>
      <c r="CV76">
        <f>(AH76*AV76)</f>
        <v>35.82</v>
      </c>
      <c r="CW76">
        <f t="shared" si="73"/>
        <v>0</v>
      </c>
      <c r="CX76">
        <f t="shared" si="73"/>
        <v>0</v>
      </c>
      <c r="CY76">
        <f>((S76*BZ76)/100)</f>
        <v>909.26499999999999</v>
      </c>
      <c r="CZ76">
        <f>((S76*CA76)/100)</f>
        <v>0</v>
      </c>
      <c r="DC76" t="s">
        <v>3</v>
      </c>
      <c r="DD76" t="s">
        <v>3</v>
      </c>
      <c r="DE76" t="s">
        <v>3</v>
      </c>
      <c r="DF76" t="s">
        <v>3</v>
      </c>
      <c r="DG76" t="s">
        <v>3</v>
      </c>
      <c r="DH76" t="s">
        <v>3</v>
      </c>
      <c r="DI76" t="s">
        <v>3</v>
      </c>
      <c r="DJ76" t="s">
        <v>3</v>
      </c>
      <c r="DK76" t="s">
        <v>3</v>
      </c>
      <c r="DL76" t="s">
        <v>3</v>
      </c>
      <c r="DM76" t="s">
        <v>3</v>
      </c>
      <c r="DN76">
        <v>0</v>
      </c>
      <c r="DO76">
        <v>0</v>
      </c>
      <c r="DP76">
        <v>1</v>
      </c>
      <c r="DQ76">
        <v>1</v>
      </c>
      <c r="DU76">
        <v>1013</v>
      </c>
      <c r="DV76" t="s">
        <v>28</v>
      </c>
      <c r="DW76" t="s">
        <v>28</v>
      </c>
      <c r="DX76">
        <v>1</v>
      </c>
      <c r="EE76">
        <v>48810626</v>
      </c>
      <c r="EF76">
        <v>1</v>
      </c>
      <c r="EG76" t="s">
        <v>30</v>
      </c>
      <c r="EH76">
        <v>0</v>
      </c>
      <c r="EI76" t="s">
        <v>3</v>
      </c>
      <c r="EJ76">
        <v>4</v>
      </c>
      <c r="EK76">
        <v>0</v>
      </c>
      <c r="EL76" t="s">
        <v>31</v>
      </c>
      <c r="EM76" t="s">
        <v>32</v>
      </c>
      <c r="EO76" t="s">
        <v>3</v>
      </c>
      <c r="EQ76">
        <v>131072</v>
      </c>
      <c r="ER76">
        <v>8112.96</v>
      </c>
      <c r="ES76">
        <v>0</v>
      </c>
      <c r="ET76">
        <v>2339.85</v>
      </c>
      <c r="EU76">
        <v>1280.4000000000001</v>
      </c>
      <c r="EV76">
        <v>5773.11</v>
      </c>
      <c r="EW76">
        <v>35.82</v>
      </c>
      <c r="EX76">
        <v>0</v>
      </c>
      <c r="EY76">
        <v>0</v>
      </c>
      <c r="FQ76">
        <v>0</v>
      </c>
      <c r="FR76">
        <f>ROUND(IF(AND(BH76=3,BI76=3),P76,0),2)</f>
        <v>0</v>
      </c>
      <c r="FS76">
        <v>0</v>
      </c>
      <c r="FX76">
        <v>70</v>
      </c>
      <c r="FY76">
        <v>0</v>
      </c>
      <c r="GA76" t="s">
        <v>3</v>
      </c>
      <c r="GD76">
        <v>0</v>
      </c>
      <c r="GF76">
        <v>-983986043</v>
      </c>
      <c r="GG76">
        <v>2</v>
      </c>
      <c r="GH76">
        <v>1</v>
      </c>
      <c r="GI76">
        <v>-2</v>
      </c>
      <c r="GJ76">
        <v>0</v>
      </c>
      <c r="GK76">
        <f>ROUND(R76*(R12)/100,2)</f>
        <v>224.71</v>
      </c>
      <c r="GL76">
        <f>ROUND(IF(AND(BH76=3,BI76=3,FS76&lt;&gt;0),P76,0),2)</f>
        <v>0</v>
      </c>
      <c r="GM76">
        <f>ROUND(O76+X76+Y76+GK76,2)+GX76</f>
        <v>2959.4</v>
      </c>
      <c r="GN76">
        <f>IF(OR(BI76=0,BI76=1),ROUND(O76+X76+Y76+GK76,2),0)</f>
        <v>0</v>
      </c>
      <c r="GO76">
        <f>IF(BI76=2,ROUND(O76+X76+Y76+GK76,2),0)</f>
        <v>0</v>
      </c>
      <c r="GP76">
        <f>IF(BI76=4,ROUND(O76+X76+Y76+GK76,2)+GX76,0)</f>
        <v>2959.4</v>
      </c>
      <c r="GR76">
        <v>0</v>
      </c>
      <c r="GS76">
        <v>3</v>
      </c>
      <c r="GT76">
        <v>0</v>
      </c>
      <c r="GU76" t="s">
        <v>3</v>
      </c>
      <c r="GV76">
        <f>ROUND((GT76),6)</f>
        <v>0</v>
      </c>
      <c r="GW76">
        <v>1</v>
      </c>
      <c r="GX76">
        <f>ROUND(HC76*I76,2)</f>
        <v>0</v>
      </c>
      <c r="HA76">
        <v>0</v>
      </c>
      <c r="HB76">
        <v>0</v>
      </c>
      <c r="HC76">
        <f>GV76*GW76</f>
        <v>0</v>
      </c>
      <c r="IK76">
        <v>0</v>
      </c>
    </row>
    <row r="77" spans="1:245" x14ac:dyDescent="0.2">
      <c r="A77">
        <v>17</v>
      </c>
      <c r="B77">
        <v>1</v>
      </c>
      <c r="C77">
        <f>ROW(SmtRes!A34)</f>
        <v>34</v>
      </c>
      <c r="D77">
        <f>ROW(EtalonRes!A34)</f>
        <v>34</v>
      </c>
      <c r="E77" t="s">
        <v>130</v>
      </c>
      <c r="F77" t="s">
        <v>131</v>
      </c>
      <c r="G77" t="s">
        <v>132</v>
      </c>
      <c r="H77" t="s">
        <v>28</v>
      </c>
      <c r="I77">
        <f>ROUND(0.75/10,9)</f>
        <v>7.4999999999999997E-2</v>
      </c>
      <c r="J77">
        <v>0</v>
      </c>
      <c r="O77">
        <f>ROUND(CP77,2)</f>
        <v>1282.8399999999999</v>
      </c>
      <c r="P77">
        <f>ROUND(CQ77*I77,2)</f>
        <v>0</v>
      </c>
      <c r="Q77">
        <f>ROUND(CR77*I77,2)</f>
        <v>0</v>
      </c>
      <c r="R77">
        <f>ROUND(CS77*I77,2)</f>
        <v>0</v>
      </c>
      <c r="S77">
        <f>ROUND(CT77*I77,2)</f>
        <v>1282.8399999999999</v>
      </c>
      <c r="T77">
        <f>ROUND(CU77*I77,2)</f>
        <v>0</v>
      </c>
      <c r="U77">
        <f>CV77*I77</f>
        <v>7.45275</v>
      </c>
      <c r="V77">
        <f>CW77*I77</f>
        <v>0</v>
      </c>
      <c r="W77">
        <f>ROUND(CX77*I77,2)</f>
        <v>0</v>
      </c>
      <c r="X77">
        <f t="shared" si="70"/>
        <v>897.99</v>
      </c>
      <c r="Y77">
        <f t="shared" si="70"/>
        <v>0</v>
      </c>
      <c r="AA77">
        <v>53202630</v>
      </c>
      <c r="AB77">
        <f>ROUND((AC77+AD77+AF77),6)</f>
        <v>17104.560000000001</v>
      </c>
      <c r="AC77">
        <f>ROUND((ES77),6)</f>
        <v>0</v>
      </c>
      <c r="AD77">
        <f>ROUND((((ET77)-(EU77))+AE77),6)</f>
        <v>0</v>
      </c>
      <c r="AE77">
        <f t="shared" si="71"/>
        <v>0</v>
      </c>
      <c r="AF77">
        <f t="shared" si="71"/>
        <v>17104.560000000001</v>
      </c>
      <c r="AG77">
        <f>ROUND((AP77),6)</f>
        <v>0</v>
      </c>
      <c r="AH77">
        <f t="shared" si="72"/>
        <v>99.37</v>
      </c>
      <c r="AI77">
        <f t="shared" si="72"/>
        <v>0</v>
      </c>
      <c r="AJ77">
        <f>(AS77)</f>
        <v>0</v>
      </c>
      <c r="AK77">
        <v>17104.560000000001</v>
      </c>
      <c r="AL77">
        <v>0</v>
      </c>
      <c r="AM77">
        <v>0</v>
      </c>
      <c r="AN77">
        <v>0</v>
      </c>
      <c r="AO77">
        <v>17104.560000000001</v>
      </c>
      <c r="AP77">
        <v>0</v>
      </c>
      <c r="AQ77">
        <v>99.37</v>
      </c>
      <c r="AR77">
        <v>0</v>
      </c>
      <c r="AS77">
        <v>0</v>
      </c>
      <c r="AT77">
        <v>70</v>
      </c>
      <c r="AU77">
        <v>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D77" t="s">
        <v>3</v>
      </c>
      <c r="BE77" t="s">
        <v>3</v>
      </c>
      <c r="BF77" t="s">
        <v>3</v>
      </c>
      <c r="BG77" t="s">
        <v>3</v>
      </c>
      <c r="BH77">
        <v>0</v>
      </c>
      <c r="BI77">
        <v>4</v>
      </c>
      <c r="BJ77" t="s">
        <v>133</v>
      </c>
      <c r="BM77">
        <v>0</v>
      </c>
      <c r="BN77">
        <v>0</v>
      </c>
      <c r="BO77" t="s">
        <v>3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t="s">
        <v>3</v>
      </c>
      <c r="BZ77">
        <v>70</v>
      </c>
      <c r="CA77">
        <v>0</v>
      </c>
      <c r="CE77">
        <v>0</v>
      </c>
      <c r="CF77">
        <v>0</v>
      </c>
      <c r="CG77">
        <v>0</v>
      </c>
      <c r="CM77">
        <v>0</v>
      </c>
      <c r="CN77" t="s">
        <v>3</v>
      </c>
      <c r="CO77">
        <v>0</v>
      </c>
      <c r="CP77">
        <f>(P77+Q77+S77)</f>
        <v>1282.8399999999999</v>
      </c>
      <c r="CQ77">
        <f>(AC77*BC77*AW77)</f>
        <v>0</v>
      </c>
      <c r="CR77">
        <f>((((ET77)*BB77-(EU77)*BS77)+AE77*BS77)*AV77)</f>
        <v>0</v>
      </c>
      <c r="CS77">
        <f>(AE77*BS77*AV77)</f>
        <v>0</v>
      </c>
      <c r="CT77">
        <f>(AF77*BA77*AV77)</f>
        <v>17104.560000000001</v>
      </c>
      <c r="CU77">
        <f>AG77</f>
        <v>0</v>
      </c>
      <c r="CV77">
        <f>(AH77*AV77)</f>
        <v>99.37</v>
      </c>
      <c r="CW77">
        <f t="shared" si="73"/>
        <v>0</v>
      </c>
      <c r="CX77">
        <f t="shared" si="73"/>
        <v>0</v>
      </c>
      <c r="CY77">
        <f>((S77*BZ77)/100)</f>
        <v>897.98799999999983</v>
      </c>
      <c r="CZ77">
        <f>((S77*CA77)/100)</f>
        <v>0</v>
      </c>
      <c r="DC77" t="s">
        <v>3</v>
      </c>
      <c r="DD77" t="s">
        <v>3</v>
      </c>
      <c r="DE77" t="s">
        <v>3</v>
      </c>
      <c r="DF77" t="s">
        <v>3</v>
      </c>
      <c r="DG77" t="s">
        <v>3</v>
      </c>
      <c r="DH77" t="s">
        <v>3</v>
      </c>
      <c r="DI77" t="s">
        <v>3</v>
      </c>
      <c r="DJ77" t="s">
        <v>3</v>
      </c>
      <c r="DK77" t="s">
        <v>3</v>
      </c>
      <c r="DL77" t="s">
        <v>3</v>
      </c>
      <c r="DM77" t="s">
        <v>3</v>
      </c>
      <c r="DN77">
        <v>0</v>
      </c>
      <c r="DO77">
        <v>0</v>
      </c>
      <c r="DP77">
        <v>1</v>
      </c>
      <c r="DQ77">
        <v>1</v>
      </c>
      <c r="DU77">
        <v>1013</v>
      </c>
      <c r="DV77" t="s">
        <v>28</v>
      </c>
      <c r="DW77" t="s">
        <v>28</v>
      </c>
      <c r="DX77">
        <v>1</v>
      </c>
      <c r="EE77">
        <v>48810626</v>
      </c>
      <c r="EF77">
        <v>1</v>
      </c>
      <c r="EG77" t="s">
        <v>30</v>
      </c>
      <c r="EH77">
        <v>0</v>
      </c>
      <c r="EI77" t="s">
        <v>3</v>
      </c>
      <c r="EJ77">
        <v>4</v>
      </c>
      <c r="EK77">
        <v>0</v>
      </c>
      <c r="EL77" t="s">
        <v>31</v>
      </c>
      <c r="EM77" t="s">
        <v>32</v>
      </c>
      <c r="EO77" t="s">
        <v>3</v>
      </c>
      <c r="EQ77">
        <v>131072</v>
      </c>
      <c r="ER77">
        <v>17104.560000000001</v>
      </c>
      <c r="ES77">
        <v>0</v>
      </c>
      <c r="ET77">
        <v>0</v>
      </c>
      <c r="EU77">
        <v>0</v>
      </c>
      <c r="EV77">
        <v>17104.560000000001</v>
      </c>
      <c r="EW77">
        <v>99.37</v>
      </c>
      <c r="EX77">
        <v>0</v>
      </c>
      <c r="EY77">
        <v>0</v>
      </c>
      <c r="FQ77">
        <v>0</v>
      </c>
      <c r="FR77">
        <f>ROUND(IF(AND(BH77=3,BI77=3),P77,0),2)</f>
        <v>0</v>
      </c>
      <c r="FS77">
        <v>0</v>
      </c>
      <c r="FX77">
        <v>70</v>
      </c>
      <c r="FY77">
        <v>0</v>
      </c>
      <c r="GA77" t="s">
        <v>3</v>
      </c>
      <c r="GD77">
        <v>0</v>
      </c>
      <c r="GF77">
        <v>1163064662</v>
      </c>
      <c r="GG77">
        <v>2</v>
      </c>
      <c r="GH77">
        <v>1</v>
      </c>
      <c r="GI77">
        <v>-2</v>
      </c>
      <c r="GJ77">
        <v>0</v>
      </c>
      <c r="GK77">
        <f>ROUND(R77*(R12)/100,2)</f>
        <v>0</v>
      </c>
      <c r="GL77">
        <f>ROUND(IF(AND(BH77=3,BI77=3,FS77&lt;&gt;0),P77,0),2)</f>
        <v>0</v>
      </c>
      <c r="GM77">
        <f>ROUND(O77+X77+Y77+GK77,2)+GX77</f>
        <v>2180.83</v>
      </c>
      <c r="GN77">
        <f>IF(OR(BI77=0,BI77=1),ROUND(O77+X77+Y77+GK77,2),0)</f>
        <v>0</v>
      </c>
      <c r="GO77">
        <f>IF(BI77=2,ROUND(O77+X77+Y77+GK77,2),0)</f>
        <v>0</v>
      </c>
      <c r="GP77">
        <f>IF(BI77=4,ROUND(O77+X77+Y77+GK77,2)+GX77,0)</f>
        <v>2180.83</v>
      </c>
      <c r="GR77">
        <v>0</v>
      </c>
      <c r="GS77">
        <v>3</v>
      </c>
      <c r="GT77">
        <v>0</v>
      </c>
      <c r="GU77" t="s">
        <v>3</v>
      </c>
      <c r="GV77">
        <f>ROUND((GT77),6)</f>
        <v>0</v>
      </c>
      <c r="GW77">
        <v>1</v>
      </c>
      <c r="GX77">
        <f>ROUND(HC77*I77,2)</f>
        <v>0</v>
      </c>
      <c r="HA77">
        <v>0</v>
      </c>
      <c r="HB77">
        <v>0</v>
      </c>
      <c r="HC77">
        <f>GV77*GW77</f>
        <v>0</v>
      </c>
      <c r="IK77">
        <v>0</v>
      </c>
    </row>
    <row r="78" spans="1:245" x14ac:dyDescent="0.2">
      <c r="A78">
        <v>17</v>
      </c>
      <c r="B78">
        <v>1</v>
      </c>
      <c r="C78">
        <f>ROW(SmtRes!A41)</f>
        <v>41</v>
      </c>
      <c r="D78">
        <f>ROW(EtalonRes!A41)</f>
        <v>41</v>
      </c>
      <c r="E78" t="s">
        <v>134</v>
      </c>
      <c r="F78" t="s">
        <v>64</v>
      </c>
      <c r="G78" t="s">
        <v>65</v>
      </c>
      <c r="H78" t="s">
        <v>61</v>
      </c>
      <c r="I78">
        <f>ROUND(3/10,9)</f>
        <v>0.3</v>
      </c>
      <c r="J78">
        <v>0</v>
      </c>
      <c r="O78">
        <f>ROUND(CP78,2)</f>
        <v>8795.07</v>
      </c>
      <c r="P78">
        <f>ROUND(CQ78*I78,2)</f>
        <v>423.68</v>
      </c>
      <c r="Q78">
        <f>ROUND(CR78*I78,2)</f>
        <v>1887.83</v>
      </c>
      <c r="R78">
        <f>ROUND(CS78*I78,2)</f>
        <v>424.17</v>
      </c>
      <c r="S78">
        <f>ROUND(CT78*I78,2)</f>
        <v>6483.56</v>
      </c>
      <c r="T78">
        <f>ROUND(CU78*I78,2)</f>
        <v>0</v>
      </c>
      <c r="U78">
        <f>CV78*I78</f>
        <v>28.667999999999999</v>
      </c>
      <c r="V78">
        <f>CW78*I78</f>
        <v>0</v>
      </c>
      <c r="W78">
        <f>ROUND(CX78*I78,2)</f>
        <v>0</v>
      </c>
      <c r="X78">
        <f t="shared" si="70"/>
        <v>4538.49</v>
      </c>
      <c r="Y78">
        <f t="shared" si="70"/>
        <v>0</v>
      </c>
      <c r="AA78">
        <v>53202630</v>
      </c>
      <c r="AB78">
        <f>ROUND((AC78+AD78+AF78),6)</f>
        <v>29316.880000000001</v>
      </c>
      <c r="AC78">
        <f>ROUND((ES78),6)</f>
        <v>1412.27</v>
      </c>
      <c r="AD78">
        <f>ROUND((((ET78)-(EU78))+AE78),6)</f>
        <v>6292.76</v>
      </c>
      <c r="AE78">
        <f t="shared" si="71"/>
        <v>1413.9</v>
      </c>
      <c r="AF78">
        <f t="shared" si="71"/>
        <v>21611.85</v>
      </c>
      <c r="AG78">
        <f>ROUND((AP78),6)</f>
        <v>0</v>
      </c>
      <c r="AH78">
        <f t="shared" si="72"/>
        <v>95.56</v>
      </c>
      <c r="AI78">
        <f t="shared" si="72"/>
        <v>0</v>
      </c>
      <c r="AJ78">
        <f>(AS78)</f>
        <v>0</v>
      </c>
      <c r="AK78">
        <v>29316.880000000001</v>
      </c>
      <c r="AL78">
        <v>1412.27</v>
      </c>
      <c r="AM78">
        <v>6292.76</v>
      </c>
      <c r="AN78">
        <v>1413.9</v>
      </c>
      <c r="AO78">
        <v>21611.85</v>
      </c>
      <c r="AP78">
        <v>0</v>
      </c>
      <c r="AQ78">
        <v>95.56</v>
      </c>
      <c r="AR78">
        <v>0</v>
      </c>
      <c r="AS78">
        <v>0</v>
      </c>
      <c r="AT78">
        <v>70</v>
      </c>
      <c r="AU78">
        <v>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D78" t="s">
        <v>3</v>
      </c>
      <c r="BE78" t="s">
        <v>3</v>
      </c>
      <c r="BF78" t="s">
        <v>3</v>
      </c>
      <c r="BG78" t="s">
        <v>3</v>
      </c>
      <c r="BH78">
        <v>0</v>
      </c>
      <c r="BI78">
        <v>4</v>
      </c>
      <c r="BJ78" t="s">
        <v>66</v>
      </c>
      <c r="BM78">
        <v>0</v>
      </c>
      <c r="BN78">
        <v>0</v>
      </c>
      <c r="BO78" t="s">
        <v>3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70</v>
      </c>
      <c r="CA78">
        <v>0</v>
      </c>
      <c r="CE78">
        <v>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>(P78+Q78+S78)</f>
        <v>8795.07</v>
      </c>
      <c r="CQ78">
        <f>(AC78*BC78*AW78)</f>
        <v>1412.27</v>
      </c>
      <c r="CR78">
        <f>((((ET78)*BB78-(EU78)*BS78)+AE78*BS78)*AV78)</f>
        <v>6292.76</v>
      </c>
      <c r="CS78">
        <f>(AE78*BS78*AV78)</f>
        <v>1413.9</v>
      </c>
      <c r="CT78">
        <f>(AF78*BA78*AV78)</f>
        <v>21611.85</v>
      </c>
      <c r="CU78">
        <f>AG78</f>
        <v>0</v>
      </c>
      <c r="CV78">
        <f>(AH78*AV78)</f>
        <v>95.56</v>
      </c>
      <c r="CW78">
        <f t="shared" si="73"/>
        <v>0</v>
      </c>
      <c r="CX78">
        <f t="shared" si="73"/>
        <v>0</v>
      </c>
      <c r="CY78">
        <f>((S78*BZ78)/100)</f>
        <v>4538.4920000000002</v>
      </c>
      <c r="CZ78">
        <f>((S78*CA78)/100)</f>
        <v>0</v>
      </c>
      <c r="DC78" t="s">
        <v>3</v>
      </c>
      <c r="DD78" t="s">
        <v>3</v>
      </c>
      <c r="DE78" t="s">
        <v>3</v>
      </c>
      <c r="DF78" t="s">
        <v>3</v>
      </c>
      <c r="DG78" t="s">
        <v>3</v>
      </c>
      <c r="DH78" t="s">
        <v>3</v>
      </c>
      <c r="DI78" t="s">
        <v>3</v>
      </c>
      <c r="DJ78" t="s">
        <v>3</v>
      </c>
      <c r="DK78" t="s">
        <v>3</v>
      </c>
      <c r="DL78" t="s">
        <v>3</v>
      </c>
      <c r="DM78" t="s">
        <v>3</v>
      </c>
      <c r="DN78">
        <v>0</v>
      </c>
      <c r="DO78">
        <v>0</v>
      </c>
      <c r="DP78">
        <v>1</v>
      </c>
      <c r="DQ78">
        <v>1</v>
      </c>
      <c r="DU78">
        <v>1010</v>
      </c>
      <c r="DV78" t="s">
        <v>61</v>
      </c>
      <c r="DW78" t="s">
        <v>61</v>
      </c>
      <c r="DX78">
        <v>10</v>
      </c>
      <c r="EE78">
        <v>48810626</v>
      </c>
      <c r="EF78">
        <v>1</v>
      </c>
      <c r="EG78" t="s">
        <v>30</v>
      </c>
      <c r="EH78">
        <v>0</v>
      </c>
      <c r="EI78" t="s">
        <v>3</v>
      </c>
      <c r="EJ78">
        <v>4</v>
      </c>
      <c r="EK78">
        <v>0</v>
      </c>
      <c r="EL78" t="s">
        <v>31</v>
      </c>
      <c r="EM78" t="s">
        <v>32</v>
      </c>
      <c r="EO78" t="s">
        <v>3</v>
      </c>
      <c r="EQ78">
        <v>131072</v>
      </c>
      <c r="ER78">
        <v>29316.880000000001</v>
      </c>
      <c r="ES78">
        <v>1412.27</v>
      </c>
      <c r="ET78">
        <v>6292.76</v>
      </c>
      <c r="EU78">
        <v>1413.9</v>
      </c>
      <c r="EV78">
        <v>21611.85</v>
      </c>
      <c r="EW78">
        <v>95.56</v>
      </c>
      <c r="EX78">
        <v>0</v>
      </c>
      <c r="EY78">
        <v>0</v>
      </c>
      <c r="FQ78">
        <v>0</v>
      </c>
      <c r="FR78">
        <f>ROUND(IF(AND(BH78=3,BI78=3),P78,0),2)</f>
        <v>0</v>
      </c>
      <c r="FS78">
        <v>0</v>
      </c>
      <c r="FX78">
        <v>70</v>
      </c>
      <c r="FY78">
        <v>0</v>
      </c>
      <c r="GA78" t="s">
        <v>3</v>
      </c>
      <c r="GD78">
        <v>0</v>
      </c>
      <c r="GF78">
        <v>-1200473938</v>
      </c>
      <c r="GG78">
        <v>2</v>
      </c>
      <c r="GH78">
        <v>1</v>
      </c>
      <c r="GI78">
        <v>-2</v>
      </c>
      <c r="GJ78">
        <v>0</v>
      </c>
      <c r="GK78">
        <f>ROUND(R78*(R12)/100,2)</f>
        <v>330.85</v>
      </c>
      <c r="GL78">
        <f>ROUND(IF(AND(BH78=3,BI78=3,FS78&lt;&gt;0),P78,0),2)</f>
        <v>0</v>
      </c>
      <c r="GM78">
        <f>ROUND(O78+X78+Y78+GK78,2)+GX78</f>
        <v>13664.41</v>
      </c>
      <c r="GN78">
        <f>IF(OR(BI78=0,BI78=1),ROUND(O78+X78+Y78+GK78,2),0)</f>
        <v>0</v>
      </c>
      <c r="GO78">
        <f>IF(BI78=2,ROUND(O78+X78+Y78+GK78,2),0)</f>
        <v>0</v>
      </c>
      <c r="GP78">
        <f>IF(BI78=4,ROUND(O78+X78+Y78+GK78,2)+GX78,0)</f>
        <v>13664.41</v>
      </c>
      <c r="GR78">
        <v>0</v>
      </c>
      <c r="GS78">
        <v>3</v>
      </c>
      <c r="GT78">
        <v>0</v>
      </c>
      <c r="GU78" t="s">
        <v>3</v>
      </c>
      <c r="GV78">
        <f>ROUND((GT78),6)</f>
        <v>0</v>
      </c>
      <c r="GW78">
        <v>1</v>
      </c>
      <c r="GX78">
        <f>ROUND(HC78*I78,2)</f>
        <v>0</v>
      </c>
      <c r="HA78">
        <v>0</v>
      </c>
      <c r="HB78">
        <v>0</v>
      </c>
      <c r="HC78">
        <f>GV78*GW78</f>
        <v>0</v>
      </c>
      <c r="IK78">
        <v>0</v>
      </c>
    </row>
    <row r="79" spans="1:245" x14ac:dyDescent="0.2">
      <c r="A79">
        <v>18</v>
      </c>
      <c r="B79">
        <v>1</v>
      </c>
      <c r="C79">
        <v>40</v>
      </c>
      <c r="E79" t="s">
        <v>135</v>
      </c>
      <c r="F79" t="s">
        <v>68</v>
      </c>
      <c r="G79" t="s">
        <v>69</v>
      </c>
      <c r="H79" t="s">
        <v>70</v>
      </c>
      <c r="I79">
        <f>I78*J79</f>
        <v>3</v>
      </c>
      <c r="J79">
        <v>10</v>
      </c>
      <c r="O79">
        <f>ROUND(CP79,2)</f>
        <v>35441.01</v>
      </c>
      <c r="P79">
        <f>ROUND(CQ79*I79,2)</f>
        <v>35441.01</v>
      </c>
      <c r="Q79">
        <f>ROUND(CR79*I79,2)</f>
        <v>0</v>
      </c>
      <c r="R79">
        <f>ROUND(CS79*I79,2)</f>
        <v>0</v>
      </c>
      <c r="S79">
        <f>ROUND(CT79*I79,2)</f>
        <v>0</v>
      </c>
      <c r="T79">
        <f>ROUND(CU79*I79,2)</f>
        <v>0</v>
      </c>
      <c r="U79">
        <f>CV79*I79</f>
        <v>0</v>
      </c>
      <c r="V79">
        <f>CW79*I79</f>
        <v>0</v>
      </c>
      <c r="W79">
        <f>ROUND(CX79*I79,2)</f>
        <v>0</v>
      </c>
      <c r="X79">
        <f t="shared" si="70"/>
        <v>0</v>
      </c>
      <c r="Y79">
        <f t="shared" si="70"/>
        <v>0</v>
      </c>
      <c r="AA79">
        <v>53202630</v>
      </c>
      <c r="AB79">
        <f>ROUND((AC79+AD79+AF79),6)</f>
        <v>11813.67</v>
      </c>
      <c r="AC79">
        <f>ROUND((ES79),6)</f>
        <v>11813.67</v>
      </c>
      <c r="AD79">
        <f>ROUND((((ET79)-(EU79))+AE79),6)</f>
        <v>0</v>
      </c>
      <c r="AE79">
        <f t="shared" si="71"/>
        <v>0</v>
      </c>
      <c r="AF79">
        <f t="shared" si="71"/>
        <v>0</v>
      </c>
      <c r="AG79">
        <f>ROUND((AP79),6)</f>
        <v>0</v>
      </c>
      <c r="AH79">
        <f t="shared" si="72"/>
        <v>0</v>
      </c>
      <c r="AI79">
        <f t="shared" si="72"/>
        <v>0</v>
      </c>
      <c r="AJ79">
        <f>(AS79)</f>
        <v>0</v>
      </c>
      <c r="AK79">
        <v>11813.67</v>
      </c>
      <c r="AL79">
        <v>11813.67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3</v>
      </c>
      <c r="BI79">
        <v>4</v>
      </c>
      <c r="BJ79" t="s">
        <v>71</v>
      </c>
      <c r="BM79">
        <v>0</v>
      </c>
      <c r="BN79">
        <v>0</v>
      </c>
      <c r="BO79" t="s">
        <v>3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>(P79+Q79+S79)</f>
        <v>35441.01</v>
      </c>
      <c r="CQ79">
        <f>(AC79*BC79*AW79)</f>
        <v>11813.67</v>
      </c>
      <c r="CR79">
        <f>((((ET79)*BB79-(EU79)*BS79)+AE79*BS79)*AV79)</f>
        <v>0</v>
      </c>
      <c r="CS79">
        <f>(AE79*BS79*AV79)</f>
        <v>0</v>
      </c>
      <c r="CT79">
        <f>(AF79*BA79*AV79)</f>
        <v>0</v>
      </c>
      <c r="CU79">
        <f>AG79</f>
        <v>0</v>
      </c>
      <c r="CV79">
        <f>(AH79*AV79)</f>
        <v>0</v>
      </c>
      <c r="CW79">
        <f t="shared" si="73"/>
        <v>0</v>
      </c>
      <c r="CX79">
        <f t="shared" si="73"/>
        <v>0</v>
      </c>
      <c r="CY79">
        <f>((S79*BZ79)/100)</f>
        <v>0</v>
      </c>
      <c r="CZ79">
        <f>((S79*CA79)/100)</f>
        <v>0</v>
      </c>
      <c r="DC79" t="s">
        <v>3</v>
      </c>
      <c r="DD79" t="s">
        <v>3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1010</v>
      </c>
      <c r="DV79" t="s">
        <v>70</v>
      </c>
      <c r="DW79" t="s">
        <v>70</v>
      </c>
      <c r="DX79">
        <v>1</v>
      </c>
      <c r="EE79">
        <v>48810626</v>
      </c>
      <c r="EF79">
        <v>1</v>
      </c>
      <c r="EG79" t="s">
        <v>30</v>
      </c>
      <c r="EH79">
        <v>0</v>
      </c>
      <c r="EI79" t="s">
        <v>3</v>
      </c>
      <c r="EJ79">
        <v>4</v>
      </c>
      <c r="EK79">
        <v>0</v>
      </c>
      <c r="EL79" t="s">
        <v>31</v>
      </c>
      <c r="EM79" t="s">
        <v>32</v>
      </c>
      <c r="EO79" t="s">
        <v>3</v>
      </c>
      <c r="EQ79">
        <v>0</v>
      </c>
      <c r="ER79">
        <v>11813.67</v>
      </c>
      <c r="ES79">
        <v>11813.67</v>
      </c>
      <c r="ET79">
        <v>0</v>
      </c>
      <c r="EU79">
        <v>0</v>
      </c>
      <c r="EV79">
        <v>0</v>
      </c>
      <c r="EW79">
        <v>0</v>
      </c>
      <c r="EX79">
        <v>0</v>
      </c>
      <c r="FQ79">
        <v>0</v>
      </c>
      <c r="FR79">
        <f>ROUND(IF(AND(BH79=3,BI79=3),P79,0),2)</f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700882888</v>
      </c>
      <c r="GG79">
        <v>2</v>
      </c>
      <c r="GH79">
        <v>1</v>
      </c>
      <c r="GI79">
        <v>-2</v>
      </c>
      <c r="GJ79">
        <v>0</v>
      </c>
      <c r="GK79">
        <f>ROUND(R79*(R12)/100,2)</f>
        <v>0</v>
      </c>
      <c r="GL79">
        <f>ROUND(IF(AND(BH79=3,BI79=3,FS79&lt;&gt;0),P79,0),2)</f>
        <v>0</v>
      </c>
      <c r="GM79">
        <f>ROUND(O79+X79+Y79+GK79,2)+GX79</f>
        <v>35441.01</v>
      </c>
      <c r="GN79">
        <f>IF(OR(BI79=0,BI79=1),ROUND(O79+X79+Y79+GK79,2),0)</f>
        <v>0</v>
      </c>
      <c r="GO79">
        <f>IF(BI79=2,ROUND(O79+X79+Y79+GK79,2),0)</f>
        <v>0</v>
      </c>
      <c r="GP79">
        <f>IF(BI79=4,ROUND(O79+X79+Y79+GK79,2)+GX79,0)</f>
        <v>35441.01</v>
      </c>
      <c r="GR79">
        <v>0</v>
      </c>
      <c r="GS79">
        <v>3</v>
      </c>
      <c r="GT79">
        <v>0</v>
      </c>
      <c r="GU79" t="s">
        <v>3</v>
      </c>
      <c r="GV79">
        <f>ROUND((GT79),6)</f>
        <v>0</v>
      </c>
      <c r="GW79">
        <v>1</v>
      </c>
      <c r="GX79">
        <f>ROUND(HC79*I79,2)</f>
        <v>0</v>
      </c>
      <c r="HA79">
        <v>0</v>
      </c>
      <c r="HB79">
        <v>0</v>
      </c>
      <c r="HC79">
        <f>GV79*GW79</f>
        <v>0</v>
      </c>
      <c r="IK79">
        <v>0</v>
      </c>
    </row>
    <row r="81" spans="1:206" x14ac:dyDescent="0.2">
      <c r="A81" s="2">
        <v>51</v>
      </c>
      <c r="B81" s="2">
        <f>B71</f>
        <v>1</v>
      </c>
      <c r="C81" s="2">
        <f>A71</f>
        <v>5</v>
      </c>
      <c r="D81" s="2">
        <f>ROW(A71)</f>
        <v>71</v>
      </c>
      <c r="E81" s="2"/>
      <c r="F81" s="2" t="str">
        <f>IF(F71&lt;&gt;"",F71,"")</f>
        <v>Новый подраздел</v>
      </c>
      <c r="G81" s="2" t="str">
        <f>IF(G71&lt;&gt;"",G71,"")</f>
        <v>Восстановление отпада</v>
      </c>
      <c r="H81" s="2">
        <v>0</v>
      </c>
      <c r="I81" s="2"/>
      <c r="J81" s="2"/>
      <c r="K81" s="2"/>
      <c r="L81" s="2"/>
      <c r="M81" s="2"/>
      <c r="N81" s="2"/>
      <c r="O81" s="2">
        <f t="shared" ref="O81:T81" si="74">ROUND(AB81,2)</f>
        <v>77832.25</v>
      </c>
      <c r="P81" s="2">
        <f t="shared" si="74"/>
        <v>43856.37</v>
      </c>
      <c r="Q81" s="2">
        <f t="shared" si="74"/>
        <v>2544.46</v>
      </c>
      <c r="R81" s="2">
        <f t="shared" si="74"/>
        <v>712.39</v>
      </c>
      <c r="S81" s="2">
        <f t="shared" si="74"/>
        <v>31431.42</v>
      </c>
      <c r="T81" s="2">
        <f t="shared" si="74"/>
        <v>0</v>
      </c>
      <c r="U81" s="2">
        <f>AH81</f>
        <v>153.20325</v>
      </c>
      <c r="V81" s="2">
        <f>AI81</f>
        <v>0</v>
      </c>
      <c r="W81" s="2">
        <f>ROUND(AJ81,2)</f>
        <v>0</v>
      </c>
      <c r="X81" s="2">
        <f>ROUND(AK81,2)</f>
        <v>22002</v>
      </c>
      <c r="Y81" s="2">
        <f>ROUND(AL81,2)</f>
        <v>0</v>
      </c>
      <c r="Z81" s="2"/>
      <c r="AA81" s="2"/>
      <c r="AB81" s="2">
        <f>ROUND(SUMIF(AA75:AA79,"=53202630",O75:O79),2)</f>
        <v>77832.25</v>
      </c>
      <c r="AC81" s="2">
        <f>ROUND(SUMIF(AA75:AA79,"=53202630",P75:P79),2)</f>
        <v>43856.37</v>
      </c>
      <c r="AD81" s="2">
        <f>ROUND(SUMIF(AA75:AA79,"=53202630",Q75:Q79),2)</f>
        <v>2544.46</v>
      </c>
      <c r="AE81" s="2">
        <f>ROUND(SUMIF(AA75:AA79,"=53202630",R75:R79),2)</f>
        <v>712.39</v>
      </c>
      <c r="AF81" s="2">
        <f>ROUND(SUMIF(AA75:AA79,"=53202630",S75:S79),2)</f>
        <v>31431.42</v>
      </c>
      <c r="AG81" s="2">
        <f>ROUND(SUMIF(AA75:AA79,"=53202630",T75:T79),2)</f>
        <v>0</v>
      </c>
      <c r="AH81" s="2">
        <f>SUMIF(AA75:AA79,"=53202630",U75:U79)</f>
        <v>153.20325</v>
      </c>
      <c r="AI81" s="2">
        <f>SUMIF(AA75:AA79,"=53202630",V75:V79)</f>
        <v>0</v>
      </c>
      <c r="AJ81" s="2">
        <f>ROUND(SUMIF(AA75:AA79,"=53202630",W75:W79),2)</f>
        <v>0</v>
      </c>
      <c r="AK81" s="2">
        <f>ROUND(SUMIF(AA75:AA79,"=53202630",X75:X79),2)</f>
        <v>22002</v>
      </c>
      <c r="AL81" s="2">
        <f>ROUND(SUMIF(AA75:AA79,"=53202630",Y75:Y79),2)</f>
        <v>0</v>
      </c>
      <c r="AM81" s="2"/>
      <c r="AN81" s="2"/>
      <c r="AO81" s="2">
        <f t="shared" ref="AO81:BC81" si="75">ROUND(BX81,2)</f>
        <v>0</v>
      </c>
      <c r="AP81" s="2">
        <f t="shared" si="75"/>
        <v>0</v>
      </c>
      <c r="AQ81" s="2">
        <f t="shared" si="75"/>
        <v>0</v>
      </c>
      <c r="AR81" s="2">
        <f t="shared" si="75"/>
        <v>100389.91</v>
      </c>
      <c r="AS81" s="2">
        <f t="shared" si="75"/>
        <v>0</v>
      </c>
      <c r="AT81" s="2">
        <f t="shared" si="75"/>
        <v>0</v>
      </c>
      <c r="AU81" s="2">
        <f t="shared" si="75"/>
        <v>100389.91</v>
      </c>
      <c r="AV81" s="2">
        <f t="shared" si="75"/>
        <v>43856.37</v>
      </c>
      <c r="AW81" s="2">
        <f t="shared" si="75"/>
        <v>43856.37</v>
      </c>
      <c r="AX81" s="2">
        <f t="shared" si="75"/>
        <v>0</v>
      </c>
      <c r="AY81" s="2">
        <f t="shared" si="75"/>
        <v>43856.37</v>
      </c>
      <c r="AZ81" s="2">
        <f t="shared" si="75"/>
        <v>0</v>
      </c>
      <c r="BA81" s="2">
        <f t="shared" si="75"/>
        <v>0</v>
      </c>
      <c r="BB81" s="2">
        <f t="shared" si="75"/>
        <v>0</v>
      </c>
      <c r="BC81" s="2">
        <f t="shared" si="75"/>
        <v>0</v>
      </c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>
        <f>ROUND(SUMIF(AA75:AA79,"=53202630",FQ75:FQ79),2)</f>
        <v>0</v>
      </c>
      <c r="BY81" s="2">
        <f>ROUND(SUMIF(AA75:AA79,"=53202630",FR75:FR79),2)</f>
        <v>0</v>
      </c>
      <c r="BZ81" s="2">
        <f>ROUND(SUMIF(AA75:AA79,"=53202630",GL75:GL79),2)</f>
        <v>0</v>
      </c>
      <c r="CA81" s="2">
        <f>ROUND(SUMIF(AA75:AA79,"=53202630",GM75:GM79),2)</f>
        <v>100389.91</v>
      </c>
      <c r="CB81" s="2">
        <f>ROUND(SUMIF(AA75:AA79,"=53202630",GN75:GN79),2)</f>
        <v>0</v>
      </c>
      <c r="CC81" s="2">
        <f>ROUND(SUMIF(AA75:AA79,"=53202630",GO75:GO79),2)</f>
        <v>0</v>
      </c>
      <c r="CD81" s="2">
        <f>ROUND(SUMIF(AA75:AA79,"=53202630",GP75:GP79),2)</f>
        <v>100389.91</v>
      </c>
      <c r="CE81" s="2">
        <f>AC81-BX81</f>
        <v>43856.37</v>
      </c>
      <c r="CF81" s="2">
        <f>AC81-BY81</f>
        <v>43856.37</v>
      </c>
      <c r="CG81" s="2">
        <f>BX81-BZ81</f>
        <v>0</v>
      </c>
      <c r="CH81" s="2">
        <f>AC81-BX81-BY81+BZ81</f>
        <v>43856.37</v>
      </c>
      <c r="CI81" s="2">
        <f>BY81-BZ81</f>
        <v>0</v>
      </c>
      <c r="CJ81" s="2">
        <f>ROUND(SUMIF(AA75:AA79,"=53202630",GX75:GX79),2)</f>
        <v>0</v>
      </c>
      <c r="CK81" s="2">
        <f>ROUND(SUMIF(AA75:AA79,"=53202630",GY75:GY79),2)</f>
        <v>0</v>
      </c>
      <c r="CL81" s="2">
        <f>ROUND(SUMIF(AA75:AA79,"=53202630",GZ75:GZ79),2)</f>
        <v>0</v>
      </c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>
        <v>0</v>
      </c>
    </row>
    <row r="83" spans="1:206" x14ac:dyDescent="0.2">
      <c r="A83" s="4">
        <v>50</v>
      </c>
      <c r="B83" s="4">
        <v>0</v>
      </c>
      <c r="C83" s="4">
        <v>0</v>
      </c>
      <c r="D83" s="4">
        <v>1</v>
      </c>
      <c r="E83" s="4">
        <v>201</v>
      </c>
      <c r="F83" s="4">
        <f>ROUND(Source!O81,O83)</f>
        <v>77832.25</v>
      </c>
      <c r="G83" s="4" t="s">
        <v>72</v>
      </c>
      <c r="H83" s="4" t="s">
        <v>73</v>
      </c>
      <c r="I83" s="4"/>
      <c r="J83" s="4"/>
      <c r="K83" s="4">
        <v>201</v>
      </c>
      <c r="L83" s="4">
        <v>1</v>
      </c>
      <c r="M83" s="4">
        <v>3</v>
      </c>
      <c r="N83" s="4" t="s">
        <v>3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06" x14ac:dyDescent="0.2">
      <c r="A84" s="4">
        <v>50</v>
      </c>
      <c r="B84" s="4">
        <v>0</v>
      </c>
      <c r="C84" s="4">
        <v>0</v>
      </c>
      <c r="D84" s="4">
        <v>1</v>
      </c>
      <c r="E84" s="4">
        <v>202</v>
      </c>
      <c r="F84" s="4">
        <f>ROUND(Source!P81,O84)</f>
        <v>43856.37</v>
      </c>
      <c r="G84" s="4" t="s">
        <v>74</v>
      </c>
      <c r="H84" s="4" t="s">
        <v>75</v>
      </c>
      <c r="I84" s="4"/>
      <c r="J84" s="4"/>
      <c r="K84" s="4">
        <v>202</v>
      </c>
      <c r="L84" s="4">
        <v>2</v>
      </c>
      <c r="M84" s="4">
        <v>3</v>
      </c>
      <c r="N84" s="4" t="s">
        <v>3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06" x14ac:dyDescent="0.2">
      <c r="A85" s="4">
        <v>50</v>
      </c>
      <c r="B85" s="4">
        <v>0</v>
      </c>
      <c r="C85" s="4">
        <v>0</v>
      </c>
      <c r="D85" s="4">
        <v>1</v>
      </c>
      <c r="E85" s="4">
        <v>222</v>
      </c>
      <c r="F85" s="4">
        <f>ROUND(Source!AO81,O85)</f>
        <v>0</v>
      </c>
      <c r="G85" s="4" t="s">
        <v>76</v>
      </c>
      <c r="H85" s="4" t="s">
        <v>77</v>
      </c>
      <c r="I85" s="4"/>
      <c r="J85" s="4"/>
      <c r="K85" s="4">
        <v>222</v>
      </c>
      <c r="L85" s="4">
        <v>3</v>
      </c>
      <c r="M85" s="4">
        <v>3</v>
      </c>
      <c r="N85" s="4" t="s">
        <v>3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06" x14ac:dyDescent="0.2">
      <c r="A86" s="4">
        <v>50</v>
      </c>
      <c r="B86" s="4">
        <v>0</v>
      </c>
      <c r="C86" s="4">
        <v>0</v>
      </c>
      <c r="D86" s="4">
        <v>1</v>
      </c>
      <c r="E86" s="4">
        <v>225</v>
      </c>
      <c r="F86" s="4">
        <f>ROUND(Source!AV81,O86)</f>
        <v>43856.37</v>
      </c>
      <c r="G86" s="4" t="s">
        <v>78</v>
      </c>
      <c r="H86" s="4" t="s">
        <v>79</v>
      </c>
      <c r="I86" s="4"/>
      <c r="J86" s="4"/>
      <c r="K86" s="4">
        <v>225</v>
      </c>
      <c r="L86" s="4">
        <v>4</v>
      </c>
      <c r="M86" s="4">
        <v>3</v>
      </c>
      <c r="N86" s="4" t="s">
        <v>3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06" x14ac:dyDescent="0.2">
      <c r="A87" s="4">
        <v>50</v>
      </c>
      <c r="B87" s="4">
        <v>0</v>
      </c>
      <c r="C87" s="4">
        <v>0</v>
      </c>
      <c r="D87" s="4">
        <v>1</v>
      </c>
      <c r="E87" s="4">
        <v>226</v>
      </c>
      <c r="F87" s="4">
        <f>ROUND(Source!AW81,O87)</f>
        <v>43856.37</v>
      </c>
      <c r="G87" s="4" t="s">
        <v>80</v>
      </c>
      <c r="H87" s="4" t="s">
        <v>81</v>
      </c>
      <c r="I87" s="4"/>
      <c r="J87" s="4"/>
      <c r="K87" s="4">
        <v>226</v>
      </c>
      <c r="L87" s="4">
        <v>5</v>
      </c>
      <c r="M87" s="4">
        <v>3</v>
      </c>
      <c r="N87" s="4" t="s">
        <v>3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06" x14ac:dyDescent="0.2">
      <c r="A88" s="4">
        <v>50</v>
      </c>
      <c r="B88" s="4">
        <v>0</v>
      </c>
      <c r="C88" s="4">
        <v>0</v>
      </c>
      <c r="D88" s="4">
        <v>1</v>
      </c>
      <c r="E88" s="4">
        <v>227</v>
      </c>
      <c r="F88" s="4">
        <f>ROUND(Source!AX81,O88)</f>
        <v>0</v>
      </c>
      <c r="G88" s="4" t="s">
        <v>82</v>
      </c>
      <c r="H88" s="4" t="s">
        <v>83</v>
      </c>
      <c r="I88" s="4"/>
      <c r="J88" s="4"/>
      <c r="K88" s="4">
        <v>227</v>
      </c>
      <c r="L88" s="4">
        <v>6</v>
      </c>
      <c r="M88" s="4">
        <v>3</v>
      </c>
      <c r="N88" s="4" t="s">
        <v>3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06" x14ac:dyDescent="0.2">
      <c r="A89" s="4">
        <v>50</v>
      </c>
      <c r="B89" s="4">
        <v>0</v>
      </c>
      <c r="C89" s="4">
        <v>0</v>
      </c>
      <c r="D89" s="4">
        <v>1</v>
      </c>
      <c r="E89" s="4">
        <v>228</v>
      </c>
      <c r="F89" s="4">
        <f>ROUND(Source!AY81,O89)</f>
        <v>43856.37</v>
      </c>
      <c r="G89" s="4" t="s">
        <v>84</v>
      </c>
      <c r="H89" s="4" t="s">
        <v>85</v>
      </c>
      <c r="I89" s="4"/>
      <c r="J89" s="4"/>
      <c r="K89" s="4">
        <v>228</v>
      </c>
      <c r="L89" s="4">
        <v>7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06" x14ac:dyDescent="0.2">
      <c r="A90" s="4">
        <v>50</v>
      </c>
      <c r="B90" s="4">
        <v>0</v>
      </c>
      <c r="C90" s="4">
        <v>0</v>
      </c>
      <c r="D90" s="4">
        <v>1</v>
      </c>
      <c r="E90" s="4">
        <v>216</v>
      </c>
      <c r="F90" s="4">
        <f>ROUND(Source!AP81,O90)</f>
        <v>0</v>
      </c>
      <c r="G90" s="4" t="s">
        <v>86</v>
      </c>
      <c r="H90" s="4" t="s">
        <v>87</v>
      </c>
      <c r="I90" s="4"/>
      <c r="J90" s="4"/>
      <c r="K90" s="4">
        <v>216</v>
      </c>
      <c r="L90" s="4">
        <v>8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06" x14ac:dyDescent="0.2">
      <c r="A91" s="4">
        <v>50</v>
      </c>
      <c r="B91" s="4">
        <v>0</v>
      </c>
      <c r="C91" s="4">
        <v>0</v>
      </c>
      <c r="D91" s="4">
        <v>1</v>
      </c>
      <c r="E91" s="4">
        <v>223</v>
      </c>
      <c r="F91" s="4">
        <f>ROUND(Source!AQ81,O91)</f>
        <v>0</v>
      </c>
      <c r="G91" s="4" t="s">
        <v>88</v>
      </c>
      <c r="H91" s="4" t="s">
        <v>89</v>
      </c>
      <c r="I91" s="4"/>
      <c r="J91" s="4"/>
      <c r="K91" s="4">
        <v>223</v>
      </c>
      <c r="L91" s="4">
        <v>9</v>
      </c>
      <c r="M91" s="4">
        <v>3</v>
      </c>
      <c r="N91" s="4" t="s">
        <v>3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06" x14ac:dyDescent="0.2">
      <c r="A92" s="4">
        <v>50</v>
      </c>
      <c r="B92" s="4">
        <v>0</v>
      </c>
      <c r="C92" s="4">
        <v>0</v>
      </c>
      <c r="D92" s="4">
        <v>1</v>
      </c>
      <c r="E92" s="4">
        <v>229</v>
      </c>
      <c r="F92" s="4">
        <f>ROUND(Source!AZ81,O92)</f>
        <v>0</v>
      </c>
      <c r="G92" s="4" t="s">
        <v>90</v>
      </c>
      <c r="H92" s="4" t="s">
        <v>91</v>
      </c>
      <c r="I92" s="4"/>
      <c r="J92" s="4"/>
      <c r="K92" s="4">
        <v>229</v>
      </c>
      <c r="L92" s="4">
        <v>10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06" x14ac:dyDescent="0.2">
      <c r="A93" s="4">
        <v>50</v>
      </c>
      <c r="B93" s="4">
        <v>0</v>
      </c>
      <c r="C93" s="4">
        <v>0</v>
      </c>
      <c r="D93" s="4">
        <v>1</v>
      </c>
      <c r="E93" s="4">
        <v>203</v>
      </c>
      <c r="F93" s="4">
        <f>ROUND(Source!Q81,O93)</f>
        <v>2544.46</v>
      </c>
      <c r="G93" s="4" t="s">
        <v>92</v>
      </c>
      <c r="H93" s="4" t="s">
        <v>93</v>
      </c>
      <c r="I93" s="4"/>
      <c r="J93" s="4"/>
      <c r="K93" s="4">
        <v>203</v>
      </c>
      <c r="L93" s="4">
        <v>11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06" x14ac:dyDescent="0.2">
      <c r="A94" s="4">
        <v>50</v>
      </c>
      <c r="B94" s="4">
        <v>0</v>
      </c>
      <c r="C94" s="4">
        <v>0</v>
      </c>
      <c r="D94" s="4">
        <v>1</v>
      </c>
      <c r="E94" s="4">
        <v>231</v>
      </c>
      <c r="F94" s="4">
        <f>ROUND(Source!BB81,O94)</f>
        <v>0</v>
      </c>
      <c r="G94" s="4" t="s">
        <v>94</v>
      </c>
      <c r="H94" s="4" t="s">
        <v>95</v>
      </c>
      <c r="I94" s="4"/>
      <c r="J94" s="4"/>
      <c r="K94" s="4">
        <v>231</v>
      </c>
      <c r="L94" s="4">
        <v>12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06" x14ac:dyDescent="0.2">
      <c r="A95" s="4">
        <v>50</v>
      </c>
      <c r="B95" s="4">
        <v>0</v>
      </c>
      <c r="C95" s="4">
        <v>0</v>
      </c>
      <c r="D95" s="4">
        <v>1</v>
      </c>
      <c r="E95" s="4">
        <v>204</v>
      </c>
      <c r="F95" s="4">
        <f>ROUND(Source!R81,O95)</f>
        <v>712.39</v>
      </c>
      <c r="G95" s="4" t="s">
        <v>96</v>
      </c>
      <c r="H95" s="4" t="s">
        <v>97</v>
      </c>
      <c r="I95" s="4"/>
      <c r="J95" s="4"/>
      <c r="K95" s="4">
        <v>204</v>
      </c>
      <c r="L95" s="4">
        <v>13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06" x14ac:dyDescent="0.2">
      <c r="A96" s="4">
        <v>50</v>
      </c>
      <c r="B96" s="4">
        <v>0</v>
      </c>
      <c r="C96" s="4">
        <v>0</v>
      </c>
      <c r="D96" s="4">
        <v>1</v>
      </c>
      <c r="E96" s="4">
        <v>205</v>
      </c>
      <c r="F96" s="4">
        <f>ROUND(Source!S81,O96)</f>
        <v>31431.42</v>
      </c>
      <c r="G96" s="4" t="s">
        <v>98</v>
      </c>
      <c r="H96" s="4" t="s">
        <v>99</v>
      </c>
      <c r="I96" s="4"/>
      <c r="J96" s="4"/>
      <c r="K96" s="4">
        <v>205</v>
      </c>
      <c r="L96" s="4">
        <v>14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06" x14ac:dyDescent="0.2">
      <c r="A97" s="4">
        <v>50</v>
      </c>
      <c r="B97" s="4">
        <v>0</v>
      </c>
      <c r="C97" s="4">
        <v>0</v>
      </c>
      <c r="D97" s="4">
        <v>1</v>
      </c>
      <c r="E97" s="4">
        <v>232</v>
      </c>
      <c r="F97" s="4">
        <f>ROUND(Source!BC81,O97)</f>
        <v>0</v>
      </c>
      <c r="G97" s="4" t="s">
        <v>100</v>
      </c>
      <c r="H97" s="4" t="s">
        <v>101</v>
      </c>
      <c r="I97" s="4"/>
      <c r="J97" s="4"/>
      <c r="K97" s="4">
        <v>232</v>
      </c>
      <c r="L97" s="4">
        <v>15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06" x14ac:dyDescent="0.2">
      <c r="A98" s="4">
        <v>50</v>
      </c>
      <c r="B98" s="4">
        <v>0</v>
      </c>
      <c r="C98" s="4">
        <v>0</v>
      </c>
      <c r="D98" s="4">
        <v>1</v>
      </c>
      <c r="E98" s="4">
        <v>214</v>
      </c>
      <c r="F98" s="4">
        <f>ROUND(Source!AS81,O98)</f>
        <v>0</v>
      </c>
      <c r="G98" s="4" t="s">
        <v>102</v>
      </c>
      <c r="H98" s="4" t="s">
        <v>103</v>
      </c>
      <c r="I98" s="4"/>
      <c r="J98" s="4"/>
      <c r="K98" s="4">
        <v>214</v>
      </c>
      <c r="L98" s="4">
        <v>16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06" x14ac:dyDescent="0.2">
      <c r="A99" s="4">
        <v>50</v>
      </c>
      <c r="B99" s="4">
        <v>0</v>
      </c>
      <c r="C99" s="4">
        <v>0</v>
      </c>
      <c r="D99" s="4">
        <v>1</v>
      </c>
      <c r="E99" s="4">
        <v>215</v>
      </c>
      <c r="F99" s="4">
        <f>ROUND(Source!AT81,O99)</f>
        <v>0</v>
      </c>
      <c r="G99" s="4" t="s">
        <v>104</v>
      </c>
      <c r="H99" s="4" t="s">
        <v>105</v>
      </c>
      <c r="I99" s="4"/>
      <c r="J99" s="4"/>
      <c r="K99" s="4">
        <v>215</v>
      </c>
      <c r="L99" s="4">
        <v>17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06" x14ac:dyDescent="0.2">
      <c r="A100" s="4">
        <v>50</v>
      </c>
      <c r="B100" s="4">
        <v>0</v>
      </c>
      <c r="C100" s="4">
        <v>0</v>
      </c>
      <c r="D100" s="4">
        <v>1</v>
      </c>
      <c r="E100" s="4">
        <v>217</v>
      </c>
      <c r="F100" s="4">
        <f>ROUND(Source!AU81,O100)</f>
        <v>100389.91</v>
      </c>
      <c r="G100" s="4" t="s">
        <v>106</v>
      </c>
      <c r="H100" s="4" t="s">
        <v>107</v>
      </c>
      <c r="I100" s="4"/>
      <c r="J100" s="4"/>
      <c r="K100" s="4">
        <v>217</v>
      </c>
      <c r="L100" s="4">
        <v>18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06" x14ac:dyDescent="0.2">
      <c r="A101" s="4">
        <v>50</v>
      </c>
      <c r="B101" s="4">
        <v>0</v>
      </c>
      <c r="C101" s="4">
        <v>0</v>
      </c>
      <c r="D101" s="4">
        <v>1</v>
      </c>
      <c r="E101" s="4">
        <v>230</v>
      </c>
      <c r="F101" s="4">
        <f>ROUND(Source!BA81,O101)</f>
        <v>0</v>
      </c>
      <c r="G101" s="4" t="s">
        <v>108</v>
      </c>
      <c r="H101" s="4" t="s">
        <v>109</v>
      </c>
      <c r="I101" s="4"/>
      <c r="J101" s="4"/>
      <c r="K101" s="4">
        <v>230</v>
      </c>
      <c r="L101" s="4">
        <v>19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06" x14ac:dyDescent="0.2">
      <c r="A102" s="4">
        <v>50</v>
      </c>
      <c r="B102" s="4">
        <v>0</v>
      </c>
      <c r="C102" s="4">
        <v>0</v>
      </c>
      <c r="D102" s="4">
        <v>1</v>
      </c>
      <c r="E102" s="4">
        <v>206</v>
      </c>
      <c r="F102" s="4">
        <f>ROUND(Source!T81,O102)</f>
        <v>0</v>
      </c>
      <c r="G102" s="4" t="s">
        <v>110</v>
      </c>
      <c r="H102" s="4" t="s">
        <v>111</v>
      </c>
      <c r="I102" s="4"/>
      <c r="J102" s="4"/>
      <c r="K102" s="4">
        <v>206</v>
      </c>
      <c r="L102" s="4">
        <v>20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06" x14ac:dyDescent="0.2">
      <c r="A103" s="4">
        <v>50</v>
      </c>
      <c r="B103" s="4">
        <v>0</v>
      </c>
      <c r="C103" s="4">
        <v>0</v>
      </c>
      <c r="D103" s="4">
        <v>1</v>
      </c>
      <c r="E103" s="4">
        <v>207</v>
      </c>
      <c r="F103" s="4">
        <f>Source!U81</f>
        <v>153.20325</v>
      </c>
      <c r="G103" s="4" t="s">
        <v>112</v>
      </c>
      <c r="H103" s="4" t="s">
        <v>113</v>
      </c>
      <c r="I103" s="4"/>
      <c r="J103" s="4"/>
      <c r="K103" s="4">
        <v>207</v>
      </c>
      <c r="L103" s="4">
        <v>21</v>
      </c>
      <c r="M103" s="4">
        <v>3</v>
      </c>
      <c r="N103" s="4" t="s">
        <v>3</v>
      </c>
      <c r="O103" s="4">
        <v>-1</v>
      </c>
      <c r="P103" s="4"/>
      <c r="Q103" s="4"/>
      <c r="R103" s="4"/>
      <c r="S103" s="4"/>
      <c r="T103" s="4"/>
      <c r="U103" s="4"/>
      <c r="V103" s="4"/>
      <c r="W103" s="4"/>
    </row>
    <row r="104" spans="1:206" x14ac:dyDescent="0.2">
      <c r="A104" s="4">
        <v>50</v>
      </c>
      <c r="B104" s="4">
        <v>0</v>
      </c>
      <c r="C104" s="4">
        <v>0</v>
      </c>
      <c r="D104" s="4">
        <v>1</v>
      </c>
      <c r="E104" s="4">
        <v>208</v>
      </c>
      <c r="F104" s="4">
        <f>Source!V81</f>
        <v>0</v>
      </c>
      <c r="G104" s="4" t="s">
        <v>114</v>
      </c>
      <c r="H104" s="4" t="s">
        <v>115</v>
      </c>
      <c r="I104" s="4"/>
      <c r="J104" s="4"/>
      <c r="K104" s="4">
        <v>208</v>
      </c>
      <c r="L104" s="4">
        <v>22</v>
      </c>
      <c r="M104" s="4">
        <v>3</v>
      </c>
      <c r="N104" s="4" t="s">
        <v>3</v>
      </c>
      <c r="O104" s="4">
        <v>-1</v>
      </c>
      <c r="P104" s="4"/>
      <c r="Q104" s="4"/>
      <c r="R104" s="4"/>
      <c r="S104" s="4"/>
      <c r="T104" s="4"/>
      <c r="U104" s="4"/>
      <c r="V104" s="4"/>
      <c r="W104" s="4"/>
    </row>
    <row r="105" spans="1:206" x14ac:dyDescent="0.2">
      <c r="A105" s="4">
        <v>50</v>
      </c>
      <c r="B105" s="4">
        <v>0</v>
      </c>
      <c r="C105" s="4">
        <v>0</v>
      </c>
      <c r="D105" s="4">
        <v>1</v>
      </c>
      <c r="E105" s="4">
        <v>209</v>
      </c>
      <c r="F105" s="4">
        <f>ROUND(Source!W81,O105)</f>
        <v>0</v>
      </c>
      <c r="G105" s="4" t="s">
        <v>116</v>
      </c>
      <c r="H105" s="4" t="s">
        <v>117</v>
      </c>
      <c r="I105" s="4"/>
      <c r="J105" s="4"/>
      <c r="K105" s="4">
        <v>209</v>
      </c>
      <c r="L105" s="4">
        <v>23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06" x14ac:dyDescent="0.2">
      <c r="A106" s="4">
        <v>50</v>
      </c>
      <c r="B106" s="4">
        <v>0</v>
      </c>
      <c r="C106" s="4">
        <v>0</v>
      </c>
      <c r="D106" s="4">
        <v>1</v>
      </c>
      <c r="E106" s="4">
        <v>210</v>
      </c>
      <c r="F106" s="4">
        <f>ROUND(Source!X81,O106)</f>
        <v>22002</v>
      </c>
      <c r="G106" s="4" t="s">
        <v>118</v>
      </c>
      <c r="H106" s="4" t="s">
        <v>119</v>
      </c>
      <c r="I106" s="4"/>
      <c r="J106" s="4"/>
      <c r="K106" s="4">
        <v>210</v>
      </c>
      <c r="L106" s="4">
        <v>24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06" x14ac:dyDescent="0.2">
      <c r="A107" s="4">
        <v>50</v>
      </c>
      <c r="B107" s="4">
        <v>0</v>
      </c>
      <c r="C107" s="4">
        <v>0</v>
      </c>
      <c r="D107" s="4">
        <v>1</v>
      </c>
      <c r="E107" s="4">
        <v>211</v>
      </c>
      <c r="F107" s="4">
        <f>ROUND(Source!Y81,O107)</f>
        <v>0</v>
      </c>
      <c r="G107" s="4" t="s">
        <v>120</v>
      </c>
      <c r="H107" s="4" t="s">
        <v>121</v>
      </c>
      <c r="I107" s="4"/>
      <c r="J107" s="4"/>
      <c r="K107" s="4">
        <v>211</v>
      </c>
      <c r="L107" s="4">
        <v>25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06" x14ac:dyDescent="0.2">
      <c r="A108" s="4">
        <v>50</v>
      </c>
      <c r="B108" s="4">
        <v>0</v>
      </c>
      <c r="C108" s="4">
        <v>0</v>
      </c>
      <c r="D108" s="4">
        <v>1</v>
      </c>
      <c r="E108" s="4">
        <v>224</v>
      </c>
      <c r="F108" s="4">
        <f>ROUND(Source!AR81,O108)</f>
        <v>100389.91</v>
      </c>
      <c r="G108" s="4" t="s">
        <v>122</v>
      </c>
      <c r="H108" s="4" t="s">
        <v>123</v>
      </c>
      <c r="I108" s="4"/>
      <c r="J108" s="4"/>
      <c r="K108" s="4">
        <v>224</v>
      </c>
      <c r="L108" s="4">
        <v>26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10" spans="1:206" x14ac:dyDescent="0.2">
      <c r="A110" s="1">
        <v>5</v>
      </c>
      <c r="B110" s="1">
        <v>1</v>
      </c>
      <c r="C110" s="1"/>
      <c r="D110" s="1">
        <f>ROW(A117)</f>
        <v>117</v>
      </c>
      <c r="E110" s="1"/>
      <c r="F110" s="1" t="s">
        <v>23</v>
      </c>
      <c r="G110" s="1" t="s">
        <v>136</v>
      </c>
      <c r="H110" s="1" t="s">
        <v>3</v>
      </c>
      <c r="I110" s="1">
        <v>0</v>
      </c>
      <c r="J110" s="1"/>
      <c r="K110" s="1">
        <v>0</v>
      </c>
      <c r="L110" s="1"/>
      <c r="M110" s="1"/>
      <c r="N110" s="1"/>
      <c r="O110" s="1"/>
      <c r="P110" s="1"/>
      <c r="Q110" s="1"/>
      <c r="R110" s="1"/>
      <c r="S110" s="1"/>
      <c r="T110" s="1"/>
      <c r="U110" s="1" t="s">
        <v>3</v>
      </c>
      <c r="V110" s="1">
        <v>0</v>
      </c>
      <c r="W110" s="1"/>
      <c r="X110" s="1"/>
      <c r="Y110" s="1"/>
      <c r="Z110" s="1"/>
      <c r="AA110" s="1"/>
      <c r="AB110" s="1" t="s">
        <v>3</v>
      </c>
      <c r="AC110" s="1" t="s">
        <v>3</v>
      </c>
      <c r="AD110" s="1" t="s">
        <v>3</v>
      </c>
      <c r="AE110" s="1" t="s">
        <v>3</v>
      </c>
      <c r="AF110" s="1" t="s">
        <v>3</v>
      </c>
      <c r="AG110" s="1" t="s">
        <v>3</v>
      </c>
      <c r="AH110" s="1"/>
      <c r="AI110" s="1"/>
      <c r="AJ110" s="1"/>
      <c r="AK110" s="1"/>
      <c r="AL110" s="1"/>
      <c r="AM110" s="1"/>
      <c r="AN110" s="1"/>
      <c r="AO110" s="1"/>
      <c r="AP110" s="1" t="s">
        <v>3</v>
      </c>
      <c r="AQ110" s="1" t="s">
        <v>3</v>
      </c>
      <c r="AR110" s="1" t="s">
        <v>3</v>
      </c>
      <c r="AS110" s="1"/>
      <c r="AT110" s="1"/>
      <c r="AU110" s="1"/>
      <c r="AV110" s="1"/>
      <c r="AW110" s="1"/>
      <c r="AX110" s="1"/>
      <c r="AY110" s="1"/>
      <c r="AZ110" s="1" t="s">
        <v>3</v>
      </c>
      <c r="BA110" s="1"/>
      <c r="BB110" s="1" t="s">
        <v>3</v>
      </c>
      <c r="BC110" s="1" t="s">
        <v>3</v>
      </c>
      <c r="BD110" s="1" t="s">
        <v>3</v>
      </c>
      <c r="BE110" s="1" t="s">
        <v>3</v>
      </c>
      <c r="BF110" s="1" t="s">
        <v>3</v>
      </c>
      <c r="BG110" s="1" t="s">
        <v>3</v>
      </c>
      <c r="BH110" s="1" t="s">
        <v>3</v>
      </c>
      <c r="BI110" s="1" t="s">
        <v>3</v>
      </c>
      <c r="BJ110" s="1" t="s">
        <v>3</v>
      </c>
      <c r="BK110" s="1" t="s">
        <v>3</v>
      </c>
      <c r="BL110" s="1" t="s">
        <v>3</v>
      </c>
      <c r="BM110" s="1" t="s">
        <v>3</v>
      </c>
      <c r="BN110" s="1" t="s">
        <v>3</v>
      </c>
      <c r="BO110" s="1" t="s">
        <v>3</v>
      </c>
      <c r="BP110" s="1" t="s">
        <v>3</v>
      </c>
      <c r="BQ110" s="1"/>
      <c r="BR110" s="1"/>
      <c r="BS110" s="1"/>
      <c r="BT110" s="1"/>
      <c r="BU110" s="1"/>
      <c r="BV110" s="1"/>
      <c r="BW110" s="1"/>
      <c r="BX110" s="1">
        <v>0</v>
      </c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>
        <v>0</v>
      </c>
    </row>
    <row r="112" spans="1:206" x14ac:dyDescent="0.2">
      <c r="A112" s="2">
        <v>52</v>
      </c>
      <c r="B112" s="2">
        <f t="shared" ref="B112:G112" si="76">B117</f>
        <v>1</v>
      </c>
      <c r="C112" s="2">
        <f t="shared" si="76"/>
        <v>5</v>
      </c>
      <c r="D112" s="2">
        <f t="shared" si="76"/>
        <v>110</v>
      </c>
      <c r="E112" s="2">
        <f t="shared" si="76"/>
        <v>0</v>
      </c>
      <c r="F112" s="2" t="str">
        <f t="shared" si="76"/>
        <v>Новый подраздел</v>
      </c>
      <c r="G112" s="2" t="str">
        <f t="shared" si="76"/>
        <v>Уход за деревьями на видовых центральных территориях</v>
      </c>
      <c r="H112" s="2"/>
      <c r="I112" s="2"/>
      <c r="J112" s="2"/>
      <c r="K112" s="2"/>
      <c r="L112" s="2"/>
      <c r="M112" s="2"/>
      <c r="N112" s="2"/>
      <c r="O112" s="2">
        <f t="shared" ref="O112:AT112" si="77">O117</f>
        <v>253251.95</v>
      </c>
      <c r="P112" s="2">
        <f t="shared" si="77"/>
        <v>45923.17</v>
      </c>
      <c r="Q112" s="2">
        <f t="shared" si="77"/>
        <v>97642.69</v>
      </c>
      <c r="R112" s="2">
        <f t="shared" si="77"/>
        <v>21939.06</v>
      </c>
      <c r="S112" s="2">
        <f t="shared" si="77"/>
        <v>109686.09</v>
      </c>
      <c r="T112" s="2">
        <f t="shared" si="77"/>
        <v>0</v>
      </c>
      <c r="U112" s="2">
        <f t="shared" si="77"/>
        <v>611.29068000000007</v>
      </c>
      <c r="V112" s="2">
        <f t="shared" si="77"/>
        <v>0</v>
      </c>
      <c r="W112" s="2">
        <f t="shared" si="77"/>
        <v>0</v>
      </c>
      <c r="X112" s="2">
        <f t="shared" si="77"/>
        <v>76780.259999999995</v>
      </c>
      <c r="Y112" s="2">
        <f t="shared" si="77"/>
        <v>0</v>
      </c>
      <c r="Z112" s="2">
        <f t="shared" si="77"/>
        <v>0</v>
      </c>
      <c r="AA112" s="2">
        <f t="shared" si="77"/>
        <v>0</v>
      </c>
      <c r="AB112" s="2">
        <f t="shared" si="77"/>
        <v>253251.95</v>
      </c>
      <c r="AC112" s="2">
        <f t="shared" si="77"/>
        <v>45923.17</v>
      </c>
      <c r="AD112" s="2">
        <f t="shared" si="77"/>
        <v>97642.69</v>
      </c>
      <c r="AE112" s="2">
        <f t="shared" si="77"/>
        <v>21939.06</v>
      </c>
      <c r="AF112" s="2">
        <f t="shared" si="77"/>
        <v>109686.09</v>
      </c>
      <c r="AG112" s="2">
        <f t="shared" si="77"/>
        <v>0</v>
      </c>
      <c r="AH112" s="2">
        <f t="shared" si="77"/>
        <v>611.29068000000007</v>
      </c>
      <c r="AI112" s="2">
        <f t="shared" si="77"/>
        <v>0</v>
      </c>
      <c r="AJ112" s="2">
        <f t="shared" si="77"/>
        <v>0</v>
      </c>
      <c r="AK112" s="2">
        <f t="shared" si="77"/>
        <v>76780.259999999995</v>
      </c>
      <c r="AL112" s="2">
        <f t="shared" si="77"/>
        <v>0</v>
      </c>
      <c r="AM112" s="2">
        <f t="shared" si="77"/>
        <v>0</v>
      </c>
      <c r="AN112" s="2">
        <f t="shared" si="77"/>
        <v>0</v>
      </c>
      <c r="AO112" s="2">
        <f t="shared" si="77"/>
        <v>0</v>
      </c>
      <c r="AP112" s="2">
        <f t="shared" si="77"/>
        <v>0</v>
      </c>
      <c r="AQ112" s="2">
        <f t="shared" si="77"/>
        <v>0</v>
      </c>
      <c r="AR112" s="2">
        <f t="shared" si="77"/>
        <v>347144.68</v>
      </c>
      <c r="AS112" s="2">
        <f t="shared" si="77"/>
        <v>0</v>
      </c>
      <c r="AT112" s="2">
        <f t="shared" si="77"/>
        <v>0</v>
      </c>
      <c r="AU112" s="2">
        <f t="shared" ref="AU112:BZ112" si="78">AU117</f>
        <v>347144.68</v>
      </c>
      <c r="AV112" s="2">
        <f t="shared" si="78"/>
        <v>45923.17</v>
      </c>
      <c r="AW112" s="2">
        <f t="shared" si="78"/>
        <v>45923.17</v>
      </c>
      <c r="AX112" s="2">
        <f t="shared" si="78"/>
        <v>0</v>
      </c>
      <c r="AY112" s="2">
        <f t="shared" si="78"/>
        <v>45923.17</v>
      </c>
      <c r="AZ112" s="2">
        <f t="shared" si="78"/>
        <v>0</v>
      </c>
      <c r="BA112" s="2">
        <f t="shared" si="78"/>
        <v>0</v>
      </c>
      <c r="BB112" s="2">
        <f t="shared" si="78"/>
        <v>0</v>
      </c>
      <c r="BC112" s="2">
        <f t="shared" si="78"/>
        <v>0</v>
      </c>
      <c r="BD112" s="2">
        <f t="shared" si="78"/>
        <v>0</v>
      </c>
      <c r="BE112" s="2">
        <f t="shared" si="78"/>
        <v>0</v>
      </c>
      <c r="BF112" s="2">
        <f t="shared" si="78"/>
        <v>0</v>
      </c>
      <c r="BG112" s="2">
        <f t="shared" si="78"/>
        <v>0</v>
      </c>
      <c r="BH112" s="2">
        <f t="shared" si="78"/>
        <v>0</v>
      </c>
      <c r="BI112" s="2">
        <f t="shared" si="78"/>
        <v>0</v>
      </c>
      <c r="BJ112" s="2">
        <f t="shared" si="78"/>
        <v>0</v>
      </c>
      <c r="BK112" s="2">
        <f t="shared" si="78"/>
        <v>0</v>
      </c>
      <c r="BL112" s="2">
        <f t="shared" si="78"/>
        <v>0</v>
      </c>
      <c r="BM112" s="2">
        <f t="shared" si="78"/>
        <v>0</v>
      </c>
      <c r="BN112" s="2">
        <f t="shared" si="78"/>
        <v>0</v>
      </c>
      <c r="BO112" s="2">
        <f t="shared" si="78"/>
        <v>0</v>
      </c>
      <c r="BP112" s="2">
        <f t="shared" si="78"/>
        <v>0</v>
      </c>
      <c r="BQ112" s="2">
        <f t="shared" si="78"/>
        <v>0</v>
      </c>
      <c r="BR112" s="2">
        <f t="shared" si="78"/>
        <v>0</v>
      </c>
      <c r="BS112" s="2">
        <f t="shared" si="78"/>
        <v>0</v>
      </c>
      <c r="BT112" s="2">
        <f t="shared" si="78"/>
        <v>0</v>
      </c>
      <c r="BU112" s="2">
        <f t="shared" si="78"/>
        <v>0</v>
      </c>
      <c r="BV112" s="2">
        <f t="shared" si="78"/>
        <v>0</v>
      </c>
      <c r="BW112" s="2">
        <f t="shared" si="78"/>
        <v>0</v>
      </c>
      <c r="BX112" s="2">
        <f t="shared" si="78"/>
        <v>0</v>
      </c>
      <c r="BY112" s="2">
        <f t="shared" si="78"/>
        <v>0</v>
      </c>
      <c r="BZ112" s="2">
        <f t="shared" si="78"/>
        <v>0</v>
      </c>
      <c r="CA112" s="2">
        <f t="shared" ref="CA112:DF112" si="79">CA117</f>
        <v>347144.68</v>
      </c>
      <c r="CB112" s="2">
        <f t="shared" si="79"/>
        <v>0</v>
      </c>
      <c r="CC112" s="2">
        <f t="shared" si="79"/>
        <v>0</v>
      </c>
      <c r="CD112" s="2">
        <f t="shared" si="79"/>
        <v>347144.68</v>
      </c>
      <c r="CE112" s="2">
        <f t="shared" si="79"/>
        <v>45923.17</v>
      </c>
      <c r="CF112" s="2">
        <f t="shared" si="79"/>
        <v>45923.17</v>
      </c>
      <c r="CG112" s="2">
        <f t="shared" si="79"/>
        <v>0</v>
      </c>
      <c r="CH112" s="2">
        <f t="shared" si="79"/>
        <v>45923.17</v>
      </c>
      <c r="CI112" s="2">
        <f t="shared" si="79"/>
        <v>0</v>
      </c>
      <c r="CJ112" s="2">
        <f t="shared" si="79"/>
        <v>0</v>
      </c>
      <c r="CK112" s="2">
        <f t="shared" si="79"/>
        <v>0</v>
      </c>
      <c r="CL112" s="2">
        <f t="shared" si="79"/>
        <v>0</v>
      </c>
      <c r="CM112" s="2">
        <f t="shared" si="79"/>
        <v>0</v>
      </c>
      <c r="CN112" s="2">
        <f t="shared" si="79"/>
        <v>0</v>
      </c>
      <c r="CO112" s="2">
        <f t="shared" si="79"/>
        <v>0</v>
      </c>
      <c r="CP112" s="2">
        <f t="shared" si="79"/>
        <v>0</v>
      </c>
      <c r="CQ112" s="2">
        <f t="shared" si="79"/>
        <v>0</v>
      </c>
      <c r="CR112" s="2">
        <f t="shared" si="79"/>
        <v>0</v>
      </c>
      <c r="CS112" s="2">
        <f t="shared" si="79"/>
        <v>0</v>
      </c>
      <c r="CT112" s="2">
        <f t="shared" si="79"/>
        <v>0</v>
      </c>
      <c r="CU112" s="2">
        <f t="shared" si="79"/>
        <v>0</v>
      </c>
      <c r="CV112" s="2">
        <f t="shared" si="79"/>
        <v>0</v>
      </c>
      <c r="CW112" s="2">
        <f t="shared" si="79"/>
        <v>0</v>
      </c>
      <c r="CX112" s="2">
        <f t="shared" si="79"/>
        <v>0</v>
      </c>
      <c r="CY112" s="2">
        <f t="shared" si="79"/>
        <v>0</v>
      </c>
      <c r="CZ112" s="2">
        <f t="shared" si="79"/>
        <v>0</v>
      </c>
      <c r="DA112" s="2">
        <f t="shared" si="79"/>
        <v>0</v>
      </c>
      <c r="DB112" s="2">
        <f t="shared" si="79"/>
        <v>0</v>
      </c>
      <c r="DC112" s="2">
        <f t="shared" si="79"/>
        <v>0</v>
      </c>
      <c r="DD112" s="2">
        <f t="shared" si="79"/>
        <v>0</v>
      </c>
      <c r="DE112" s="2">
        <f t="shared" si="79"/>
        <v>0</v>
      </c>
      <c r="DF112" s="2">
        <f t="shared" si="79"/>
        <v>0</v>
      </c>
      <c r="DG112" s="3">
        <f t="shared" ref="DG112:EL112" si="80">DG117</f>
        <v>0</v>
      </c>
      <c r="DH112" s="3">
        <f t="shared" si="80"/>
        <v>0</v>
      </c>
      <c r="DI112" s="3">
        <f t="shared" si="80"/>
        <v>0</v>
      </c>
      <c r="DJ112" s="3">
        <f t="shared" si="80"/>
        <v>0</v>
      </c>
      <c r="DK112" s="3">
        <f t="shared" si="80"/>
        <v>0</v>
      </c>
      <c r="DL112" s="3">
        <f t="shared" si="80"/>
        <v>0</v>
      </c>
      <c r="DM112" s="3">
        <f t="shared" si="80"/>
        <v>0</v>
      </c>
      <c r="DN112" s="3">
        <f t="shared" si="80"/>
        <v>0</v>
      </c>
      <c r="DO112" s="3">
        <f t="shared" si="80"/>
        <v>0</v>
      </c>
      <c r="DP112" s="3">
        <f t="shared" si="80"/>
        <v>0</v>
      </c>
      <c r="DQ112" s="3">
        <f t="shared" si="80"/>
        <v>0</v>
      </c>
      <c r="DR112" s="3">
        <f t="shared" si="80"/>
        <v>0</v>
      </c>
      <c r="DS112" s="3">
        <f t="shared" si="80"/>
        <v>0</v>
      </c>
      <c r="DT112" s="3">
        <f t="shared" si="80"/>
        <v>0</v>
      </c>
      <c r="DU112" s="3">
        <f t="shared" si="80"/>
        <v>0</v>
      </c>
      <c r="DV112" s="3">
        <f t="shared" si="80"/>
        <v>0</v>
      </c>
      <c r="DW112" s="3">
        <f t="shared" si="80"/>
        <v>0</v>
      </c>
      <c r="DX112" s="3">
        <f t="shared" si="80"/>
        <v>0</v>
      </c>
      <c r="DY112" s="3">
        <f t="shared" si="80"/>
        <v>0</v>
      </c>
      <c r="DZ112" s="3">
        <f t="shared" si="80"/>
        <v>0</v>
      </c>
      <c r="EA112" s="3">
        <f t="shared" si="80"/>
        <v>0</v>
      </c>
      <c r="EB112" s="3">
        <f t="shared" si="80"/>
        <v>0</v>
      </c>
      <c r="EC112" s="3">
        <f t="shared" si="80"/>
        <v>0</v>
      </c>
      <c r="ED112" s="3">
        <f t="shared" si="80"/>
        <v>0</v>
      </c>
      <c r="EE112" s="3">
        <f t="shared" si="80"/>
        <v>0</v>
      </c>
      <c r="EF112" s="3">
        <f t="shared" si="80"/>
        <v>0</v>
      </c>
      <c r="EG112" s="3">
        <f t="shared" si="80"/>
        <v>0</v>
      </c>
      <c r="EH112" s="3">
        <f t="shared" si="80"/>
        <v>0</v>
      </c>
      <c r="EI112" s="3">
        <f t="shared" si="80"/>
        <v>0</v>
      </c>
      <c r="EJ112" s="3">
        <f t="shared" si="80"/>
        <v>0</v>
      </c>
      <c r="EK112" s="3">
        <f t="shared" si="80"/>
        <v>0</v>
      </c>
      <c r="EL112" s="3">
        <f t="shared" si="80"/>
        <v>0</v>
      </c>
      <c r="EM112" s="3">
        <f t="shared" ref="EM112:FR112" si="81">EM117</f>
        <v>0</v>
      </c>
      <c r="EN112" s="3">
        <f t="shared" si="81"/>
        <v>0</v>
      </c>
      <c r="EO112" s="3">
        <f t="shared" si="81"/>
        <v>0</v>
      </c>
      <c r="EP112" s="3">
        <f t="shared" si="81"/>
        <v>0</v>
      </c>
      <c r="EQ112" s="3">
        <f t="shared" si="81"/>
        <v>0</v>
      </c>
      <c r="ER112" s="3">
        <f t="shared" si="81"/>
        <v>0</v>
      </c>
      <c r="ES112" s="3">
        <f t="shared" si="81"/>
        <v>0</v>
      </c>
      <c r="ET112" s="3">
        <f t="shared" si="81"/>
        <v>0</v>
      </c>
      <c r="EU112" s="3">
        <f t="shared" si="81"/>
        <v>0</v>
      </c>
      <c r="EV112" s="3">
        <f t="shared" si="81"/>
        <v>0</v>
      </c>
      <c r="EW112" s="3">
        <f t="shared" si="81"/>
        <v>0</v>
      </c>
      <c r="EX112" s="3">
        <f t="shared" si="81"/>
        <v>0</v>
      </c>
      <c r="EY112" s="3">
        <f t="shared" si="81"/>
        <v>0</v>
      </c>
      <c r="EZ112" s="3">
        <f t="shared" si="81"/>
        <v>0</v>
      </c>
      <c r="FA112" s="3">
        <f t="shared" si="81"/>
        <v>0</v>
      </c>
      <c r="FB112" s="3">
        <f t="shared" si="81"/>
        <v>0</v>
      </c>
      <c r="FC112" s="3">
        <f t="shared" si="81"/>
        <v>0</v>
      </c>
      <c r="FD112" s="3">
        <f t="shared" si="81"/>
        <v>0</v>
      </c>
      <c r="FE112" s="3">
        <f t="shared" si="81"/>
        <v>0</v>
      </c>
      <c r="FF112" s="3">
        <f t="shared" si="81"/>
        <v>0</v>
      </c>
      <c r="FG112" s="3">
        <f t="shared" si="81"/>
        <v>0</v>
      </c>
      <c r="FH112" s="3">
        <f t="shared" si="81"/>
        <v>0</v>
      </c>
      <c r="FI112" s="3">
        <f t="shared" si="81"/>
        <v>0</v>
      </c>
      <c r="FJ112" s="3">
        <f t="shared" si="81"/>
        <v>0</v>
      </c>
      <c r="FK112" s="3">
        <f t="shared" si="81"/>
        <v>0</v>
      </c>
      <c r="FL112" s="3">
        <f t="shared" si="81"/>
        <v>0</v>
      </c>
      <c r="FM112" s="3">
        <f t="shared" si="81"/>
        <v>0</v>
      </c>
      <c r="FN112" s="3">
        <f t="shared" si="81"/>
        <v>0</v>
      </c>
      <c r="FO112" s="3">
        <f t="shared" si="81"/>
        <v>0</v>
      </c>
      <c r="FP112" s="3">
        <f t="shared" si="81"/>
        <v>0</v>
      </c>
      <c r="FQ112" s="3">
        <f t="shared" si="81"/>
        <v>0</v>
      </c>
      <c r="FR112" s="3">
        <f t="shared" si="81"/>
        <v>0</v>
      </c>
      <c r="FS112" s="3">
        <f t="shared" ref="FS112:GX112" si="82">FS117</f>
        <v>0</v>
      </c>
      <c r="FT112" s="3">
        <f t="shared" si="82"/>
        <v>0</v>
      </c>
      <c r="FU112" s="3">
        <f t="shared" si="82"/>
        <v>0</v>
      </c>
      <c r="FV112" s="3">
        <f t="shared" si="82"/>
        <v>0</v>
      </c>
      <c r="FW112" s="3">
        <f t="shared" si="82"/>
        <v>0</v>
      </c>
      <c r="FX112" s="3">
        <f t="shared" si="82"/>
        <v>0</v>
      </c>
      <c r="FY112" s="3">
        <f t="shared" si="82"/>
        <v>0</v>
      </c>
      <c r="FZ112" s="3">
        <f t="shared" si="82"/>
        <v>0</v>
      </c>
      <c r="GA112" s="3">
        <f t="shared" si="82"/>
        <v>0</v>
      </c>
      <c r="GB112" s="3">
        <f t="shared" si="82"/>
        <v>0</v>
      </c>
      <c r="GC112" s="3">
        <f t="shared" si="82"/>
        <v>0</v>
      </c>
      <c r="GD112" s="3">
        <f t="shared" si="82"/>
        <v>0</v>
      </c>
      <c r="GE112" s="3">
        <f t="shared" si="82"/>
        <v>0</v>
      </c>
      <c r="GF112" s="3">
        <f t="shared" si="82"/>
        <v>0</v>
      </c>
      <c r="GG112" s="3">
        <f t="shared" si="82"/>
        <v>0</v>
      </c>
      <c r="GH112" s="3">
        <f t="shared" si="82"/>
        <v>0</v>
      </c>
      <c r="GI112" s="3">
        <f t="shared" si="82"/>
        <v>0</v>
      </c>
      <c r="GJ112" s="3">
        <f t="shared" si="82"/>
        <v>0</v>
      </c>
      <c r="GK112" s="3">
        <f t="shared" si="82"/>
        <v>0</v>
      </c>
      <c r="GL112" s="3">
        <f t="shared" si="82"/>
        <v>0</v>
      </c>
      <c r="GM112" s="3">
        <f t="shared" si="82"/>
        <v>0</v>
      </c>
      <c r="GN112" s="3">
        <f t="shared" si="82"/>
        <v>0</v>
      </c>
      <c r="GO112" s="3">
        <f t="shared" si="82"/>
        <v>0</v>
      </c>
      <c r="GP112" s="3">
        <f t="shared" si="82"/>
        <v>0</v>
      </c>
      <c r="GQ112" s="3">
        <f t="shared" si="82"/>
        <v>0</v>
      </c>
      <c r="GR112" s="3">
        <f t="shared" si="82"/>
        <v>0</v>
      </c>
      <c r="GS112" s="3">
        <f t="shared" si="82"/>
        <v>0</v>
      </c>
      <c r="GT112" s="3">
        <f t="shared" si="82"/>
        <v>0</v>
      </c>
      <c r="GU112" s="3">
        <f t="shared" si="82"/>
        <v>0</v>
      </c>
      <c r="GV112" s="3">
        <f t="shared" si="82"/>
        <v>0</v>
      </c>
      <c r="GW112" s="3">
        <f t="shared" si="82"/>
        <v>0</v>
      </c>
      <c r="GX112" s="3">
        <f t="shared" si="82"/>
        <v>0</v>
      </c>
    </row>
    <row r="114" spans="1:245" x14ac:dyDescent="0.2">
      <c r="A114">
        <v>17</v>
      </c>
      <c r="B114">
        <v>1</v>
      </c>
      <c r="C114">
        <f>ROW(SmtRes!A46)</f>
        <v>46</v>
      </c>
      <c r="D114">
        <f>ROW(EtalonRes!A46)</f>
        <v>46</v>
      </c>
      <c r="E114" t="s">
        <v>137</v>
      </c>
      <c r="F114" t="s">
        <v>138</v>
      </c>
      <c r="G114" t="s">
        <v>139</v>
      </c>
      <c r="H114" t="s">
        <v>61</v>
      </c>
      <c r="I114">
        <f>ROUND(49/10,9)</f>
        <v>4.9000000000000004</v>
      </c>
      <c r="J114">
        <v>0</v>
      </c>
      <c r="O114">
        <f>ROUND(CP114,2)</f>
        <v>183560.22</v>
      </c>
      <c r="P114">
        <f>ROUND(CQ114*I114,2)</f>
        <v>6184.63</v>
      </c>
      <c r="Q114">
        <f>ROUND(CR114*I114,2)</f>
        <v>97642.69</v>
      </c>
      <c r="R114">
        <f>ROUND(CS114*I114,2)</f>
        <v>21939.06</v>
      </c>
      <c r="S114">
        <f>ROUND(CT114*I114,2)</f>
        <v>79732.899999999994</v>
      </c>
      <c r="T114">
        <f>ROUND(CU114*I114,2)</f>
        <v>0</v>
      </c>
      <c r="U114">
        <f>CV114*I114</f>
        <v>437.27600000000001</v>
      </c>
      <c r="V114">
        <f>CW114*I114</f>
        <v>0</v>
      </c>
      <c r="W114">
        <f>ROUND(CX114*I114,2)</f>
        <v>0</v>
      </c>
      <c r="X114">
        <f>ROUND(CY114,2)</f>
        <v>55813.03</v>
      </c>
      <c r="Y114">
        <f>ROUND(CZ114,2)</f>
        <v>0</v>
      </c>
      <c r="AA114">
        <v>53202630</v>
      </c>
      <c r="AB114">
        <f>ROUND((AC114+AD114+AF114),6)</f>
        <v>37461.269999999997</v>
      </c>
      <c r="AC114">
        <f>ROUND((ES114),6)</f>
        <v>1262.17</v>
      </c>
      <c r="AD114">
        <f>ROUND((((ET114)-(EU114))+AE114),6)</f>
        <v>19927.080000000002</v>
      </c>
      <c r="AE114">
        <f>ROUND((EU114),6)</f>
        <v>4477.3599999999997</v>
      </c>
      <c r="AF114">
        <f>ROUND((EV114),6)</f>
        <v>16272.02</v>
      </c>
      <c r="AG114">
        <f>ROUND((AP114),6)</f>
        <v>0</v>
      </c>
      <c r="AH114">
        <f>(EW114)</f>
        <v>89.24</v>
      </c>
      <c r="AI114">
        <f>(EX114)</f>
        <v>0</v>
      </c>
      <c r="AJ114">
        <f>(AS114)</f>
        <v>0</v>
      </c>
      <c r="AK114">
        <v>37461.269999999997</v>
      </c>
      <c r="AL114">
        <v>1262.17</v>
      </c>
      <c r="AM114">
        <v>19927.080000000002</v>
      </c>
      <c r="AN114">
        <v>4477.3599999999997</v>
      </c>
      <c r="AO114">
        <v>16272.02</v>
      </c>
      <c r="AP114">
        <v>0</v>
      </c>
      <c r="AQ114">
        <v>89.24</v>
      </c>
      <c r="AR114">
        <v>0</v>
      </c>
      <c r="AS114">
        <v>0</v>
      </c>
      <c r="AT114">
        <v>70</v>
      </c>
      <c r="AU114">
        <v>0</v>
      </c>
      <c r="AV114">
        <v>1</v>
      </c>
      <c r="AW114">
        <v>1</v>
      </c>
      <c r="AZ114">
        <v>1</v>
      </c>
      <c r="BA114">
        <v>1</v>
      </c>
      <c r="BB114">
        <v>1</v>
      </c>
      <c r="BC114">
        <v>1</v>
      </c>
      <c r="BD114" t="s">
        <v>3</v>
      </c>
      <c r="BE114" t="s">
        <v>3</v>
      </c>
      <c r="BF114" t="s">
        <v>3</v>
      </c>
      <c r="BG114" t="s">
        <v>3</v>
      </c>
      <c r="BH114">
        <v>0</v>
      </c>
      <c r="BI114">
        <v>4</v>
      </c>
      <c r="BJ114" t="s">
        <v>140</v>
      </c>
      <c r="BM114">
        <v>0</v>
      </c>
      <c r="BN114">
        <v>0</v>
      </c>
      <c r="BO114" t="s">
        <v>3</v>
      </c>
      <c r="BP114">
        <v>0</v>
      </c>
      <c r="BQ114">
        <v>1</v>
      </c>
      <c r="BR114">
        <v>0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 t="s">
        <v>3</v>
      </c>
      <c r="BZ114">
        <v>70</v>
      </c>
      <c r="CA114">
        <v>0</v>
      </c>
      <c r="CE114">
        <v>0</v>
      </c>
      <c r="CF114">
        <v>0</v>
      </c>
      <c r="CG114">
        <v>0</v>
      </c>
      <c r="CM114">
        <v>0</v>
      </c>
      <c r="CN114" t="s">
        <v>3</v>
      </c>
      <c r="CO114">
        <v>0</v>
      </c>
      <c r="CP114">
        <f>(P114+Q114+S114)</f>
        <v>183560.22</v>
      </c>
      <c r="CQ114">
        <f>(AC114*BC114*AW114)</f>
        <v>1262.17</v>
      </c>
      <c r="CR114">
        <f>((((ET114)*BB114-(EU114)*BS114)+AE114*BS114)*AV114)</f>
        <v>19927.080000000002</v>
      </c>
      <c r="CS114">
        <f>(AE114*BS114*AV114)</f>
        <v>4477.3599999999997</v>
      </c>
      <c r="CT114">
        <f>(AF114*BA114*AV114)</f>
        <v>16272.02</v>
      </c>
      <c r="CU114">
        <f>AG114</f>
        <v>0</v>
      </c>
      <c r="CV114">
        <f>(AH114*AV114)</f>
        <v>89.24</v>
      </c>
      <c r="CW114">
        <f>AI114</f>
        <v>0</v>
      </c>
      <c r="CX114">
        <f>AJ114</f>
        <v>0</v>
      </c>
      <c r="CY114">
        <f>((S114*BZ114)/100)</f>
        <v>55813.03</v>
      </c>
      <c r="CZ114">
        <f>((S114*CA114)/100)</f>
        <v>0</v>
      </c>
      <c r="DC114" t="s">
        <v>3</v>
      </c>
      <c r="DD114" t="s">
        <v>3</v>
      </c>
      <c r="DE114" t="s">
        <v>3</v>
      </c>
      <c r="DF114" t="s">
        <v>3</v>
      </c>
      <c r="DG114" t="s">
        <v>3</v>
      </c>
      <c r="DH114" t="s">
        <v>3</v>
      </c>
      <c r="DI114" t="s">
        <v>3</v>
      </c>
      <c r="DJ114" t="s">
        <v>3</v>
      </c>
      <c r="DK114" t="s">
        <v>3</v>
      </c>
      <c r="DL114" t="s">
        <v>3</v>
      </c>
      <c r="DM114" t="s">
        <v>3</v>
      </c>
      <c r="DN114">
        <v>0</v>
      </c>
      <c r="DO114">
        <v>0</v>
      </c>
      <c r="DP114">
        <v>1</v>
      </c>
      <c r="DQ114">
        <v>1</v>
      </c>
      <c r="DU114">
        <v>1010</v>
      </c>
      <c r="DV114" t="s">
        <v>61</v>
      </c>
      <c r="DW114" t="s">
        <v>61</v>
      </c>
      <c r="DX114">
        <v>10</v>
      </c>
      <c r="EE114">
        <v>48810626</v>
      </c>
      <c r="EF114">
        <v>1</v>
      </c>
      <c r="EG114" t="s">
        <v>30</v>
      </c>
      <c r="EH114">
        <v>0</v>
      </c>
      <c r="EI114" t="s">
        <v>3</v>
      </c>
      <c r="EJ114">
        <v>4</v>
      </c>
      <c r="EK114">
        <v>0</v>
      </c>
      <c r="EL114" t="s">
        <v>31</v>
      </c>
      <c r="EM114" t="s">
        <v>32</v>
      </c>
      <c r="EO114" t="s">
        <v>3</v>
      </c>
      <c r="EQ114">
        <v>131072</v>
      </c>
      <c r="ER114">
        <v>37461.269999999997</v>
      </c>
      <c r="ES114">
        <v>1262.17</v>
      </c>
      <c r="ET114">
        <v>19927.080000000002</v>
      </c>
      <c r="EU114">
        <v>4477.3599999999997</v>
      </c>
      <c r="EV114">
        <v>16272.02</v>
      </c>
      <c r="EW114">
        <v>89.24</v>
      </c>
      <c r="EX114">
        <v>0</v>
      </c>
      <c r="EY114">
        <v>0</v>
      </c>
      <c r="FQ114">
        <v>0</v>
      </c>
      <c r="FR114">
        <f>ROUND(IF(AND(BH114=3,BI114=3),P114,0),2)</f>
        <v>0</v>
      </c>
      <c r="FS114">
        <v>0</v>
      </c>
      <c r="FX114">
        <v>70</v>
      </c>
      <c r="FY114">
        <v>0</v>
      </c>
      <c r="GA114" t="s">
        <v>3</v>
      </c>
      <c r="GD114">
        <v>0</v>
      </c>
      <c r="GF114">
        <v>-544194711</v>
      </c>
      <c r="GG114">
        <v>2</v>
      </c>
      <c r="GH114">
        <v>1</v>
      </c>
      <c r="GI114">
        <v>-2</v>
      </c>
      <c r="GJ114">
        <v>0</v>
      </c>
      <c r="GK114">
        <f>ROUND(R114*(R12)/100,2)</f>
        <v>17112.47</v>
      </c>
      <c r="GL114">
        <f>ROUND(IF(AND(BH114=3,BI114=3,FS114&lt;&gt;0),P114,0),2)</f>
        <v>0</v>
      </c>
      <c r="GM114">
        <f>ROUND(O114+X114+Y114+GK114,2)+GX114</f>
        <v>256485.72</v>
      </c>
      <c r="GN114">
        <f>IF(OR(BI114=0,BI114=1),ROUND(O114+X114+Y114+GK114,2),0)</f>
        <v>0</v>
      </c>
      <c r="GO114">
        <f>IF(BI114=2,ROUND(O114+X114+Y114+GK114,2),0)</f>
        <v>0</v>
      </c>
      <c r="GP114">
        <f>IF(BI114=4,ROUND(O114+X114+Y114+GK114,2)+GX114,0)</f>
        <v>256485.72</v>
      </c>
      <c r="GR114">
        <v>0</v>
      </c>
      <c r="GS114">
        <v>3</v>
      </c>
      <c r="GT114">
        <v>0</v>
      </c>
      <c r="GU114" t="s">
        <v>3</v>
      </c>
      <c r="GV114">
        <f>ROUND((GT114),6)</f>
        <v>0</v>
      </c>
      <c r="GW114">
        <v>1</v>
      </c>
      <c r="GX114">
        <f>ROUND(HC114*I114,2)</f>
        <v>0</v>
      </c>
      <c r="HA114">
        <v>0</v>
      </c>
      <c r="HB114">
        <v>0</v>
      </c>
      <c r="HC114">
        <f>GV114*GW114</f>
        <v>0</v>
      </c>
      <c r="IK114">
        <v>0</v>
      </c>
    </row>
    <row r="115" spans="1:245" x14ac:dyDescent="0.2">
      <c r="A115">
        <v>17</v>
      </c>
      <c r="B115">
        <v>1</v>
      </c>
      <c r="C115">
        <f>ROW(SmtRes!A49)</f>
        <v>49</v>
      </c>
      <c r="D115">
        <f>ROW(EtalonRes!A49)</f>
        <v>49</v>
      </c>
      <c r="E115" t="s">
        <v>141</v>
      </c>
      <c r="F115" t="s">
        <v>142</v>
      </c>
      <c r="G115" t="s">
        <v>143</v>
      </c>
      <c r="H115" t="s">
        <v>144</v>
      </c>
      <c r="I115">
        <f>ROUND(92.12/10,9)</f>
        <v>9.2119999999999997</v>
      </c>
      <c r="J115">
        <v>0</v>
      </c>
      <c r="O115">
        <f>ROUND(CP115,2)</f>
        <v>69691.73</v>
      </c>
      <c r="P115">
        <f>ROUND(CQ115*I115,2)</f>
        <v>39738.54</v>
      </c>
      <c r="Q115">
        <f>ROUND(CR115*I115,2)</f>
        <v>0</v>
      </c>
      <c r="R115">
        <f>ROUND(CS115*I115,2)</f>
        <v>0</v>
      </c>
      <c r="S115">
        <f>ROUND(CT115*I115,2)</f>
        <v>29953.19</v>
      </c>
      <c r="T115">
        <f>ROUND(CU115*I115,2)</f>
        <v>0</v>
      </c>
      <c r="U115">
        <f>CV115*I115</f>
        <v>174.01468</v>
      </c>
      <c r="V115">
        <f>CW115*I115</f>
        <v>0</v>
      </c>
      <c r="W115">
        <f>ROUND(CX115*I115,2)</f>
        <v>0</v>
      </c>
      <c r="X115">
        <f>ROUND(CY115,2)</f>
        <v>20967.23</v>
      </c>
      <c r="Y115">
        <f>ROUND(CZ115,2)</f>
        <v>0</v>
      </c>
      <c r="AA115">
        <v>53202630</v>
      </c>
      <c r="AB115">
        <f>ROUND((AC115+AD115+AF115),6)</f>
        <v>7565.32</v>
      </c>
      <c r="AC115">
        <f>ROUND((ES115),6)</f>
        <v>4313.78</v>
      </c>
      <c r="AD115">
        <f>ROUND((((ET115)-(EU115))+AE115),6)</f>
        <v>0</v>
      </c>
      <c r="AE115">
        <f>ROUND((EU115),6)</f>
        <v>0</v>
      </c>
      <c r="AF115">
        <f>ROUND((EV115),6)</f>
        <v>3251.54</v>
      </c>
      <c r="AG115">
        <f>ROUND((AP115),6)</f>
        <v>0</v>
      </c>
      <c r="AH115">
        <f>(EW115)</f>
        <v>18.89</v>
      </c>
      <c r="AI115">
        <f>(EX115)</f>
        <v>0</v>
      </c>
      <c r="AJ115">
        <f>(AS115)</f>
        <v>0</v>
      </c>
      <c r="AK115">
        <v>7565.32</v>
      </c>
      <c r="AL115">
        <v>4313.78</v>
      </c>
      <c r="AM115">
        <v>0</v>
      </c>
      <c r="AN115">
        <v>0</v>
      </c>
      <c r="AO115">
        <v>3251.54</v>
      </c>
      <c r="AP115">
        <v>0</v>
      </c>
      <c r="AQ115">
        <v>18.89</v>
      </c>
      <c r="AR115">
        <v>0</v>
      </c>
      <c r="AS115">
        <v>0</v>
      </c>
      <c r="AT115">
        <v>70</v>
      </c>
      <c r="AU115">
        <v>0</v>
      </c>
      <c r="AV115">
        <v>1</v>
      </c>
      <c r="AW115">
        <v>1</v>
      </c>
      <c r="AZ115">
        <v>1</v>
      </c>
      <c r="BA115">
        <v>1</v>
      </c>
      <c r="BB115">
        <v>1</v>
      </c>
      <c r="BC115">
        <v>1</v>
      </c>
      <c r="BD115" t="s">
        <v>3</v>
      </c>
      <c r="BE115" t="s">
        <v>3</v>
      </c>
      <c r="BF115" t="s">
        <v>3</v>
      </c>
      <c r="BG115" t="s">
        <v>3</v>
      </c>
      <c r="BH115">
        <v>0</v>
      </c>
      <c r="BI115">
        <v>4</v>
      </c>
      <c r="BJ115" t="s">
        <v>145</v>
      </c>
      <c r="BM115">
        <v>0</v>
      </c>
      <c r="BN115">
        <v>0</v>
      </c>
      <c r="BO115" t="s">
        <v>3</v>
      </c>
      <c r="BP115">
        <v>0</v>
      </c>
      <c r="BQ115">
        <v>1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 t="s">
        <v>3</v>
      </c>
      <c r="BZ115">
        <v>70</v>
      </c>
      <c r="CA115">
        <v>0</v>
      </c>
      <c r="CE115">
        <v>0</v>
      </c>
      <c r="CF115">
        <v>0</v>
      </c>
      <c r="CG115">
        <v>0</v>
      </c>
      <c r="CM115">
        <v>0</v>
      </c>
      <c r="CN115" t="s">
        <v>3</v>
      </c>
      <c r="CO115">
        <v>0</v>
      </c>
      <c r="CP115">
        <f>(P115+Q115+S115)</f>
        <v>69691.73</v>
      </c>
      <c r="CQ115">
        <f>(AC115*BC115*AW115)</f>
        <v>4313.78</v>
      </c>
      <c r="CR115">
        <f>((((ET115)*BB115-(EU115)*BS115)+AE115*BS115)*AV115)</f>
        <v>0</v>
      </c>
      <c r="CS115">
        <f>(AE115*BS115*AV115)</f>
        <v>0</v>
      </c>
      <c r="CT115">
        <f>(AF115*BA115*AV115)</f>
        <v>3251.54</v>
      </c>
      <c r="CU115">
        <f>AG115</f>
        <v>0</v>
      </c>
      <c r="CV115">
        <f>(AH115*AV115)</f>
        <v>18.89</v>
      </c>
      <c r="CW115">
        <f>AI115</f>
        <v>0</v>
      </c>
      <c r="CX115">
        <f>AJ115</f>
        <v>0</v>
      </c>
      <c r="CY115">
        <f>((S115*BZ115)/100)</f>
        <v>20967.232999999997</v>
      </c>
      <c r="CZ115">
        <f>((S115*CA115)/100)</f>
        <v>0</v>
      </c>
      <c r="DC115" t="s">
        <v>3</v>
      </c>
      <c r="DD115" t="s">
        <v>3</v>
      </c>
      <c r="DE115" t="s">
        <v>3</v>
      </c>
      <c r="DF115" t="s">
        <v>3</v>
      </c>
      <c r="DG115" t="s">
        <v>3</v>
      </c>
      <c r="DH115" t="s">
        <v>3</v>
      </c>
      <c r="DI115" t="s">
        <v>3</v>
      </c>
      <c r="DJ115" t="s">
        <v>3</v>
      </c>
      <c r="DK115" t="s">
        <v>3</v>
      </c>
      <c r="DL115" t="s">
        <v>3</v>
      </c>
      <c r="DM115" t="s">
        <v>3</v>
      </c>
      <c r="DN115">
        <v>0</v>
      </c>
      <c r="DO115">
        <v>0</v>
      </c>
      <c r="DP115">
        <v>1</v>
      </c>
      <c r="DQ115">
        <v>1</v>
      </c>
      <c r="DU115">
        <v>1007</v>
      </c>
      <c r="DV115" t="s">
        <v>144</v>
      </c>
      <c r="DW115" t="s">
        <v>144</v>
      </c>
      <c r="DX115">
        <v>10</v>
      </c>
      <c r="EE115">
        <v>48810626</v>
      </c>
      <c r="EF115">
        <v>1</v>
      </c>
      <c r="EG115" t="s">
        <v>30</v>
      </c>
      <c r="EH115">
        <v>0</v>
      </c>
      <c r="EI115" t="s">
        <v>3</v>
      </c>
      <c r="EJ115">
        <v>4</v>
      </c>
      <c r="EK115">
        <v>0</v>
      </c>
      <c r="EL115" t="s">
        <v>31</v>
      </c>
      <c r="EM115" t="s">
        <v>32</v>
      </c>
      <c r="EO115" t="s">
        <v>3</v>
      </c>
      <c r="EQ115">
        <v>131072</v>
      </c>
      <c r="ER115">
        <v>7565.32</v>
      </c>
      <c r="ES115">
        <v>4313.78</v>
      </c>
      <c r="ET115">
        <v>0</v>
      </c>
      <c r="EU115">
        <v>0</v>
      </c>
      <c r="EV115">
        <v>3251.54</v>
      </c>
      <c r="EW115">
        <v>18.89</v>
      </c>
      <c r="EX115">
        <v>0</v>
      </c>
      <c r="EY115">
        <v>0</v>
      </c>
      <c r="FQ115">
        <v>0</v>
      </c>
      <c r="FR115">
        <f>ROUND(IF(AND(BH115=3,BI115=3),P115,0),2)</f>
        <v>0</v>
      </c>
      <c r="FS115">
        <v>0</v>
      </c>
      <c r="FX115">
        <v>70</v>
      </c>
      <c r="FY115">
        <v>0</v>
      </c>
      <c r="GA115" t="s">
        <v>3</v>
      </c>
      <c r="GD115">
        <v>0</v>
      </c>
      <c r="GF115">
        <v>-1116955107</v>
      </c>
      <c r="GG115">
        <v>2</v>
      </c>
      <c r="GH115">
        <v>1</v>
      </c>
      <c r="GI115">
        <v>-2</v>
      </c>
      <c r="GJ115">
        <v>0</v>
      </c>
      <c r="GK115">
        <f>ROUND(R115*(R12)/100,2)</f>
        <v>0</v>
      </c>
      <c r="GL115">
        <f>ROUND(IF(AND(BH115=3,BI115=3,FS115&lt;&gt;0),P115,0),2)</f>
        <v>0</v>
      </c>
      <c r="GM115">
        <f>ROUND(O115+X115+Y115+GK115,2)+GX115</f>
        <v>90658.96</v>
      </c>
      <c r="GN115">
        <f>IF(OR(BI115=0,BI115=1),ROUND(O115+X115+Y115+GK115,2),0)</f>
        <v>0</v>
      </c>
      <c r="GO115">
        <f>IF(BI115=2,ROUND(O115+X115+Y115+GK115,2),0)</f>
        <v>0</v>
      </c>
      <c r="GP115">
        <f>IF(BI115=4,ROUND(O115+X115+Y115+GK115,2)+GX115,0)</f>
        <v>90658.96</v>
      </c>
      <c r="GR115">
        <v>0</v>
      </c>
      <c r="GS115">
        <v>3</v>
      </c>
      <c r="GT115">
        <v>0</v>
      </c>
      <c r="GU115" t="s">
        <v>3</v>
      </c>
      <c r="GV115">
        <f>ROUND((GT115),6)</f>
        <v>0</v>
      </c>
      <c r="GW115">
        <v>1</v>
      </c>
      <c r="GX115">
        <f>ROUND(HC115*I115,2)</f>
        <v>0</v>
      </c>
      <c r="HA115">
        <v>0</v>
      </c>
      <c r="HB115">
        <v>0</v>
      </c>
      <c r="HC115">
        <f>GV115*GW115</f>
        <v>0</v>
      </c>
      <c r="IK115">
        <v>0</v>
      </c>
    </row>
    <row r="117" spans="1:245" x14ac:dyDescent="0.2">
      <c r="A117" s="2">
        <v>51</v>
      </c>
      <c r="B117" s="2">
        <f>B110</f>
        <v>1</v>
      </c>
      <c r="C117" s="2">
        <f>A110</f>
        <v>5</v>
      </c>
      <c r="D117" s="2">
        <f>ROW(A110)</f>
        <v>110</v>
      </c>
      <c r="E117" s="2"/>
      <c r="F117" s="2" t="str">
        <f>IF(F110&lt;&gt;"",F110,"")</f>
        <v>Новый подраздел</v>
      </c>
      <c r="G117" s="2" t="str">
        <f>IF(G110&lt;&gt;"",G110,"")</f>
        <v>Уход за деревьями на видовых центральных территориях</v>
      </c>
      <c r="H117" s="2">
        <v>0</v>
      </c>
      <c r="I117" s="2"/>
      <c r="J117" s="2"/>
      <c r="K117" s="2"/>
      <c r="L117" s="2"/>
      <c r="M117" s="2"/>
      <c r="N117" s="2"/>
      <c r="O117" s="2">
        <f t="shared" ref="O117:T117" si="83">ROUND(AB117,2)</f>
        <v>253251.95</v>
      </c>
      <c r="P117" s="2">
        <f t="shared" si="83"/>
        <v>45923.17</v>
      </c>
      <c r="Q117" s="2">
        <f t="shared" si="83"/>
        <v>97642.69</v>
      </c>
      <c r="R117" s="2">
        <f t="shared" si="83"/>
        <v>21939.06</v>
      </c>
      <c r="S117" s="2">
        <f t="shared" si="83"/>
        <v>109686.09</v>
      </c>
      <c r="T117" s="2">
        <f t="shared" si="83"/>
        <v>0</v>
      </c>
      <c r="U117" s="2">
        <f>AH117</f>
        <v>611.29068000000007</v>
      </c>
      <c r="V117" s="2">
        <f>AI117</f>
        <v>0</v>
      </c>
      <c r="W117" s="2">
        <f>ROUND(AJ117,2)</f>
        <v>0</v>
      </c>
      <c r="X117" s="2">
        <f>ROUND(AK117,2)</f>
        <v>76780.259999999995</v>
      </c>
      <c r="Y117" s="2">
        <f>ROUND(AL117,2)</f>
        <v>0</v>
      </c>
      <c r="Z117" s="2"/>
      <c r="AA117" s="2"/>
      <c r="AB117" s="2">
        <f>ROUND(SUMIF(AA114:AA115,"=53202630",O114:O115),2)</f>
        <v>253251.95</v>
      </c>
      <c r="AC117" s="2">
        <f>ROUND(SUMIF(AA114:AA115,"=53202630",P114:P115),2)</f>
        <v>45923.17</v>
      </c>
      <c r="AD117" s="2">
        <f>ROUND(SUMIF(AA114:AA115,"=53202630",Q114:Q115),2)</f>
        <v>97642.69</v>
      </c>
      <c r="AE117" s="2">
        <f>ROUND(SUMIF(AA114:AA115,"=53202630",R114:R115),2)</f>
        <v>21939.06</v>
      </c>
      <c r="AF117" s="2">
        <f>ROUND(SUMIF(AA114:AA115,"=53202630",S114:S115),2)</f>
        <v>109686.09</v>
      </c>
      <c r="AG117" s="2">
        <f>ROUND(SUMIF(AA114:AA115,"=53202630",T114:T115),2)</f>
        <v>0</v>
      </c>
      <c r="AH117" s="2">
        <f>SUMIF(AA114:AA115,"=53202630",U114:U115)</f>
        <v>611.29068000000007</v>
      </c>
      <c r="AI117" s="2">
        <f>SUMIF(AA114:AA115,"=53202630",V114:V115)</f>
        <v>0</v>
      </c>
      <c r="AJ117" s="2">
        <f>ROUND(SUMIF(AA114:AA115,"=53202630",W114:W115),2)</f>
        <v>0</v>
      </c>
      <c r="AK117" s="2">
        <f>ROUND(SUMIF(AA114:AA115,"=53202630",X114:X115),2)</f>
        <v>76780.259999999995</v>
      </c>
      <c r="AL117" s="2">
        <f>ROUND(SUMIF(AA114:AA115,"=53202630",Y114:Y115),2)</f>
        <v>0</v>
      </c>
      <c r="AM117" s="2"/>
      <c r="AN117" s="2"/>
      <c r="AO117" s="2">
        <f t="shared" ref="AO117:BC117" si="84">ROUND(BX117,2)</f>
        <v>0</v>
      </c>
      <c r="AP117" s="2">
        <f t="shared" si="84"/>
        <v>0</v>
      </c>
      <c r="AQ117" s="2">
        <f t="shared" si="84"/>
        <v>0</v>
      </c>
      <c r="AR117" s="2">
        <f t="shared" si="84"/>
        <v>347144.68</v>
      </c>
      <c r="AS117" s="2">
        <f t="shared" si="84"/>
        <v>0</v>
      </c>
      <c r="AT117" s="2">
        <f t="shared" si="84"/>
        <v>0</v>
      </c>
      <c r="AU117" s="2">
        <f t="shared" si="84"/>
        <v>347144.68</v>
      </c>
      <c r="AV117" s="2">
        <f t="shared" si="84"/>
        <v>45923.17</v>
      </c>
      <c r="AW117" s="2">
        <f t="shared" si="84"/>
        <v>45923.17</v>
      </c>
      <c r="AX117" s="2">
        <f t="shared" si="84"/>
        <v>0</v>
      </c>
      <c r="AY117" s="2">
        <f t="shared" si="84"/>
        <v>45923.17</v>
      </c>
      <c r="AZ117" s="2">
        <f t="shared" si="84"/>
        <v>0</v>
      </c>
      <c r="BA117" s="2">
        <f t="shared" si="84"/>
        <v>0</v>
      </c>
      <c r="BB117" s="2">
        <f t="shared" si="84"/>
        <v>0</v>
      </c>
      <c r="BC117" s="2">
        <f t="shared" si="84"/>
        <v>0</v>
      </c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>
        <f>ROUND(SUMIF(AA114:AA115,"=53202630",FQ114:FQ115),2)</f>
        <v>0</v>
      </c>
      <c r="BY117" s="2">
        <f>ROUND(SUMIF(AA114:AA115,"=53202630",FR114:FR115),2)</f>
        <v>0</v>
      </c>
      <c r="BZ117" s="2">
        <f>ROUND(SUMIF(AA114:AA115,"=53202630",GL114:GL115),2)</f>
        <v>0</v>
      </c>
      <c r="CA117" s="2">
        <f>ROUND(SUMIF(AA114:AA115,"=53202630",GM114:GM115),2)</f>
        <v>347144.68</v>
      </c>
      <c r="CB117" s="2">
        <f>ROUND(SUMIF(AA114:AA115,"=53202630",GN114:GN115),2)</f>
        <v>0</v>
      </c>
      <c r="CC117" s="2">
        <f>ROUND(SUMIF(AA114:AA115,"=53202630",GO114:GO115),2)</f>
        <v>0</v>
      </c>
      <c r="CD117" s="2">
        <f>ROUND(SUMIF(AA114:AA115,"=53202630",GP114:GP115),2)</f>
        <v>347144.68</v>
      </c>
      <c r="CE117" s="2">
        <f>AC117-BX117</f>
        <v>45923.17</v>
      </c>
      <c r="CF117" s="2">
        <f>AC117-BY117</f>
        <v>45923.17</v>
      </c>
      <c r="CG117" s="2">
        <f>BX117-BZ117</f>
        <v>0</v>
      </c>
      <c r="CH117" s="2">
        <f>AC117-BX117-BY117+BZ117</f>
        <v>45923.17</v>
      </c>
      <c r="CI117" s="2">
        <f>BY117-BZ117</f>
        <v>0</v>
      </c>
      <c r="CJ117" s="2">
        <f>ROUND(SUMIF(AA114:AA115,"=53202630",GX114:GX115),2)</f>
        <v>0</v>
      </c>
      <c r="CK117" s="2">
        <f>ROUND(SUMIF(AA114:AA115,"=53202630",GY114:GY115),2)</f>
        <v>0</v>
      </c>
      <c r="CL117" s="2">
        <f>ROUND(SUMIF(AA114:AA115,"=53202630",GZ114:GZ115),2)</f>
        <v>0</v>
      </c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>
        <v>0</v>
      </c>
    </row>
    <row r="119" spans="1:245" x14ac:dyDescent="0.2">
      <c r="A119" s="4">
        <v>50</v>
      </c>
      <c r="B119" s="4">
        <v>0</v>
      </c>
      <c r="C119" s="4">
        <v>0</v>
      </c>
      <c r="D119" s="4">
        <v>1</v>
      </c>
      <c r="E119" s="4">
        <v>201</v>
      </c>
      <c r="F119" s="4">
        <f>ROUND(Source!O117,O119)</f>
        <v>253251.95</v>
      </c>
      <c r="G119" s="4" t="s">
        <v>72</v>
      </c>
      <c r="H119" s="4" t="s">
        <v>73</v>
      </c>
      <c r="I119" s="4"/>
      <c r="J119" s="4"/>
      <c r="K119" s="4">
        <v>201</v>
      </c>
      <c r="L119" s="4">
        <v>1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45" x14ac:dyDescent="0.2">
      <c r="A120" s="4">
        <v>50</v>
      </c>
      <c r="B120" s="4">
        <v>0</v>
      </c>
      <c r="C120" s="4">
        <v>0</v>
      </c>
      <c r="D120" s="4">
        <v>1</v>
      </c>
      <c r="E120" s="4">
        <v>202</v>
      </c>
      <c r="F120" s="4">
        <f>ROUND(Source!P117,O120)</f>
        <v>45923.17</v>
      </c>
      <c r="G120" s="4" t="s">
        <v>74</v>
      </c>
      <c r="H120" s="4" t="s">
        <v>75</v>
      </c>
      <c r="I120" s="4"/>
      <c r="J120" s="4"/>
      <c r="K120" s="4">
        <v>202</v>
      </c>
      <c r="L120" s="4">
        <v>2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45" x14ac:dyDescent="0.2">
      <c r="A121" s="4">
        <v>50</v>
      </c>
      <c r="B121" s="4">
        <v>0</v>
      </c>
      <c r="C121" s="4">
        <v>0</v>
      </c>
      <c r="D121" s="4">
        <v>1</v>
      </c>
      <c r="E121" s="4">
        <v>222</v>
      </c>
      <c r="F121" s="4">
        <f>ROUND(Source!AO117,O121)</f>
        <v>0</v>
      </c>
      <c r="G121" s="4" t="s">
        <v>76</v>
      </c>
      <c r="H121" s="4" t="s">
        <v>77</v>
      </c>
      <c r="I121" s="4"/>
      <c r="J121" s="4"/>
      <c r="K121" s="4">
        <v>222</v>
      </c>
      <c r="L121" s="4">
        <v>3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45" x14ac:dyDescent="0.2">
      <c r="A122" s="4">
        <v>50</v>
      </c>
      <c r="B122" s="4">
        <v>0</v>
      </c>
      <c r="C122" s="4">
        <v>0</v>
      </c>
      <c r="D122" s="4">
        <v>1</v>
      </c>
      <c r="E122" s="4">
        <v>225</v>
      </c>
      <c r="F122" s="4">
        <f>ROUND(Source!AV117,O122)</f>
        <v>45923.17</v>
      </c>
      <c r="G122" s="4" t="s">
        <v>78</v>
      </c>
      <c r="H122" s="4" t="s">
        <v>79</v>
      </c>
      <c r="I122" s="4"/>
      <c r="J122" s="4"/>
      <c r="K122" s="4">
        <v>225</v>
      </c>
      <c r="L122" s="4">
        <v>4</v>
      </c>
      <c r="M122" s="4">
        <v>3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45" x14ac:dyDescent="0.2">
      <c r="A123" s="4">
        <v>50</v>
      </c>
      <c r="B123" s="4">
        <v>0</v>
      </c>
      <c r="C123" s="4">
        <v>0</v>
      </c>
      <c r="D123" s="4">
        <v>1</v>
      </c>
      <c r="E123" s="4">
        <v>226</v>
      </c>
      <c r="F123" s="4">
        <f>ROUND(Source!AW117,O123)</f>
        <v>45923.17</v>
      </c>
      <c r="G123" s="4" t="s">
        <v>80</v>
      </c>
      <c r="H123" s="4" t="s">
        <v>81</v>
      </c>
      <c r="I123" s="4"/>
      <c r="J123" s="4"/>
      <c r="K123" s="4">
        <v>226</v>
      </c>
      <c r="L123" s="4">
        <v>5</v>
      </c>
      <c r="M123" s="4">
        <v>3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45" x14ac:dyDescent="0.2">
      <c r="A124" s="4">
        <v>50</v>
      </c>
      <c r="B124" s="4">
        <v>0</v>
      </c>
      <c r="C124" s="4">
        <v>0</v>
      </c>
      <c r="D124" s="4">
        <v>1</v>
      </c>
      <c r="E124" s="4">
        <v>227</v>
      </c>
      <c r="F124" s="4">
        <f>ROUND(Source!AX117,O124)</f>
        <v>0</v>
      </c>
      <c r="G124" s="4" t="s">
        <v>82</v>
      </c>
      <c r="H124" s="4" t="s">
        <v>83</v>
      </c>
      <c r="I124" s="4"/>
      <c r="J124" s="4"/>
      <c r="K124" s="4">
        <v>227</v>
      </c>
      <c r="L124" s="4">
        <v>6</v>
      </c>
      <c r="M124" s="4">
        <v>3</v>
      </c>
      <c r="N124" s="4" t="s">
        <v>3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45" x14ac:dyDescent="0.2">
      <c r="A125" s="4">
        <v>50</v>
      </c>
      <c r="B125" s="4">
        <v>0</v>
      </c>
      <c r="C125" s="4">
        <v>0</v>
      </c>
      <c r="D125" s="4">
        <v>1</v>
      </c>
      <c r="E125" s="4">
        <v>228</v>
      </c>
      <c r="F125" s="4">
        <f>ROUND(Source!AY117,O125)</f>
        <v>45923.17</v>
      </c>
      <c r="G125" s="4" t="s">
        <v>84</v>
      </c>
      <c r="H125" s="4" t="s">
        <v>85</v>
      </c>
      <c r="I125" s="4"/>
      <c r="J125" s="4"/>
      <c r="K125" s="4">
        <v>228</v>
      </c>
      <c r="L125" s="4">
        <v>7</v>
      </c>
      <c r="M125" s="4">
        <v>3</v>
      </c>
      <c r="N125" s="4" t="s">
        <v>3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45" x14ac:dyDescent="0.2">
      <c r="A126" s="4">
        <v>50</v>
      </c>
      <c r="B126" s="4">
        <v>0</v>
      </c>
      <c r="C126" s="4">
        <v>0</v>
      </c>
      <c r="D126" s="4">
        <v>1</v>
      </c>
      <c r="E126" s="4">
        <v>216</v>
      </c>
      <c r="F126" s="4">
        <f>ROUND(Source!AP117,O126)</f>
        <v>0</v>
      </c>
      <c r="G126" s="4" t="s">
        <v>86</v>
      </c>
      <c r="H126" s="4" t="s">
        <v>87</v>
      </c>
      <c r="I126" s="4"/>
      <c r="J126" s="4"/>
      <c r="K126" s="4">
        <v>216</v>
      </c>
      <c r="L126" s="4">
        <v>8</v>
      </c>
      <c r="M126" s="4">
        <v>3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45" x14ac:dyDescent="0.2">
      <c r="A127" s="4">
        <v>50</v>
      </c>
      <c r="B127" s="4">
        <v>0</v>
      </c>
      <c r="C127" s="4">
        <v>0</v>
      </c>
      <c r="D127" s="4">
        <v>1</v>
      </c>
      <c r="E127" s="4">
        <v>223</v>
      </c>
      <c r="F127" s="4">
        <f>ROUND(Source!AQ117,O127)</f>
        <v>0</v>
      </c>
      <c r="G127" s="4" t="s">
        <v>88</v>
      </c>
      <c r="H127" s="4" t="s">
        <v>89</v>
      </c>
      <c r="I127" s="4"/>
      <c r="J127" s="4"/>
      <c r="K127" s="4">
        <v>223</v>
      </c>
      <c r="L127" s="4">
        <v>9</v>
      </c>
      <c r="M127" s="4">
        <v>3</v>
      </c>
      <c r="N127" s="4" t="s">
        <v>3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45" x14ac:dyDescent="0.2">
      <c r="A128" s="4">
        <v>50</v>
      </c>
      <c r="B128" s="4">
        <v>0</v>
      </c>
      <c r="C128" s="4">
        <v>0</v>
      </c>
      <c r="D128" s="4">
        <v>1</v>
      </c>
      <c r="E128" s="4">
        <v>229</v>
      </c>
      <c r="F128" s="4">
        <f>ROUND(Source!AZ117,O128)</f>
        <v>0</v>
      </c>
      <c r="G128" s="4" t="s">
        <v>90</v>
      </c>
      <c r="H128" s="4" t="s">
        <v>91</v>
      </c>
      <c r="I128" s="4"/>
      <c r="J128" s="4"/>
      <c r="K128" s="4">
        <v>229</v>
      </c>
      <c r="L128" s="4">
        <v>10</v>
      </c>
      <c r="M128" s="4">
        <v>3</v>
      </c>
      <c r="N128" s="4" t="s">
        <v>3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>
        <v>50</v>
      </c>
      <c r="B129" s="4">
        <v>0</v>
      </c>
      <c r="C129" s="4">
        <v>0</v>
      </c>
      <c r="D129" s="4">
        <v>1</v>
      </c>
      <c r="E129" s="4">
        <v>203</v>
      </c>
      <c r="F129" s="4">
        <f>ROUND(Source!Q117,O129)</f>
        <v>97642.69</v>
      </c>
      <c r="G129" s="4" t="s">
        <v>92</v>
      </c>
      <c r="H129" s="4" t="s">
        <v>93</v>
      </c>
      <c r="I129" s="4"/>
      <c r="J129" s="4"/>
      <c r="K129" s="4">
        <v>203</v>
      </c>
      <c r="L129" s="4">
        <v>11</v>
      </c>
      <c r="M129" s="4">
        <v>3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>
        <v>50</v>
      </c>
      <c r="B130" s="4">
        <v>0</v>
      </c>
      <c r="C130" s="4">
        <v>0</v>
      </c>
      <c r="D130" s="4">
        <v>1</v>
      </c>
      <c r="E130" s="4">
        <v>231</v>
      </c>
      <c r="F130" s="4">
        <f>ROUND(Source!BB117,O130)</f>
        <v>0</v>
      </c>
      <c r="G130" s="4" t="s">
        <v>94</v>
      </c>
      <c r="H130" s="4" t="s">
        <v>95</v>
      </c>
      <c r="I130" s="4"/>
      <c r="J130" s="4"/>
      <c r="K130" s="4">
        <v>231</v>
      </c>
      <c r="L130" s="4">
        <v>12</v>
      </c>
      <c r="M130" s="4">
        <v>3</v>
      </c>
      <c r="N130" s="4" t="s">
        <v>3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>
        <v>50</v>
      </c>
      <c r="B131" s="4">
        <v>0</v>
      </c>
      <c r="C131" s="4">
        <v>0</v>
      </c>
      <c r="D131" s="4">
        <v>1</v>
      </c>
      <c r="E131" s="4">
        <v>204</v>
      </c>
      <c r="F131" s="4">
        <f>ROUND(Source!R117,O131)</f>
        <v>21939.06</v>
      </c>
      <c r="G131" s="4" t="s">
        <v>96</v>
      </c>
      <c r="H131" s="4" t="s">
        <v>97</v>
      </c>
      <c r="I131" s="4"/>
      <c r="J131" s="4"/>
      <c r="K131" s="4">
        <v>204</v>
      </c>
      <c r="L131" s="4">
        <v>13</v>
      </c>
      <c r="M131" s="4">
        <v>3</v>
      </c>
      <c r="N131" s="4" t="s">
        <v>3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>
        <v>50</v>
      </c>
      <c r="B132" s="4">
        <v>0</v>
      </c>
      <c r="C132" s="4">
        <v>0</v>
      </c>
      <c r="D132" s="4">
        <v>1</v>
      </c>
      <c r="E132" s="4">
        <v>205</v>
      </c>
      <c r="F132" s="4">
        <f>ROUND(Source!S117,O132)</f>
        <v>109686.09</v>
      </c>
      <c r="G132" s="4" t="s">
        <v>98</v>
      </c>
      <c r="H132" s="4" t="s">
        <v>99</v>
      </c>
      <c r="I132" s="4"/>
      <c r="J132" s="4"/>
      <c r="K132" s="4">
        <v>205</v>
      </c>
      <c r="L132" s="4">
        <v>14</v>
      </c>
      <c r="M132" s="4">
        <v>3</v>
      </c>
      <c r="N132" s="4" t="s">
        <v>3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>
        <v>50</v>
      </c>
      <c r="B133" s="4">
        <v>0</v>
      </c>
      <c r="C133" s="4">
        <v>0</v>
      </c>
      <c r="D133" s="4">
        <v>1</v>
      </c>
      <c r="E133" s="4">
        <v>232</v>
      </c>
      <c r="F133" s="4">
        <f>ROUND(Source!BC117,O133)</f>
        <v>0</v>
      </c>
      <c r="G133" s="4" t="s">
        <v>100</v>
      </c>
      <c r="H133" s="4" t="s">
        <v>101</v>
      </c>
      <c r="I133" s="4"/>
      <c r="J133" s="4"/>
      <c r="K133" s="4">
        <v>232</v>
      </c>
      <c r="L133" s="4">
        <v>15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>
        <v>50</v>
      </c>
      <c r="B134" s="4">
        <v>0</v>
      </c>
      <c r="C134" s="4">
        <v>0</v>
      </c>
      <c r="D134" s="4">
        <v>1</v>
      </c>
      <c r="E134" s="4">
        <v>214</v>
      </c>
      <c r="F134" s="4">
        <f>ROUND(Source!AS117,O134)</f>
        <v>0</v>
      </c>
      <c r="G134" s="4" t="s">
        <v>102</v>
      </c>
      <c r="H134" s="4" t="s">
        <v>103</v>
      </c>
      <c r="I134" s="4"/>
      <c r="J134" s="4"/>
      <c r="K134" s="4">
        <v>214</v>
      </c>
      <c r="L134" s="4">
        <v>16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>
        <v>50</v>
      </c>
      <c r="B135" s="4">
        <v>0</v>
      </c>
      <c r="C135" s="4">
        <v>0</v>
      </c>
      <c r="D135" s="4">
        <v>1</v>
      </c>
      <c r="E135" s="4">
        <v>215</v>
      </c>
      <c r="F135" s="4">
        <f>ROUND(Source!AT117,O135)</f>
        <v>0</v>
      </c>
      <c r="G135" s="4" t="s">
        <v>104</v>
      </c>
      <c r="H135" s="4" t="s">
        <v>105</v>
      </c>
      <c r="I135" s="4"/>
      <c r="J135" s="4"/>
      <c r="K135" s="4">
        <v>215</v>
      </c>
      <c r="L135" s="4">
        <v>17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>
        <v>50</v>
      </c>
      <c r="B136" s="4">
        <v>0</v>
      </c>
      <c r="C136" s="4">
        <v>0</v>
      </c>
      <c r="D136" s="4">
        <v>1</v>
      </c>
      <c r="E136" s="4">
        <v>217</v>
      </c>
      <c r="F136" s="4">
        <f>ROUND(Source!AU117,O136)</f>
        <v>347144.68</v>
      </c>
      <c r="G136" s="4" t="s">
        <v>106</v>
      </c>
      <c r="H136" s="4" t="s">
        <v>107</v>
      </c>
      <c r="I136" s="4"/>
      <c r="J136" s="4"/>
      <c r="K136" s="4">
        <v>217</v>
      </c>
      <c r="L136" s="4">
        <v>18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>
        <v>50</v>
      </c>
      <c r="B137" s="4">
        <v>0</v>
      </c>
      <c r="C137" s="4">
        <v>0</v>
      </c>
      <c r="D137" s="4">
        <v>1</v>
      </c>
      <c r="E137" s="4">
        <v>230</v>
      </c>
      <c r="F137" s="4">
        <f>ROUND(Source!BA117,O137)</f>
        <v>0</v>
      </c>
      <c r="G137" s="4" t="s">
        <v>108</v>
      </c>
      <c r="H137" s="4" t="s">
        <v>109</v>
      </c>
      <c r="I137" s="4"/>
      <c r="J137" s="4"/>
      <c r="K137" s="4">
        <v>230</v>
      </c>
      <c r="L137" s="4">
        <v>19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>
        <v>50</v>
      </c>
      <c r="B138" s="4">
        <v>0</v>
      </c>
      <c r="C138" s="4">
        <v>0</v>
      </c>
      <c r="D138" s="4">
        <v>1</v>
      </c>
      <c r="E138" s="4">
        <v>206</v>
      </c>
      <c r="F138" s="4">
        <f>ROUND(Source!T117,O138)</f>
        <v>0</v>
      </c>
      <c r="G138" s="4" t="s">
        <v>110</v>
      </c>
      <c r="H138" s="4" t="s">
        <v>111</v>
      </c>
      <c r="I138" s="4"/>
      <c r="J138" s="4"/>
      <c r="K138" s="4">
        <v>206</v>
      </c>
      <c r="L138" s="4">
        <v>20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>
        <v>50</v>
      </c>
      <c r="B139" s="4">
        <v>0</v>
      </c>
      <c r="C139" s="4">
        <v>0</v>
      </c>
      <c r="D139" s="4">
        <v>1</v>
      </c>
      <c r="E139" s="4">
        <v>207</v>
      </c>
      <c r="F139" s="4">
        <f>Source!U117</f>
        <v>611.29068000000007</v>
      </c>
      <c r="G139" s="4" t="s">
        <v>112</v>
      </c>
      <c r="H139" s="4" t="s">
        <v>113</v>
      </c>
      <c r="I139" s="4"/>
      <c r="J139" s="4"/>
      <c r="K139" s="4">
        <v>207</v>
      </c>
      <c r="L139" s="4">
        <v>21</v>
      </c>
      <c r="M139" s="4">
        <v>3</v>
      </c>
      <c r="N139" s="4" t="s">
        <v>3</v>
      </c>
      <c r="O139" s="4">
        <v>-1</v>
      </c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>
        <v>50</v>
      </c>
      <c r="B140" s="4">
        <v>0</v>
      </c>
      <c r="C140" s="4">
        <v>0</v>
      </c>
      <c r="D140" s="4">
        <v>1</v>
      </c>
      <c r="E140" s="4">
        <v>208</v>
      </c>
      <c r="F140" s="4">
        <f>Source!V117</f>
        <v>0</v>
      </c>
      <c r="G140" s="4" t="s">
        <v>114</v>
      </c>
      <c r="H140" s="4" t="s">
        <v>115</v>
      </c>
      <c r="I140" s="4"/>
      <c r="J140" s="4"/>
      <c r="K140" s="4">
        <v>208</v>
      </c>
      <c r="L140" s="4">
        <v>22</v>
      </c>
      <c r="M140" s="4">
        <v>3</v>
      </c>
      <c r="N140" s="4" t="s">
        <v>3</v>
      </c>
      <c r="O140" s="4">
        <v>-1</v>
      </c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>
        <v>50</v>
      </c>
      <c r="B141" s="4">
        <v>0</v>
      </c>
      <c r="C141" s="4">
        <v>0</v>
      </c>
      <c r="D141" s="4">
        <v>1</v>
      </c>
      <c r="E141" s="4">
        <v>209</v>
      </c>
      <c r="F141" s="4">
        <f>ROUND(Source!W117,O141)</f>
        <v>0</v>
      </c>
      <c r="G141" s="4" t="s">
        <v>116</v>
      </c>
      <c r="H141" s="4" t="s">
        <v>117</v>
      </c>
      <c r="I141" s="4"/>
      <c r="J141" s="4"/>
      <c r="K141" s="4">
        <v>209</v>
      </c>
      <c r="L141" s="4">
        <v>23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>
        <v>50</v>
      </c>
      <c r="B142" s="4">
        <v>0</v>
      </c>
      <c r="C142" s="4">
        <v>0</v>
      </c>
      <c r="D142" s="4">
        <v>1</v>
      </c>
      <c r="E142" s="4">
        <v>210</v>
      </c>
      <c r="F142" s="4">
        <f>ROUND(Source!X117,O142)</f>
        <v>76780.259999999995</v>
      </c>
      <c r="G142" s="4" t="s">
        <v>118</v>
      </c>
      <c r="H142" s="4" t="s">
        <v>119</v>
      </c>
      <c r="I142" s="4"/>
      <c r="J142" s="4"/>
      <c r="K142" s="4">
        <v>210</v>
      </c>
      <c r="L142" s="4">
        <v>24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>
        <v>50</v>
      </c>
      <c r="B143" s="4">
        <v>0</v>
      </c>
      <c r="C143" s="4">
        <v>0</v>
      </c>
      <c r="D143" s="4">
        <v>1</v>
      </c>
      <c r="E143" s="4">
        <v>211</v>
      </c>
      <c r="F143" s="4">
        <f>ROUND(Source!Y117,O143)</f>
        <v>0</v>
      </c>
      <c r="G143" s="4" t="s">
        <v>120</v>
      </c>
      <c r="H143" s="4" t="s">
        <v>121</v>
      </c>
      <c r="I143" s="4"/>
      <c r="J143" s="4"/>
      <c r="K143" s="4">
        <v>211</v>
      </c>
      <c r="L143" s="4">
        <v>25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>
        <v>50</v>
      </c>
      <c r="B144" s="4">
        <v>0</v>
      </c>
      <c r="C144" s="4">
        <v>0</v>
      </c>
      <c r="D144" s="4">
        <v>1</v>
      </c>
      <c r="E144" s="4">
        <v>224</v>
      </c>
      <c r="F144" s="4">
        <f>ROUND(Source!AR117,O144)</f>
        <v>347144.68</v>
      </c>
      <c r="G144" s="4" t="s">
        <v>122</v>
      </c>
      <c r="H144" s="4" t="s">
        <v>123</v>
      </c>
      <c r="I144" s="4"/>
      <c r="J144" s="4"/>
      <c r="K144" s="4">
        <v>224</v>
      </c>
      <c r="L144" s="4">
        <v>26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6" spans="1:206" x14ac:dyDescent="0.2">
      <c r="A146" s="2">
        <v>51</v>
      </c>
      <c r="B146" s="2">
        <f>B24</f>
        <v>1</v>
      </c>
      <c r="C146" s="2">
        <f>A24</f>
        <v>4</v>
      </c>
      <c r="D146" s="2">
        <f>ROW(A24)</f>
        <v>24</v>
      </c>
      <c r="E146" s="2"/>
      <c r="F146" s="2" t="str">
        <f>IF(F24&lt;&gt;"",F24,"")</f>
        <v>Новый раздел</v>
      </c>
      <c r="G146" s="2" t="str">
        <f>IF(G24&lt;&gt;"",G24,"")</f>
        <v>Посадка деревьев V группы (на видовых территориях - центральная часть города, административных округов); ком. 1,7*1,7*0,65; 100% замена земли</v>
      </c>
      <c r="H146" s="2">
        <v>0</v>
      </c>
      <c r="I146" s="2"/>
      <c r="J146" s="2"/>
      <c r="K146" s="2"/>
      <c r="L146" s="2"/>
      <c r="M146" s="2"/>
      <c r="N146" s="2"/>
      <c r="O146" s="2">
        <f t="shared" ref="O146:T146" si="85">ROUND(O42+O81+O117+AB146,2)</f>
        <v>2006028.93</v>
      </c>
      <c r="P146" s="2">
        <f t="shared" si="85"/>
        <v>964120.69</v>
      </c>
      <c r="Q146" s="2">
        <f t="shared" si="85"/>
        <v>311302.02</v>
      </c>
      <c r="R146" s="2">
        <f t="shared" si="85"/>
        <v>129514.51</v>
      </c>
      <c r="S146" s="2">
        <f t="shared" si="85"/>
        <v>730606.22</v>
      </c>
      <c r="T146" s="2">
        <f t="shared" si="85"/>
        <v>0</v>
      </c>
      <c r="U146" s="2">
        <f>U42+U81+U117+AH146</f>
        <v>3707.8259300000004</v>
      </c>
      <c r="V146" s="2">
        <f>V42+V81+V117+AI146</f>
        <v>0</v>
      </c>
      <c r="W146" s="2">
        <f>ROUND(W42+W81+W117+AJ146,2)</f>
        <v>0</v>
      </c>
      <c r="X146" s="2">
        <f>ROUND(X42+X81+X117+AK146,2)</f>
        <v>511424.36</v>
      </c>
      <c r="Y146" s="2">
        <f>ROUND(Y42+Y81+Y117+AL146,2)</f>
        <v>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>
        <f t="shared" ref="AO146:BC146" si="86">ROUND(AO42+AO81+AO117+BX146,2)</f>
        <v>0</v>
      </c>
      <c r="AP146" s="2">
        <f t="shared" si="86"/>
        <v>0</v>
      </c>
      <c r="AQ146" s="2">
        <f t="shared" si="86"/>
        <v>0</v>
      </c>
      <c r="AR146" s="2">
        <f t="shared" si="86"/>
        <v>2549454.11</v>
      </c>
      <c r="AS146" s="2">
        <f t="shared" si="86"/>
        <v>0</v>
      </c>
      <c r="AT146" s="2">
        <f t="shared" si="86"/>
        <v>0</v>
      </c>
      <c r="AU146" s="2">
        <f t="shared" si="86"/>
        <v>2549454.11</v>
      </c>
      <c r="AV146" s="2">
        <f t="shared" si="86"/>
        <v>964120.69</v>
      </c>
      <c r="AW146" s="2">
        <f t="shared" si="86"/>
        <v>964120.69</v>
      </c>
      <c r="AX146" s="2">
        <f t="shared" si="86"/>
        <v>0</v>
      </c>
      <c r="AY146" s="2">
        <f t="shared" si="86"/>
        <v>964120.69</v>
      </c>
      <c r="AZ146" s="2">
        <f t="shared" si="86"/>
        <v>0</v>
      </c>
      <c r="BA146" s="2">
        <f t="shared" si="86"/>
        <v>0</v>
      </c>
      <c r="BB146" s="2">
        <f t="shared" si="86"/>
        <v>0</v>
      </c>
      <c r="BC146" s="2">
        <f t="shared" si="86"/>
        <v>0</v>
      </c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>
        <v>0</v>
      </c>
    </row>
    <row r="148" spans="1:206" x14ac:dyDescent="0.2">
      <c r="A148" s="4">
        <v>50</v>
      </c>
      <c r="B148" s="4">
        <v>0</v>
      </c>
      <c r="C148" s="4">
        <v>0</v>
      </c>
      <c r="D148" s="4">
        <v>1</v>
      </c>
      <c r="E148" s="4">
        <v>201</v>
      </c>
      <c r="F148" s="4">
        <f>ROUND(Source!O146,O148)</f>
        <v>2006028.93</v>
      </c>
      <c r="G148" s="4" t="s">
        <v>72</v>
      </c>
      <c r="H148" s="4" t="s">
        <v>73</v>
      </c>
      <c r="I148" s="4"/>
      <c r="J148" s="4"/>
      <c r="K148" s="4">
        <v>201</v>
      </c>
      <c r="L148" s="4">
        <v>1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06" x14ac:dyDescent="0.2">
      <c r="A149" s="4">
        <v>50</v>
      </c>
      <c r="B149" s="4">
        <v>0</v>
      </c>
      <c r="C149" s="4">
        <v>0</v>
      </c>
      <c r="D149" s="4">
        <v>1</v>
      </c>
      <c r="E149" s="4">
        <v>202</v>
      </c>
      <c r="F149" s="4">
        <f>ROUND(Source!P146,O149)</f>
        <v>964120.69</v>
      </c>
      <c r="G149" s="4" t="s">
        <v>74</v>
      </c>
      <c r="H149" s="4" t="s">
        <v>75</v>
      </c>
      <c r="I149" s="4"/>
      <c r="J149" s="4"/>
      <c r="K149" s="4">
        <v>202</v>
      </c>
      <c r="L149" s="4">
        <v>2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06" x14ac:dyDescent="0.2">
      <c r="A150" s="4">
        <v>50</v>
      </c>
      <c r="B150" s="4">
        <v>0</v>
      </c>
      <c r="C150" s="4">
        <v>0</v>
      </c>
      <c r="D150" s="4">
        <v>1</v>
      </c>
      <c r="E150" s="4">
        <v>222</v>
      </c>
      <c r="F150" s="4">
        <f>ROUND(Source!AO146,O150)</f>
        <v>0</v>
      </c>
      <c r="G150" s="4" t="s">
        <v>76</v>
      </c>
      <c r="H150" s="4" t="s">
        <v>77</v>
      </c>
      <c r="I150" s="4"/>
      <c r="J150" s="4"/>
      <c r="K150" s="4">
        <v>222</v>
      </c>
      <c r="L150" s="4">
        <v>3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06" x14ac:dyDescent="0.2">
      <c r="A151" s="4">
        <v>50</v>
      </c>
      <c r="B151" s="4">
        <v>0</v>
      </c>
      <c r="C151" s="4">
        <v>0</v>
      </c>
      <c r="D151" s="4">
        <v>1</v>
      </c>
      <c r="E151" s="4">
        <v>225</v>
      </c>
      <c r="F151" s="4">
        <f>ROUND(Source!AV146,O151)</f>
        <v>964120.69</v>
      </c>
      <c r="G151" s="4" t="s">
        <v>78</v>
      </c>
      <c r="H151" s="4" t="s">
        <v>79</v>
      </c>
      <c r="I151" s="4"/>
      <c r="J151" s="4"/>
      <c r="K151" s="4">
        <v>225</v>
      </c>
      <c r="L151" s="4">
        <v>4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06" x14ac:dyDescent="0.2">
      <c r="A152" s="4">
        <v>50</v>
      </c>
      <c r="B152" s="4">
        <v>0</v>
      </c>
      <c r="C152" s="4">
        <v>0</v>
      </c>
      <c r="D152" s="4">
        <v>1</v>
      </c>
      <c r="E152" s="4">
        <v>226</v>
      </c>
      <c r="F152" s="4">
        <f>ROUND(Source!AW146,O152)</f>
        <v>964120.69</v>
      </c>
      <c r="G152" s="4" t="s">
        <v>80</v>
      </c>
      <c r="H152" s="4" t="s">
        <v>81</v>
      </c>
      <c r="I152" s="4"/>
      <c r="J152" s="4"/>
      <c r="K152" s="4">
        <v>226</v>
      </c>
      <c r="L152" s="4">
        <v>5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06" x14ac:dyDescent="0.2">
      <c r="A153" s="4">
        <v>50</v>
      </c>
      <c r="B153" s="4">
        <v>0</v>
      </c>
      <c r="C153" s="4">
        <v>0</v>
      </c>
      <c r="D153" s="4">
        <v>1</v>
      </c>
      <c r="E153" s="4">
        <v>227</v>
      </c>
      <c r="F153" s="4">
        <f>ROUND(Source!AX146,O153)</f>
        <v>0</v>
      </c>
      <c r="G153" s="4" t="s">
        <v>82</v>
      </c>
      <c r="H153" s="4" t="s">
        <v>83</v>
      </c>
      <c r="I153" s="4"/>
      <c r="J153" s="4"/>
      <c r="K153" s="4">
        <v>227</v>
      </c>
      <c r="L153" s="4">
        <v>6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06" x14ac:dyDescent="0.2">
      <c r="A154" s="4">
        <v>50</v>
      </c>
      <c r="B154" s="4">
        <v>0</v>
      </c>
      <c r="C154" s="4">
        <v>0</v>
      </c>
      <c r="D154" s="4">
        <v>1</v>
      </c>
      <c r="E154" s="4">
        <v>228</v>
      </c>
      <c r="F154" s="4">
        <f>ROUND(Source!AY146,O154)</f>
        <v>964120.69</v>
      </c>
      <c r="G154" s="4" t="s">
        <v>84</v>
      </c>
      <c r="H154" s="4" t="s">
        <v>85</v>
      </c>
      <c r="I154" s="4"/>
      <c r="J154" s="4"/>
      <c r="K154" s="4">
        <v>228</v>
      </c>
      <c r="L154" s="4">
        <v>7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06" x14ac:dyDescent="0.2">
      <c r="A155" s="4">
        <v>50</v>
      </c>
      <c r="B155" s="4">
        <v>0</v>
      </c>
      <c r="C155" s="4">
        <v>0</v>
      </c>
      <c r="D155" s="4">
        <v>1</v>
      </c>
      <c r="E155" s="4">
        <v>216</v>
      </c>
      <c r="F155" s="4">
        <f>ROUND(Source!AP146,O155)</f>
        <v>0</v>
      </c>
      <c r="G155" s="4" t="s">
        <v>86</v>
      </c>
      <c r="H155" s="4" t="s">
        <v>87</v>
      </c>
      <c r="I155" s="4"/>
      <c r="J155" s="4"/>
      <c r="K155" s="4">
        <v>216</v>
      </c>
      <c r="L155" s="4">
        <v>8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06" x14ac:dyDescent="0.2">
      <c r="A156" s="4">
        <v>50</v>
      </c>
      <c r="B156" s="4">
        <v>0</v>
      </c>
      <c r="C156" s="4">
        <v>0</v>
      </c>
      <c r="D156" s="4">
        <v>1</v>
      </c>
      <c r="E156" s="4">
        <v>223</v>
      </c>
      <c r="F156" s="4">
        <f>ROUND(Source!AQ146,O156)</f>
        <v>0</v>
      </c>
      <c r="G156" s="4" t="s">
        <v>88</v>
      </c>
      <c r="H156" s="4" t="s">
        <v>89</v>
      </c>
      <c r="I156" s="4"/>
      <c r="J156" s="4"/>
      <c r="K156" s="4">
        <v>223</v>
      </c>
      <c r="L156" s="4">
        <v>9</v>
      </c>
      <c r="M156" s="4">
        <v>3</v>
      </c>
      <c r="N156" s="4" t="s">
        <v>3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06" x14ac:dyDescent="0.2">
      <c r="A157" s="4">
        <v>50</v>
      </c>
      <c r="B157" s="4">
        <v>0</v>
      </c>
      <c r="C157" s="4">
        <v>0</v>
      </c>
      <c r="D157" s="4">
        <v>1</v>
      </c>
      <c r="E157" s="4">
        <v>229</v>
      </c>
      <c r="F157" s="4">
        <f>ROUND(Source!AZ146,O157)</f>
        <v>0</v>
      </c>
      <c r="G157" s="4" t="s">
        <v>90</v>
      </c>
      <c r="H157" s="4" t="s">
        <v>91</v>
      </c>
      <c r="I157" s="4"/>
      <c r="J157" s="4"/>
      <c r="K157" s="4">
        <v>229</v>
      </c>
      <c r="L157" s="4">
        <v>10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06" x14ac:dyDescent="0.2">
      <c r="A158" s="4">
        <v>50</v>
      </c>
      <c r="B158" s="4">
        <v>0</v>
      </c>
      <c r="C158" s="4">
        <v>0</v>
      </c>
      <c r="D158" s="4">
        <v>1</v>
      </c>
      <c r="E158" s="4">
        <v>203</v>
      </c>
      <c r="F158" s="4">
        <f>ROUND(Source!Q146,O158)</f>
        <v>311302.02</v>
      </c>
      <c r="G158" s="4" t="s">
        <v>92</v>
      </c>
      <c r="H158" s="4" t="s">
        <v>93</v>
      </c>
      <c r="I158" s="4"/>
      <c r="J158" s="4"/>
      <c r="K158" s="4">
        <v>203</v>
      </c>
      <c r="L158" s="4">
        <v>11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06" x14ac:dyDescent="0.2">
      <c r="A159" s="4">
        <v>50</v>
      </c>
      <c r="B159" s="4">
        <v>0</v>
      </c>
      <c r="C159" s="4">
        <v>0</v>
      </c>
      <c r="D159" s="4">
        <v>1</v>
      </c>
      <c r="E159" s="4">
        <v>231</v>
      </c>
      <c r="F159" s="4">
        <f>ROUND(Source!BB146,O159)</f>
        <v>0</v>
      </c>
      <c r="G159" s="4" t="s">
        <v>94</v>
      </c>
      <c r="H159" s="4" t="s">
        <v>95</v>
      </c>
      <c r="I159" s="4"/>
      <c r="J159" s="4"/>
      <c r="K159" s="4">
        <v>231</v>
      </c>
      <c r="L159" s="4">
        <v>12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06" x14ac:dyDescent="0.2">
      <c r="A160" s="4">
        <v>50</v>
      </c>
      <c r="B160" s="4">
        <v>0</v>
      </c>
      <c r="C160" s="4">
        <v>0</v>
      </c>
      <c r="D160" s="4">
        <v>1</v>
      </c>
      <c r="E160" s="4">
        <v>204</v>
      </c>
      <c r="F160" s="4">
        <f>ROUND(Source!R146,O160)</f>
        <v>129514.51</v>
      </c>
      <c r="G160" s="4" t="s">
        <v>96</v>
      </c>
      <c r="H160" s="4" t="s">
        <v>97</v>
      </c>
      <c r="I160" s="4"/>
      <c r="J160" s="4"/>
      <c r="K160" s="4">
        <v>204</v>
      </c>
      <c r="L160" s="4">
        <v>13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88" x14ac:dyDescent="0.2">
      <c r="A161" s="4">
        <v>50</v>
      </c>
      <c r="B161" s="4">
        <v>0</v>
      </c>
      <c r="C161" s="4">
        <v>0</v>
      </c>
      <c r="D161" s="4">
        <v>1</v>
      </c>
      <c r="E161" s="4">
        <v>205</v>
      </c>
      <c r="F161" s="4">
        <f>ROUND(Source!S146,O161)</f>
        <v>730606.22</v>
      </c>
      <c r="G161" s="4" t="s">
        <v>98</v>
      </c>
      <c r="H161" s="4" t="s">
        <v>99</v>
      </c>
      <c r="I161" s="4"/>
      <c r="J161" s="4"/>
      <c r="K161" s="4">
        <v>205</v>
      </c>
      <c r="L161" s="4">
        <v>14</v>
      </c>
      <c r="M161" s="4">
        <v>3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88" x14ac:dyDescent="0.2">
      <c r="A162" s="4">
        <v>50</v>
      </c>
      <c r="B162" s="4">
        <v>0</v>
      </c>
      <c r="C162" s="4">
        <v>0</v>
      </c>
      <c r="D162" s="4">
        <v>1</v>
      </c>
      <c r="E162" s="4">
        <v>232</v>
      </c>
      <c r="F162" s="4">
        <f>ROUND(Source!BC146,O162)</f>
        <v>0</v>
      </c>
      <c r="G162" s="4" t="s">
        <v>100</v>
      </c>
      <c r="H162" s="4" t="s">
        <v>101</v>
      </c>
      <c r="I162" s="4"/>
      <c r="J162" s="4"/>
      <c r="K162" s="4">
        <v>232</v>
      </c>
      <c r="L162" s="4">
        <v>15</v>
      </c>
      <c r="M162" s="4">
        <v>3</v>
      </c>
      <c r="N162" s="4" t="s">
        <v>3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88" x14ac:dyDescent="0.2">
      <c r="A163" s="4">
        <v>50</v>
      </c>
      <c r="B163" s="4">
        <v>0</v>
      </c>
      <c r="C163" s="4">
        <v>0</v>
      </c>
      <c r="D163" s="4">
        <v>1</v>
      </c>
      <c r="E163" s="4">
        <v>214</v>
      </c>
      <c r="F163" s="4">
        <f>ROUND(Source!AS146,O163)</f>
        <v>0</v>
      </c>
      <c r="G163" s="4" t="s">
        <v>102</v>
      </c>
      <c r="H163" s="4" t="s">
        <v>103</v>
      </c>
      <c r="I163" s="4"/>
      <c r="J163" s="4"/>
      <c r="K163" s="4">
        <v>214</v>
      </c>
      <c r="L163" s="4">
        <v>16</v>
      </c>
      <c r="M163" s="4">
        <v>3</v>
      </c>
      <c r="N163" s="4" t="s">
        <v>3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4" spans="1:88" x14ac:dyDescent="0.2">
      <c r="A164" s="4">
        <v>50</v>
      </c>
      <c r="B164" s="4">
        <v>0</v>
      </c>
      <c r="C164" s="4">
        <v>0</v>
      </c>
      <c r="D164" s="4">
        <v>1</v>
      </c>
      <c r="E164" s="4">
        <v>215</v>
      </c>
      <c r="F164" s="4">
        <f>ROUND(Source!AT146,O164)</f>
        <v>0</v>
      </c>
      <c r="G164" s="4" t="s">
        <v>104</v>
      </c>
      <c r="H164" s="4" t="s">
        <v>105</v>
      </c>
      <c r="I164" s="4"/>
      <c r="J164" s="4"/>
      <c r="K164" s="4">
        <v>215</v>
      </c>
      <c r="L164" s="4">
        <v>17</v>
      </c>
      <c r="M164" s="4">
        <v>3</v>
      </c>
      <c r="N164" s="4" t="s">
        <v>3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5" spans="1:88" x14ac:dyDescent="0.2">
      <c r="A165" s="4">
        <v>50</v>
      </c>
      <c r="B165" s="4">
        <v>0</v>
      </c>
      <c r="C165" s="4">
        <v>0</v>
      </c>
      <c r="D165" s="4">
        <v>1</v>
      </c>
      <c r="E165" s="4">
        <v>217</v>
      </c>
      <c r="F165" s="4">
        <f>ROUND(Source!AU146,O165)</f>
        <v>2549454.11</v>
      </c>
      <c r="G165" s="4" t="s">
        <v>106</v>
      </c>
      <c r="H165" s="4" t="s">
        <v>107</v>
      </c>
      <c r="I165" s="4"/>
      <c r="J165" s="4"/>
      <c r="K165" s="4">
        <v>217</v>
      </c>
      <c r="L165" s="4">
        <v>18</v>
      </c>
      <c r="M165" s="4">
        <v>3</v>
      </c>
      <c r="N165" s="4" t="s">
        <v>3</v>
      </c>
      <c r="O165" s="4">
        <v>2</v>
      </c>
      <c r="P165" s="4"/>
      <c r="Q165" s="4"/>
      <c r="R165" s="4"/>
      <c r="S165" s="4"/>
      <c r="T165" s="4"/>
      <c r="U165" s="4"/>
      <c r="V165" s="4"/>
      <c r="W165" s="4"/>
    </row>
    <row r="166" spans="1:88" x14ac:dyDescent="0.2">
      <c r="A166" s="4">
        <v>50</v>
      </c>
      <c r="B166" s="4">
        <v>0</v>
      </c>
      <c r="C166" s="4">
        <v>0</v>
      </c>
      <c r="D166" s="4">
        <v>1</v>
      </c>
      <c r="E166" s="4">
        <v>230</v>
      </c>
      <c r="F166" s="4">
        <f>ROUND(Source!BA146,O166)</f>
        <v>0</v>
      </c>
      <c r="G166" s="4" t="s">
        <v>108</v>
      </c>
      <c r="H166" s="4" t="s">
        <v>109</v>
      </c>
      <c r="I166" s="4"/>
      <c r="J166" s="4"/>
      <c r="K166" s="4">
        <v>230</v>
      </c>
      <c r="L166" s="4">
        <v>19</v>
      </c>
      <c r="M166" s="4">
        <v>3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88" x14ac:dyDescent="0.2">
      <c r="A167" s="4">
        <v>50</v>
      </c>
      <c r="B167" s="4">
        <v>0</v>
      </c>
      <c r="C167" s="4">
        <v>0</v>
      </c>
      <c r="D167" s="4">
        <v>1</v>
      </c>
      <c r="E167" s="4">
        <v>206</v>
      </c>
      <c r="F167" s="4">
        <f>ROUND(Source!T146,O167)</f>
        <v>0</v>
      </c>
      <c r="G167" s="4" t="s">
        <v>110</v>
      </c>
      <c r="H167" s="4" t="s">
        <v>111</v>
      </c>
      <c r="I167" s="4"/>
      <c r="J167" s="4"/>
      <c r="K167" s="4">
        <v>206</v>
      </c>
      <c r="L167" s="4">
        <v>20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88" x14ac:dyDescent="0.2">
      <c r="A168" s="4">
        <v>50</v>
      </c>
      <c r="B168" s="4">
        <v>0</v>
      </c>
      <c r="C168" s="4">
        <v>0</v>
      </c>
      <c r="D168" s="4">
        <v>1</v>
      </c>
      <c r="E168" s="4">
        <v>207</v>
      </c>
      <c r="F168" s="4">
        <f>Source!U146</f>
        <v>3707.8259300000004</v>
      </c>
      <c r="G168" s="4" t="s">
        <v>112</v>
      </c>
      <c r="H168" s="4" t="s">
        <v>113</v>
      </c>
      <c r="I168" s="4"/>
      <c r="J168" s="4"/>
      <c r="K168" s="4">
        <v>207</v>
      </c>
      <c r="L168" s="4">
        <v>21</v>
      </c>
      <c r="M168" s="4">
        <v>3</v>
      </c>
      <c r="N168" s="4" t="s">
        <v>3</v>
      </c>
      <c r="O168" s="4">
        <v>-1</v>
      </c>
      <c r="P168" s="4"/>
      <c r="Q168" s="4"/>
      <c r="R168" s="4"/>
      <c r="S168" s="4"/>
      <c r="T168" s="4"/>
      <c r="U168" s="4"/>
      <c r="V168" s="4"/>
      <c r="W168" s="4"/>
    </row>
    <row r="169" spans="1:88" x14ac:dyDescent="0.2">
      <c r="A169" s="4">
        <v>50</v>
      </c>
      <c r="B169" s="4">
        <v>0</v>
      </c>
      <c r="C169" s="4">
        <v>0</v>
      </c>
      <c r="D169" s="4">
        <v>1</v>
      </c>
      <c r="E169" s="4">
        <v>208</v>
      </c>
      <c r="F169" s="4">
        <f>Source!V146</f>
        <v>0</v>
      </c>
      <c r="G169" s="4" t="s">
        <v>114</v>
      </c>
      <c r="H169" s="4" t="s">
        <v>115</v>
      </c>
      <c r="I169" s="4"/>
      <c r="J169" s="4"/>
      <c r="K169" s="4">
        <v>208</v>
      </c>
      <c r="L169" s="4">
        <v>22</v>
      </c>
      <c r="M169" s="4">
        <v>3</v>
      </c>
      <c r="N169" s="4" t="s">
        <v>3</v>
      </c>
      <c r="O169" s="4">
        <v>-1</v>
      </c>
      <c r="P169" s="4"/>
      <c r="Q169" s="4"/>
      <c r="R169" s="4"/>
      <c r="S169" s="4"/>
      <c r="T169" s="4"/>
      <c r="U169" s="4"/>
      <c r="V169" s="4"/>
      <c r="W169" s="4"/>
    </row>
    <row r="170" spans="1:88" x14ac:dyDescent="0.2">
      <c r="A170" s="4">
        <v>50</v>
      </c>
      <c r="B170" s="4">
        <v>0</v>
      </c>
      <c r="C170" s="4">
        <v>0</v>
      </c>
      <c r="D170" s="4">
        <v>1</v>
      </c>
      <c r="E170" s="4">
        <v>209</v>
      </c>
      <c r="F170" s="4">
        <f>ROUND(Source!W146,O170)</f>
        <v>0</v>
      </c>
      <c r="G170" s="4" t="s">
        <v>116</v>
      </c>
      <c r="H170" s="4" t="s">
        <v>117</v>
      </c>
      <c r="I170" s="4"/>
      <c r="J170" s="4"/>
      <c r="K170" s="4">
        <v>209</v>
      </c>
      <c r="L170" s="4">
        <v>23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88" x14ac:dyDescent="0.2">
      <c r="A171" s="4">
        <v>50</v>
      </c>
      <c r="B171" s="4">
        <v>0</v>
      </c>
      <c r="C171" s="4">
        <v>0</v>
      </c>
      <c r="D171" s="4">
        <v>1</v>
      </c>
      <c r="E171" s="4">
        <v>210</v>
      </c>
      <c r="F171" s="4">
        <f>ROUND(Source!X146,O171)</f>
        <v>511424.36</v>
      </c>
      <c r="G171" s="4" t="s">
        <v>118</v>
      </c>
      <c r="H171" s="4" t="s">
        <v>119</v>
      </c>
      <c r="I171" s="4"/>
      <c r="J171" s="4"/>
      <c r="K171" s="4">
        <v>210</v>
      </c>
      <c r="L171" s="4">
        <v>24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88" x14ac:dyDescent="0.2">
      <c r="A172" s="4">
        <v>50</v>
      </c>
      <c r="B172" s="4">
        <v>0</v>
      </c>
      <c r="C172" s="4">
        <v>0</v>
      </c>
      <c r="D172" s="4">
        <v>1</v>
      </c>
      <c r="E172" s="4">
        <v>211</v>
      </c>
      <c r="F172" s="4">
        <f>ROUND(Source!Y146,O172)</f>
        <v>0</v>
      </c>
      <c r="G172" s="4" t="s">
        <v>120</v>
      </c>
      <c r="H172" s="4" t="s">
        <v>121</v>
      </c>
      <c r="I172" s="4"/>
      <c r="J172" s="4"/>
      <c r="K172" s="4">
        <v>211</v>
      </c>
      <c r="L172" s="4">
        <v>25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88" x14ac:dyDescent="0.2">
      <c r="A173" s="4">
        <v>50</v>
      </c>
      <c r="B173" s="4">
        <v>0</v>
      </c>
      <c r="C173" s="4">
        <v>0</v>
      </c>
      <c r="D173" s="4">
        <v>1</v>
      </c>
      <c r="E173" s="4">
        <v>224</v>
      </c>
      <c r="F173" s="4">
        <f>ROUND(Source!AR146,O173)</f>
        <v>2549454.11</v>
      </c>
      <c r="G173" s="4" t="s">
        <v>122</v>
      </c>
      <c r="H173" s="4" t="s">
        <v>123</v>
      </c>
      <c r="I173" s="4"/>
      <c r="J173" s="4"/>
      <c r="K173" s="4">
        <v>224</v>
      </c>
      <c r="L173" s="4">
        <v>26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5" spans="1:88" x14ac:dyDescent="0.2">
      <c r="A175" s="1">
        <v>4</v>
      </c>
      <c r="B175" s="1">
        <v>1</v>
      </c>
      <c r="C175" s="1"/>
      <c r="D175" s="1">
        <f>ROW(A297)</f>
        <v>297</v>
      </c>
      <c r="E175" s="1"/>
      <c r="F175" s="1" t="s">
        <v>21</v>
      </c>
      <c r="G175" s="1" t="s">
        <v>146</v>
      </c>
      <c r="H175" s="1" t="s">
        <v>3</v>
      </c>
      <c r="I175" s="1">
        <v>0</v>
      </c>
      <c r="J175" s="1"/>
      <c r="K175" s="1">
        <v>-1</v>
      </c>
      <c r="L175" s="1"/>
      <c r="M175" s="1"/>
      <c r="N175" s="1"/>
      <c r="O175" s="1"/>
      <c r="P175" s="1"/>
      <c r="Q175" s="1"/>
      <c r="R175" s="1"/>
      <c r="S175" s="1"/>
      <c r="T175" s="1"/>
      <c r="U175" s="1" t="s">
        <v>3</v>
      </c>
      <c r="V175" s="1">
        <v>0</v>
      </c>
      <c r="W175" s="1"/>
      <c r="X175" s="1"/>
      <c r="Y175" s="1"/>
      <c r="Z175" s="1"/>
      <c r="AA175" s="1"/>
      <c r="AB175" s="1" t="s">
        <v>3</v>
      </c>
      <c r="AC175" s="1" t="s">
        <v>3</v>
      </c>
      <c r="AD175" s="1" t="s">
        <v>3</v>
      </c>
      <c r="AE175" s="1" t="s">
        <v>3</v>
      </c>
      <c r="AF175" s="1" t="s">
        <v>3</v>
      </c>
      <c r="AG175" s="1" t="s">
        <v>3</v>
      </c>
      <c r="AH175" s="1"/>
      <c r="AI175" s="1"/>
      <c r="AJ175" s="1"/>
      <c r="AK175" s="1"/>
      <c r="AL175" s="1"/>
      <c r="AM175" s="1"/>
      <c r="AN175" s="1"/>
      <c r="AO175" s="1"/>
      <c r="AP175" s="1" t="s">
        <v>3</v>
      </c>
      <c r="AQ175" s="1" t="s">
        <v>3</v>
      </c>
      <c r="AR175" s="1" t="s">
        <v>3</v>
      </c>
      <c r="AS175" s="1"/>
      <c r="AT175" s="1"/>
      <c r="AU175" s="1"/>
      <c r="AV175" s="1"/>
      <c r="AW175" s="1"/>
      <c r="AX175" s="1"/>
      <c r="AY175" s="1"/>
      <c r="AZ175" s="1" t="s">
        <v>3</v>
      </c>
      <c r="BA175" s="1"/>
      <c r="BB175" s="1" t="s">
        <v>3</v>
      </c>
      <c r="BC175" s="1" t="s">
        <v>3</v>
      </c>
      <c r="BD175" s="1" t="s">
        <v>3</v>
      </c>
      <c r="BE175" s="1" t="s">
        <v>3</v>
      </c>
      <c r="BF175" s="1" t="s">
        <v>3</v>
      </c>
      <c r="BG175" s="1" t="s">
        <v>3</v>
      </c>
      <c r="BH175" s="1" t="s">
        <v>3</v>
      </c>
      <c r="BI175" s="1" t="s">
        <v>3</v>
      </c>
      <c r="BJ175" s="1" t="s">
        <v>3</v>
      </c>
      <c r="BK175" s="1" t="s">
        <v>3</v>
      </c>
      <c r="BL175" s="1" t="s">
        <v>3</v>
      </c>
      <c r="BM175" s="1" t="s">
        <v>3</v>
      </c>
      <c r="BN175" s="1" t="s">
        <v>3</v>
      </c>
      <c r="BO175" s="1" t="s">
        <v>3</v>
      </c>
      <c r="BP175" s="1" t="s">
        <v>3</v>
      </c>
      <c r="BQ175" s="1"/>
      <c r="BR175" s="1"/>
      <c r="BS175" s="1"/>
      <c r="BT175" s="1"/>
      <c r="BU175" s="1"/>
      <c r="BV175" s="1"/>
      <c r="BW175" s="1"/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>
        <v>0</v>
      </c>
    </row>
    <row r="177" spans="1:245" x14ac:dyDescent="0.2">
      <c r="A177" s="2">
        <v>52</v>
      </c>
      <c r="B177" s="2">
        <f t="shared" ref="B177:G177" si="87">B297</f>
        <v>1</v>
      </c>
      <c r="C177" s="2">
        <f t="shared" si="87"/>
        <v>4</v>
      </c>
      <c r="D177" s="2">
        <f t="shared" si="87"/>
        <v>175</v>
      </c>
      <c r="E177" s="2">
        <f t="shared" si="87"/>
        <v>0</v>
      </c>
      <c r="F177" s="2" t="str">
        <f t="shared" si="87"/>
        <v>Новый раздел</v>
      </c>
      <c r="G177" s="2" t="str">
        <f t="shared" si="87"/>
        <v>Посадка на внутридворовых территориях деревьев IV группы, ком 1,3*1,3*0,6, 75% замена земли</v>
      </c>
      <c r="H177" s="2"/>
      <c r="I177" s="2"/>
      <c r="J177" s="2"/>
      <c r="K177" s="2"/>
      <c r="L177" s="2"/>
      <c r="M177" s="2"/>
      <c r="N177" s="2"/>
      <c r="O177" s="2">
        <f t="shared" ref="O177:AT177" si="88">O297</f>
        <v>3161618.4</v>
      </c>
      <c r="P177" s="2">
        <f t="shared" si="88"/>
        <v>1528146.99</v>
      </c>
      <c r="Q177" s="2">
        <f t="shared" si="88"/>
        <v>498612.05</v>
      </c>
      <c r="R177" s="2">
        <f t="shared" si="88"/>
        <v>219136.13</v>
      </c>
      <c r="S177" s="2">
        <f t="shared" si="88"/>
        <v>1134859.3600000001</v>
      </c>
      <c r="T177" s="2">
        <f t="shared" si="88"/>
        <v>0</v>
      </c>
      <c r="U177" s="2">
        <f t="shared" si="88"/>
        <v>5551.9143000000004</v>
      </c>
      <c r="V177" s="2">
        <f t="shared" si="88"/>
        <v>0</v>
      </c>
      <c r="W177" s="2">
        <f t="shared" si="88"/>
        <v>0</v>
      </c>
      <c r="X177" s="2">
        <f t="shared" si="88"/>
        <v>794401.57</v>
      </c>
      <c r="Y177" s="2">
        <f t="shared" si="88"/>
        <v>0</v>
      </c>
      <c r="Z177" s="2">
        <f t="shared" si="88"/>
        <v>0</v>
      </c>
      <c r="AA177" s="2">
        <f t="shared" si="88"/>
        <v>0</v>
      </c>
      <c r="AB177" s="2">
        <f t="shared" si="88"/>
        <v>0</v>
      </c>
      <c r="AC177" s="2">
        <f t="shared" si="88"/>
        <v>0</v>
      </c>
      <c r="AD177" s="2">
        <f t="shared" si="88"/>
        <v>0</v>
      </c>
      <c r="AE177" s="2">
        <f t="shared" si="88"/>
        <v>0</v>
      </c>
      <c r="AF177" s="2">
        <f t="shared" si="88"/>
        <v>0</v>
      </c>
      <c r="AG177" s="2">
        <f t="shared" si="88"/>
        <v>0</v>
      </c>
      <c r="AH177" s="2">
        <f t="shared" si="88"/>
        <v>0</v>
      </c>
      <c r="AI177" s="2">
        <f t="shared" si="88"/>
        <v>0</v>
      </c>
      <c r="AJ177" s="2">
        <f t="shared" si="88"/>
        <v>0</v>
      </c>
      <c r="AK177" s="2">
        <f t="shared" si="88"/>
        <v>0</v>
      </c>
      <c r="AL177" s="2">
        <f t="shared" si="88"/>
        <v>0</v>
      </c>
      <c r="AM177" s="2">
        <f t="shared" si="88"/>
        <v>0</v>
      </c>
      <c r="AN177" s="2">
        <f t="shared" si="88"/>
        <v>0</v>
      </c>
      <c r="AO177" s="2">
        <f t="shared" si="88"/>
        <v>0</v>
      </c>
      <c r="AP177" s="2">
        <f t="shared" si="88"/>
        <v>0</v>
      </c>
      <c r="AQ177" s="2">
        <f t="shared" si="88"/>
        <v>0</v>
      </c>
      <c r="AR177" s="2">
        <f t="shared" si="88"/>
        <v>4002186.06</v>
      </c>
      <c r="AS177" s="2">
        <f t="shared" si="88"/>
        <v>0</v>
      </c>
      <c r="AT177" s="2">
        <f t="shared" si="88"/>
        <v>0</v>
      </c>
      <c r="AU177" s="2">
        <f t="shared" ref="AU177:BZ177" si="89">AU297</f>
        <v>4002186.06</v>
      </c>
      <c r="AV177" s="2">
        <f t="shared" si="89"/>
        <v>1528146.99</v>
      </c>
      <c r="AW177" s="2">
        <f t="shared" si="89"/>
        <v>1528146.99</v>
      </c>
      <c r="AX177" s="2">
        <f t="shared" si="89"/>
        <v>0</v>
      </c>
      <c r="AY177" s="2">
        <f t="shared" si="89"/>
        <v>1528146.99</v>
      </c>
      <c r="AZ177" s="2">
        <f t="shared" si="89"/>
        <v>0</v>
      </c>
      <c r="BA177" s="2">
        <f t="shared" si="89"/>
        <v>0</v>
      </c>
      <c r="BB177" s="2">
        <f t="shared" si="89"/>
        <v>0</v>
      </c>
      <c r="BC177" s="2">
        <f t="shared" si="89"/>
        <v>0</v>
      </c>
      <c r="BD177" s="2">
        <f t="shared" si="89"/>
        <v>0</v>
      </c>
      <c r="BE177" s="2">
        <f t="shared" si="89"/>
        <v>0</v>
      </c>
      <c r="BF177" s="2">
        <f t="shared" si="89"/>
        <v>0</v>
      </c>
      <c r="BG177" s="2">
        <f t="shared" si="89"/>
        <v>0</v>
      </c>
      <c r="BH177" s="2">
        <f t="shared" si="89"/>
        <v>0</v>
      </c>
      <c r="BI177" s="2">
        <f t="shared" si="89"/>
        <v>0</v>
      </c>
      <c r="BJ177" s="2">
        <f t="shared" si="89"/>
        <v>0</v>
      </c>
      <c r="BK177" s="2">
        <f t="shared" si="89"/>
        <v>0</v>
      </c>
      <c r="BL177" s="2">
        <f t="shared" si="89"/>
        <v>0</v>
      </c>
      <c r="BM177" s="2">
        <f t="shared" si="89"/>
        <v>0</v>
      </c>
      <c r="BN177" s="2">
        <f t="shared" si="89"/>
        <v>0</v>
      </c>
      <c r="BO177" s="2">
        <f t="shared" si="89"/>
        <v>0</v>
      </c>
      <c r="BP177" s="2">
        <f t="shared" si="89"/>
        <v>0</v>
      </c>
      <c r="BQ177" s="2">
        <f t="shared" si="89"/>
        <v>0</v>
      </c>
      <c r="BR177" s="2">
        <f t="shared" si="89"/>
        <v>0</v>
      </c>
      <c r="BS177" s="2">
        <f t="shared" si="89"/>
        <v>0</v>
      </c>
      <c r="BT177" s="2">
        <f t="shared" si="89"/>
        <v>0</v>
      </c>
      <c r="BU177" s="2">
        <f t="shared" si="89"/>
        <v>0</v>
      </c>
      <c r="BV177" s="2">
        <f t="shared" si="89"/>
        <v>0</v>
      </c>
      <c r="BW177" s="2">
        <f t="shared" si="89"/>
        <v>0</v>
      </c>
      <c r="BX177" s="2">
        <f t="shared" si="89"/>
        <v>0</v>
      </c>
      <c r="BY177" s="2">
        <f t="shared" si="89"/>
        <v>0</v>
      </c>
      <c r="BZ177" s="2">
        <f t="shared" si="89"/>
        <v>0</v>
      </c>
      <c r="CA177" s="2">
        <f t="shared" ref="CA177:DF177" si="90">CA297</f>
        <v>0</v>
      </c>
      <c r="CB177" s="2">
        <f t="shared" si="90"/>
        <v>0</v>
      </c>
      <c r="CC177" s="2">
        <f t="shared" si="90"/>
        <v>0</v>
      </c>
      <c r="CD177" s="2">
        <f t="shared" si="90"/>
        <v>0</v>
      </c>
      <c r="CE177" s="2">
        <f t="shared" si="90"/>
        <v>0</v>
      </c>
      <c r="CF177" s="2">
        <f t="shared" si="90"/>
        <v>0</v>
      </c>
      <c r="CG177" s="2">
        <f t="shared" si="90"/>
        <v>0</v>
      </c>
      <c r="CH177" s="2">
        <f t="shared" si="90"/>
        <v>0</v>
      </c>
      <c r="CI177" s="2">
        <f t="shared" si="90"/>
        <v>0</v>
      </c>
      <c r="CJ177" s="2">
        <f t="shared" si="90"/>
        <v>0</v>
      </c>
      <c r="CK177" s="2">
        <f t="shared" si="90"/>
        <v>0</v>
      </c>
      <c r="CL177" s="2">
        <f t="shared" si="90"/>
        <v>0</v>
      </c>
      <c r="CM177" s="2">
        <f t="shared" si="90"/>
        <v>0</v>
      </c>
      <c r="CN177" s="2">
        <f t="shared" si="90"/>
        <v>0</v>
      </c>
      <c r="CO177" s="2">
        <f t="shared" si="90"/>
        <v>0</v>
      </c>
      <c r="CP177" s="2">
        <f t="shared" si="90"/>
        <v>0</v>
      </c>
      <c r="CQ177" s="2">
        <f t="shared" si="90"/>
        <v>0</v>
      </c>
      <c r="CR177" s="2">
        <f t="shared" si="90"/>
        <v>0</v>
      </c>
      <c r="CS177" s="2">
        <f t="shared" si="90"/>
        <v>0</v>
      </c>
      <c r="CT177" s="2">
        <f t="shared" si="90"/>
        <v>0</v>
      </c>
      <c r="CU177" s="2">
        <f t="shared" si="90"/>
        <v>0</v>
      </c>
      <c r="CV177" s="2">
        <f t="shared" si="90"/>
        <v>0</v>
      </c>
      <c r="CW177" s="2">
        <f t="shared" si="90"/>
        <v>0</v>
      </c>
      <c r="CX177" s="2">
        <f t="shared" si="90"/>
        <v>0</v>
      </c>
      <c r="CY177" s="2">
        <f t="shared" si="90"/>
        <v>0</v>
      </c>
      <c r="CZ177" s="2">
        <f t="shared" si="90"/>
        <v>0</v>
      </c>
      <c r="DA177" s="2">
        <f t="shared" si="90"/>
        <v>0</v>
      </c>
      <c r="DB177" s="2">
        <f t="shared" si="90"/>
        <v>0</v>
      </c>
      <c r="DC177" s="2">
        <f t="shared" si="90"/>
        <v>0</v>
      </c>
      <c r="DD177" s="2">
        <f t="shared" si="90"/>
        <v>0</v>
      </c>
      <c r="DE177" s="2">
        <f t="shared" si="90"/>
        <v>0</v>
      </c>
      <c r="DF177" s="2">
        <f t="shared" si="90"/>
        <v>0</v>
      </c>
      <c r="DG177" s="3">
        <f t="shared" ref="DG177:EL177" si="91">DG297</f>
        <v>0</v>
      </c>
      <c r="DH177" s="3">
        <f t="shared" si="91"/>
        <v>0</v>
      </c>
      <c r="DI177" s="3">
        <f t="shared" si="91"/>
        <v>0</v>
      </c>
      <c r="DJ177" s="3">
        <f t="shared" si="91"/>
        <v>0</v>
      </c>
      <c r="DK177" s="3">
        <f t="shared" si="91"/>
        <v>0</v>
      </c>
      <c r="DL177" s="3">
        <f t="shared" si="91"/>
        <v>0</v>
      </c>
      <c r="DM177" s="3">
        <f t="shared" si="91"/>
        <v>0</v>
      </c>
      <c r="DN177" s="3">
        <f t="shared" si="91"/>
        <v>0</v>
      </c>
      <c r="DO177" s="3">
        <f t="shared" si="91"/>
        <v>0</v>
      </c>
      <c r="DP177" s="3">
        <f t="shared" si="91"/>
        <v>0</v>
      </c>
      <c r="DQ177" s="3">
        <f t="shared" si="91"/>
        <v>0</v>
      </c>
      <c r="DR177" s="3">
        <f t="shared" si="91"/>
        <v>0</v>
      </c>
      <c r="DS177" s="3">
        <f t="shared" si="91"/>
        <v>0</v>
      </c>
      <c r="DT177" s="3">
        <f t="shared" si="91"/>
        <v>0</v>
      </c>
      <c r="DU177" s="3">
        <f t="shared" si="91"/>
        <v>0</v>
      </c>
      <c r="DV177" s="3">
        <f t="shared" si="91"/>
        <v>0</v>
      </c>
      <c r="DW177" s="3">
        <f t="shared" si="91"/>
        <v>0</v>
      </c>
      <c r="DX177" s="3">
        <f t="shared" si="91"/>
        <v>0</v>
      </c>
      <c r="DY177" s="3">
        <f t="shared" si="91"/>
        <v>0</v>
      </c>
      <c r="DZ177" s="3">
        <f t="shared" si="91"/>
        <v>0</v>
      </c>
      <c r="EA177" s="3">
        <f t="shared" si="91"/>
        <v>0</v>
      </c>
      <c r="EB177" s="3">
        <f t="shared" si="91"/>
        <v>0</v>
      </c>
      <c r="EC177" s="3">
        <f t="shared" si="91"/>
        <v>0</v>
      </c>
      <c r="ED177" s="3">
        <f t="shared" si="91"/>
        <v>0</v>
      </c>
      <c r="EE177" s="3">
        <f t="shared" si="91"/>
        <v>0</v>
      </c>
      <c r="EF177" s="3">
        <f t="shared" si="91"/>
        <v>0</v>
      </c>
      <c r="EG177" s="3">
        <f t="shared" si="91"/>
        <v>0</v>
      </c>
      <c r="EH177" s="3">
        <f t="shared" si="91"/>
        <v>0</v>
      </c>
      <c r="EI177" s="3">
        <f t="shared" si="91"/>
        <v>0</v>
      </c>
      <c r="EJ177" s="3">
        <f t="shared" si="91"/>
        <v>0</v>
      </c>
      <c r="EK177" s="3">
        <f t="shared" si="91"/>
        <v>0</v>
      </c>
      <c r="EL177" s="3">
        <f t="shared" si="91"/>
        <v>0</v>
      </c>
      <c r="EM177" s="3">
        <f t="shared" ref="EM177:FR177" si="92">EM297</f>
        <v>0</v>
      </c>
      <c r="EN177" s="3">
        <f t="shared" si="92"/>
        <v>0</v>
      </c>
      <c r="EO177" s="3">
        <f t="shared" si="92"/>
        <v>0</v>
      </c>
      <c r="EP177" s="3">
        <f t="shared" si="92"/>
        <v>0</v>
      </c>
      <c r="EQ177" s="3">
        <f t="shared" si="92"/>
        <v>0</v>
      </c>
      <c r="ER177" s="3">
        <f t="shared" si="92"/>
        <v>0</v>
      </c>
      <c r="ES177" s="3">
        <f t="shared" si="92"/>
        <v>0</v>
      </c>
      <c r="ET177" s="3">
        <f t="shared" si="92"/>
        <v>0</v>
      </c>
      <c r="EU177" s="3">
        <f t="shared" si="92"/>
        <v>0</v>
      </c>
      <c r="EV177" s="3">
        <f t="shared" si="92"/>
        <v>0</v>
      </c>
      <c r="EW177" s="3">
        <f t="shared" si="92"/>
        <v>0</v>
      </c>
      <c r="EX177" s="3">
        <f t="shared" si="92"/>
        <v>0</v>
      </c>
      <c r="EY177" s="3">
        <f t="shared" si="92"/>
        <v>0</v>
      </c>
      <c r="EZ177" s="3">
        <f t="shared" si="92"/>
        <v>0</v>
      </c>
      <c r="FA177" s="3">
        <f t="shared" si="92"/>
        <v>0</v>
      </c>
      <c r="FB177" s="3">
        <f t="shared" si="92"/>
        <v>0</v>
      </c>
      <c r="FC177" s="3">
        <f t="shared" si="92"/>
        <v>0</v>
      </c>
      <c r="FD177" s="3">
        <f t="shared" si="92"/>
        <v>0</v>
      </c>
      <c r="FE177" s="3">
        <f t="shared" si="92"/>
        <v>0</v>
      </c>
      <c r="FF177" s="3">
        <f t="shared" si="92"/>
        <v>0</v>
      </c>
      <c r="FG177" s="3">
        <f t="shared" si="92"/>
        <v>0</v>
      </c>
      <c r="FH177" s="3">
        <f t="shared" si="92"/>
        <v>0</v>
      </c>
      <c r="FI177" s="3">
        <f t="shared" si="92"/>
        <v>0</v>
      </c>
      <c r="FJ177" s="3">
        <f t="shared" si="92"/>
        <v>0</v>
      </c>
      <c r="FK177" s="3">
        <f t="shared" si="92"/>
        <v>0</v>
      </c>
      <c r="FL177" s="3">
        <f t="shared" si="92"/>
        <v>0</v>
      </c>
      <c r="FM177" s="3">
        <f t="shared" si="92"/>
        <v>0</v>
      </c>
      <c r="FN177" s="3">
        <f t="shared" si="92"/>
        <v>0</v>
      </c>
      <c r="FO177" s="3">
        <f t="shared" si="92"/>
        <v>0</v>
      </c>
      <c r="FP177" s="3">
        <f t="shared" si="92"/>
        <v>0</v>
      </c>
      <c r="FQ177" s="3">
        <f t="shared" si="92"/>
        <v>0</v>
      </c>
      <c r="FR177" s="3">
        <f t="shared" si="92"/>
        <v>0</v>
      </c>
      <c r="FS177" s="3">
        <f t="shared" ref="FS177:GX177" si="93">FS297</f>
        <v>0</v>
      </c>
      <c r="FT177" s="3">
        <f t="shared" si="93"/>
        <v>0</v>
      </c>
      <c r="FU177" s="3">
        <f t="shared" si="93"/>
        <v>0</v>
      </c>
      <c r="FV177" s="3">
        <f t="shared" si="93"/>
        <v>0</v>
      </c>
      <c r="FW177" s="3">
        <f t="shared" si="93"/>
        <v>0</v>
      </c>
      <c r="FX177" s="3">
        <f t="shared" si="93"/>
        <v>0</v>
      </c>
      <c r="FY177" s="3">
        <f t="shared" si="93"/>
        <v>0</v>
      </c>
      <c r="FZ177" s="3">
        <f t="shared" si="93"/>
        <v>0</v>
      </c>
      <c r="GA177" s="3">
        <f t="shared" si="93"/>
        <v>0</v>
      </c>
      <c r="GB177" s="3">
        <f t="shared" si="93"/>
        <v>0</v>
      </c>
      <c r="GC177" s="3">
        <f t="shared" si="93"/>
        <v>0</v>
      </c>
      <c r="GD177" s="3">
        <f t="shared" si="93"/>
        <v>0</v>
      </c>
      <c r="GE177" s="3">
        <f t="shared" si="93"/>
        <v>0</v>
      </c>
      <c r="GF177" s="3">
        <f t="shared" si="93"/>
        <v>0</v>
      </c>
      <c r="GG177" s="3">
        <f t="shared" si="93"/>
        <v>0</v>
      </c>
      <c r="GH177" s="3">
        <f t="shared" si="93"/>
        <v>0</v>
      </c>
      <c r="GI177" s="3">
        <f t="shared" si="93"/>
        <v>0</v>
      </c>
      <c r="GJ177" s="3">
        <f t="shared" si="93"/>
        <v>0</v>
      </c>
      <c r="GK177" s="3">
        <f t="shared" si="93"/>
        <v>0</v>
      </c>
      <c r="GL177" s="3">
        <f t="shared" si="93"/>
        <v>0</v>
      </c>
      <c r="GM177" s="3">
        <f t="shared" si="93"/>
        <v>0</v>
      </c>
      <c r="GN177" s="3">
        <f t="shared" si="93"/>
        <v>0</v>
      </c>
      <c r="GO177" s="3">
        <f t="shared" si="93"/>
        <v>0</v>
      </c>
      <c r="GP177" s="3">
        <f t="shared" si="93"/>
        <v>0</v>
      </c>
      <c r="GQ177" s="3">
        <f t="shared" si="93"/>
        <v>0</v>
      </c>
      <c r="GR177" s="3">
        <f t="shared" si="93"/>
        <v>0</v>
      </c>
      <c r="GS177" s="3">
        <f t="shared" si="93"/>
        <v>0</v>
      </c>
      <c r="GT177" s="3">
        <f t="shared" si="93"/>
        <v>0</v>
      </c>
      <c r="GU177" s="3">
        <f t="shared" si="93"/>
        <v>0</v>
      </c>
      <c r="GV177" s="3">
        <f t="shared" si="93"/>
        <v>0</v>
      </c>
      <c r="GW177" s="3">
        <f t="shared" si="93"/>
        <v>0</v>
      </c>
      <c r="GX177" s="3">
        <f t="shared" si="93"/>
        <v>0</v>
      </c>
    </row>
    <row r="179" spans="1:245" x14ac:dyDescent="0.2">
      <c r="A179" s="1">
        <v>5</v>
      </c>
      <c r="B179" s="1">
        <v>1</v>
      </c>
      <c r="C179" s="1"/>
      <c r="D179" s="1">
        <f>ROW(A193)</f>
        <v>193</v>
      </c>
      <c r="E179" s="1"/>
      <c r="F179" s="1" t="s">
        <v>23</v>
      </c>
      <c r="G179" s="1" t="s">
        <v>147</v>
      </c>
      <c r="H179" s="1" t="s">
        <v>3</v>
      </c>
      <c r="I179" s="1">
        <v>0</v>
      </c>
      <c r="J179" s="1"/>
      <c r="K179" s="1">
        <v>-1</v>
      </c>
      <c r="L179" s="1"/>
      <c r="M179" s="1"/>
      <c r="N179" s="1"/>
      <c r="O179" s="1"/>
      <c r="P179" s="1"/>
      <c r="Q179" s="1"/>
      <c r="R179" s="1"/>
      <c r="S179" s="1"/>
      <c r="T179" s="1"/>
      <c r="U179" s="1" t="s">
        <v>3</v>
      </c>
      <c r="V179" s="1">
        <v>0</v>
      </c>
      <c r="W179" s="1"/>
      <c r="X179" s="1"/>
      <c r="Y179" s="1"/>
      <c r="Z179" s="1"/>
      <c r="AA179" s="1"/>
      <c r="AB179" s="1" t="s">
        <v>3</v>
      </c>
      <c r="AC179" s="1" t="s">
        <v>3</v>
      </c>
      <c r="AD179" s="1" t="s">
        <v>3</v>
      </c>
      <c r="AE179" s="1" t="s">
        <v>3</v>
      </c>
      <c r="AF179" s="1" t="s">
        <v>3</v>
      </c>
      <c r="AG179" s="1" t="s">
        <v>3</v>
      </c>
      <c r="AH179" s="1"/>
      <c r="AI179" s="1"/>
      <c r="AJ179" s="1"/>
      <c r="AK179" s="1"/>
      <c r="AL179" s="1"/>
      <c r="AM179" s="1"/>
      <c r="AN179" s="1"/>
      <c r="AO179" s="1"/>
      <c r="AP179" s="1" t="s">
        <v>3</v>
      </c>
      <c r="AQ179" s="1" t="s">
        <v>3</v>
      </c>
      <c r="AR179" s="1" t="s">
        <v>3</v>
      </c>
      <c r="AS179" s="1"/>
      <c r="AT179" s="1"/>
      <c r="AU179" s="1"/>
      <c r="AV179" s="1"/>
      <c r="AW179" s="1"/>
      <c r="AX179" s="1"/>
      <c r="AY179" s="1"/>
      <c r="AZ179" s="1" t="s">
        <v>3</v>
      </c>
      <c r="BA179" s="1"/>
      <c r="BB179" s="1" t="s">
        <v>3</v>
      </c>
      <c r="BC179" s="1" t="s">
        <v>3</v>
      </c>
      <c r="BD179" s="1" t="s">
        <v>3</v>
      </c>
      <c r="BE179" s="1" t="s">
        <v>3</v>
      </c>
      <c r="BF179" s="1" t="s">
        <v>3</v>
      </c>
      <c r="BG179" s="1" t="s">
        <v>3</v>
      </c>
      <c r="BH179" s="1" t="s">
        <v>3</v>
      </c>
      <c r="BI179" s="1" t="s">
        <v>3</v>
      </c>
      <c r="BJ179" s="1" t="s">
        <v>3</v>
      </c>
      <c r="BK179" s="1" t="s">
        <v>3</v>
      </c>
      <c r="BL179" s="1" t="s">
        <v>3</v>
      </c>
      <c r="BM179" s="1" t="s">
        <v>3</v>
      </c>
      <c r="BN179" s="1" t="s">
        <v>3</v>
      </c>
      <c r="BO179" s="1" t="s">
        <v>3</v>
      </c>
      <c r="BP179" s="1" t="s">
        <v>3</v>
      </c>
      <c r="BQ179" s="1"/>
      <c r="BR179" s="1"/>
      <c r="BS179" s="1"/>
      <c r="BT179" s="1"/>
      <c r="BU179" s="1"/>
      <c r="BV179" s="1"/>
      <c r="BW179" s="1"/>
      <c r="BX179" s="1">
        <v>0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>
        <v>0</v>
      </c>
    </row>
    <row r="181" spans="1:245" x14ac:dyDescent="0.2">
      <c r="A181" s="2">
        <v>52</v>
      </c>
      <c r="B181" s="2">
        <f t="shared" ref="B181:G181" si="94">B193</f>
        <v>1</v>
      </c>
      <c r="C181" s="2">
        <f t="shared" si="94"/>
        <v>5</v>
      </c>
      <c r="D181" s="2">
        <f t="shared" si="94"/>
        <v>179</v>
      </c>
      <c r="E181" s="2">
        <f t="shared" si="94"/>
        <v>0</v>
      </c>
      <c r="F181" s="2" t="str">
        <f t="shared" si="94"/>
        <v>Новый подраздел</v>
      </c>
      <c r="G181" s="2" t="str">
        <f t="shared" si="94"/>
        <v>Посадка деревьев 120 шт</v>
      </c>
      <c r="H181" s="2"/>
      <c r="I181" s="2"/>
      <c r="J181" s="2"/>
      <c r="K181" s="2"/>
      <c r="L181" s="2"/>
      <c r="M181" s="2"/>
      <c r="N181" s="2"/>
      <c r="O181" s="2">
        <f t="shared" ref="O181:AT181" si="95">O193</f>
        <v>2698881.65</v>
      </c>
      <c r="P181" s="2">
        <f t="shared" si="95"/>
        <v>1403706.63</v>
      </c>
      <c r="Q181" s="2">
        <f t="shared" si="95"/>
        <v>375816.17</v>
      </c>
      <c r="R181" s="2">
        <f t="shared" si="95"/>
        <v>191362.72</v>
      </c>
      <c r="S181" s="2">
        <f t="shared" si="95"/>
        <v>919358.85</v>
      </c>
      <c r="T181" s="2">
        <f t="shared" si="95"/>
        <v>0</v>
      </c>
      <c r="U181" s="2">
        <f t="shared" si="95"/>
        <v>4392.165</v>
      </c>
      <c r="V181" s="2">
        <f t="shared" si="95"/>
        <v>0</v>
      </c>
      <c r="W181" s="2">
        <f t="shared" si="95"/>
        <v>0</v>
      </c>
      <c r="X181" s="2">
        <f t="shared" si="95"/>
        <v>643551.21</v>
      </c>
      <c r="Y181" s="2">
        <f t="shared" si="95"/>
        <v>0</v>
      </c>
      <c r="Z181" s="2">
        <f t="shared" si="95"/>
        <v>0</v>
      </c>
      <c r="AA181" s="2">
        <f t="shared" si="95"/>
        <v>0</v>
      </c>
      <c r="AB181" s="2">
        <f t="shared" si="95"/>
        <v>2698881.65</v>
      </c>
      <c r="AC181" s="2">
        <f t="shared" si="95"/>
        <v>1403706.63</v>
      </c>
      <c r="AD181" s="2">
        <f t="shared" si="95"/>
        <v>375816.17</v>
      </c>
      <c r="AE181" s="2">
        <f t="shared" si="95"/>
        <v>191362.72</v>
      </c>
      <c r="AF181" s="2">
        <f t="shared" si="95"/>
        <v>919358.85</v>
      </c>
      <c r="AG181" s="2">
        <f t="shared" si="95"/>
        <v>0</v>
      </c>
      <c r="AH181" s="2">
        <f t="shared" si="95"/>
        <v>4392.165</v>
      </c>
      <c r="AI181" s="2">
        <f t="shared" si="95"/>
        <v>0</v>
      </c>
      <c r="AJ181" s="2">
        <f t="shared" si="95"/>
        <v>0</v>
      </c>
      <c r="AK181" s="2">
        <f t="shared" si="95"/>
        <v>643551.21</v>
      </c>
      <c r="AL181" s="2">
        <f t="shared" si="95"/>
        <v>0</v>
      </c>
      <c r="AM181" s="2">
        <f t="shared" si="95"/>
        <v>0</v>
      </c>
      <c r="AN181" s="2">
        <f t="shared" si="95"/>
        <v>0</v>
      </c>
      <c r="AO181" s="2">
        <f t="shared" si="95"/>
        <v>0</v>
      </c>
      <c r="AP181" s="2">
        <f t="shared" si="95"/>
        <v>0</v>
      </c>
      <c r="AQ181" s="2">
        <f t="shared" si="95"/>
        <v>0</v>
      </c>
      <c r="AR181" s="2">
        <f t="shared" si="95"/>
        <v>3366935.68</v>
      </c>
      <c r="AS181" s="2">
        <f t="shared" si="95"/>
        <v>0</v>
      </c>
      <c r="AT181" s="2">
        <f t="shared" si="95"/>
        <v>0</v>
      </c>
      <c r="AU181" s="2">
        <f t="shared" ref="AU181:BZ181" si="96">AU193</f>
        <v>3366935.68</v>
      </c>
      <c r="AV181" s="2">
        <f t="shared" si="96"/>
        <v>1403706.63</v>
      </c>
      <c r="AW181" s="2">
        <f t="shared" si="96"/>
        <v>1403706.63</v>
      </c>
      <c r="AX181" s="2">
        <f t="shared" si="96"/>
        <v>0</v>
      </c>
      <c r="AY181" s="2">
        <f t="shared" si="96"/>
        <v>1403706.63</v>
      </c>
      <c r="AZ181" s="2">
        <f t="shared" si="96"/>
        <v>0</v>
      </c>
      <c r="BA181" s="2">
        <f t="shared" si="96"/>
        <v>0</v>
      </c>
      <c r="BB181" s="2">
        <f t="shared" si="96"/>
        <v>0</v>
      </c>
      <c r="BC181" s="2">
        <f t="shared" si="96"/>
        <v>0</v>
      </c>
      <c r="BD181" s="2">
        <f t="shared" si="96"/>
        <v>0</v>
      </c>
      <c r="BE181" s="2">
        <f t="shared" si="96"/>
        <v>0</v>
      </c>
      <c r="BF181" s="2">
        <f t="shared" si="96"/>
        <v>0</v>
      </c>
      <c r="BG181" s="2">
        <f t="shared" si="96"/>
        <v>0</v>
      </c>
      <c r="BH181" s="2">
        <f t="shared" si="96"/>
        <v>0</v>
      </c>
      <c r="BI181" s="2">
        <f t="shared" si="96"/>
        <v>0</v>
      </c>
      <c r="BJ181" s="2">
        <f t="shared" si="96"/>
        <v>0</v>
      </c>
      <c r="BK181" s="2">
        <f t="shared" si="96"/>
        <v>0</v>
      </c>
      <c r="BL181" s="2">
        <f t="shared" si="96"/>
        <v>0</v>
      </c>
      <c r="BM181" s="2">
        <f t="shared" si="96"/>
        <v>0</v>
      </c>
      <c r="BN181" s="2">
        <f t="shared" si="96"/>
        <v>0</v>
      </c>
      <c r="BO181" s="2">
        <f t="shared" si="96"/>
        <v>0</v>
      </c>
      <c r="BP181" s="2">
        <f t="shared" si="96"/>
        <v>0</v>
      </c>
      <c r="BQ181" s="2">
        <f t="shared" si="96"/>
        <v>0</v>
      </c>
      <c r="BR181" s="2">
        <f t="shared" si="96"/>
        <v>0</v>
      </c>
      <c r="BS181" s="2">
        <f t="shared" si="96"/>
        <v>0</v>
      </c>
      <c r="BT181" s="2">
        <f t="shared" si="96"/>
        <v>0</v>
      </c>
      <c r="BU181" s="2">
        <f t="shared" si="96"/>
        <v>0</v>
      </c>
      <c r="BV181" s="2">
        <f t="shared" si="96"/>
        <v>0</v>
      </c>
      <c r="BW181" s="2">
        <f t="shared" si="96"/>
        <v>0</v>
      </c>
      <c r="BX181" s="2">
        <f t="shared" si="96"/>
        <v>0</v>
      </c>
      <c r="BY181" s="2">
        <f t="shared" si="96"/>
        <v>0</v>
      </c>
      <c r="BZ181" s="2">
        <f t="shared" si="96"/>
        <v>0</v>
      </c>
      <c r="CA181" s="2">
        <f t="shared" ref="CA181:DF181" si="97">CA193</f>
        <v>3366935.68</v>
      </c>
      <c r="CB181" s="2">
        <f t="shared" si="97"/>
        <v>0</v>
      </c>
      <c r="CC181" s="2">
        <f t="shared" si="97"/>
        <v>0</v>
      </c>
      <c r="CD181" s="2">
        <f t="shared" si="97"/>
        <v>3366935.68</v>
      </c>
      <c r="CE181" s="2">
        <f t="shared" si="97"/>
        <v>1403706.63</v>
      </c>
      <c r="CF181" s="2">
        <f t="shared" si="97"/>
        <v>1403706.63</v>
      </c>
      <c r="CG181" s="2">
        <f t="shared" si="97"/>
        <v>0</v>
      </c>
      <c r="CH181" s="2">
        <f t="shared" si="97"/>
        <v>1403706.63</v>
      </c>
      <c r="CI181" s="2">
        <f t="shared" si="97"/>
        <v>0</v>
      </c>
      <c r="CJ181" s="2">
        <f t="shared" si="97"/>
        <v>0</v>
      </c>
      <c r="CK181" s="2">
        <f t="shared" si="97"/>
        <v>0</v>
      </c>
      <c r="CL181" s="2">
        <f t="shared" si="97"/>
        <v>0</v>
      </c>
      <c r="CM181" s="2">
        <f t="shared" si="97"/>
        <v>0</v>
      </c>
      <c r="CN181" s="2">
        <f t="shared" si="97"/>
        <v>0</v>
      </c>
      <c r="CO181" s="2">
        <f t="shared" si="97"/>
        <v>0</v>
      </c>
      <c r="CP181" s="2">
        <f t="shared" si="97"/>
        <v>0</v>
      </c>
      <c r="CQ181" s="2">
        <f t="shared" si="97"/>
        <v>0</v>
      </c>
      <c r="CR181" s="2">
        <f t="shared" si="97"/>
        <v>0</v>
      </c>
      <c r="CS181" s="2">
        <f t="shared" si="97"/>
        <v>0</v>
      </c>
      <c r="CT181" s="2">
        <f t="shared" si="97"/>
        <v>0</v>
      </c>
      <c r="CU181" s="2">
        <f t="shared" si="97"/>
        <v>0</v>
      </c>
      <c r="CV181" s="2">
        <f t="shared" si="97"/>
        <v>0</v>
      </c>
      <c r="CW181" s="2">
        <f t="shared" si="97"/>
        <v>0</v>
      </c>
      <c r="CX181" s="2">
        <f t="shared" si="97"/>
        <v>0</v>
      </c>
      <c r="CY181" s="2">
        <f t="shared" si="97"/>
        <v>0</v>
      </c>
      <c r="CZ181" s="2">
        <f t="shared" si="97"/>
        <v>0</v>
      </c>
      <c r="DA181" s="2">
        <f t="shared" si="97"/>
        <v>0</v>
      </c>
      <c r="DB181" s="2">
        <f t="shared" si="97"/>
        <v>0</v>
      </c>
      <c r="DC181" s="2">
        <f t="shared" si="97"/>
        <v>0</v>
      </c>
      <c r="DD181" s="2">
        <f t="shared" si="97"/>
        <v>0</v>
      </c>
      <c r="DE181" s="2">
        <f t="shared" si="97"/>
        <v>0</v>
      </c>
      <c r="DF181" s="2">
        <f t="shared" si="97"/>
        <v>0</v>
      </c>
      <c r="DG181" s="3">
        <f t="shared" ref="DG181:EL181" si="98">DG193</f>
        <v>0</v>
      </c>
      <c r="DH181" s="3">
        <f t="shared" si="98"/>
        <v>0</v>
      </c>
      <c r="DI181" s="3">
        <f t="shared" si="98"/>
        <v>0</v>
      </c>
      <c r="DJ181" s="3">
        <f t="shared" si="98"/>
        <v>0</v>
      </c>
      <c r="DK181" s="3">
        <f t="shared" si="98"/>
        <v>0</v>
      </c>
      <c r="DL181" s="3">
        <f t="shared" si="98"/>
        <v>0</v>
      </c>
      <c r="DM181" s="3">
        <f t="shared" si="98"/>
        <v>0</v>
      </c>
      <c r="DN181" s="3">
        <f t="shared" si="98"/>
        <v>0</v>
      </c>
      <c r="DO181" s="3">
        <f t="shared" si="98"/>
        <v>0</v>
      </c>
      <c r="DP181" s="3">
        <f t="shared" si="98"/>
        <v>0</v>
      </c>
      <c r="DQ181" s="3">
        <f t="shared" si="98"/>
        <v>0</v>
      </c>
      <c r="DR181" s="3">
        <f t="shared" si="98"/>
        <v>0</v>
      </c>
      <c r="DS181" s="3">
        <f t="shared" si="98"/>
        <v>0</v>
      </c>
      <c r="DT181" s="3">
        <f t="shared" si="98"/>
        <v>0</v>
      </c>
      <c r="DU181" s="3">
        <f t="shared" si="98"/>
        <v>0</v>
      </c>
      <c r="DV181" s="3">
        <f t="shared" si="98"/>
        <v>0</v>
      </c>
      <c r="DW181" s="3">
        <f t="shared" si="98"/>
        <v>0</v>
      </c>
      <c r="DX181" s="3">
        <f t="shared" si="98"/>
        <v>0</v>
      </c>
      <c r="DY181" s="3">
        <f t="shared" si="98"/>
        <v>0</v>
      </c>
      <c r="DZ181" s="3">
        <f t="shared" si="98"/>
        <v>0</v>
      </c>
      <c r="EA181" s="3">
        <f t="shared" si="98"/>
        <v>0</v>
      </c>
      <c r="EB181" s="3">
        <f t="shared" si="98"/>
        <v>0</v>
      </c>
      <c r="EC181" s="3">
        <f t="shared" si="98"/>
        <v>0</v>
      </c>
      <c r="ED181" s="3">
        <f t="shared" si="98"/>
        <v>0</v>
      </c>
      <c r="EE181" s="3">
        <f t="shared" si="98"/>
        <v>0</v>
      </c>
      <c r="EF181" s="3">
        <f t="shared" si="98"/>
        <v>0</v>
      </c>
      <c r="EG181" s="3">
        <f t="shared" si="98"/>
        <v>0</v>
      </c>
      <c r="EH181" s="3">
        <f t="shared" si="98"/>
        <v>0</v>
      </c>
      <c r="EI181" s="3">
        <f t="shared" si="98"/>
        <v>0</v>
      </c>
      <c r="EJ181" s="3">
        <f t="shared" si="98"/>
        <v>0</v>
      </c>
      <c r="EK181" s="3">
        <f t="shared" si="98"/>
        <v>0</v>
      </c>
      <c r="EL181" s="3">
        <f t="shared" si="98"/>
        <v>0</v>
      </c>
      <c r="EM181" s="3">
        <f t="shared" ref="EM181:FR181" si="99">EM193</f>
        <v>0</v>
      </c>
      <c r="EN181" s="3">
        <f t="shared" si="99"/>
        <v>0</v>
      </c>
      <c r="EO181" s="3">
        <f t="shared" si="99"/>
        <v>0</v>
      </c>
      <c r="EP181" s="3">
        <f t="shared" si="99"/>
        <v>0</v>
      </c>
      <c r="EQ181" s="3">
        <f t="shared" si="99"/>
        <v>0</v>
      </c>
      <c r="ER181" s="3">
        <f t="shared" si="99"/>
        <v>0</v>
      </c>
      <c r="ES181" s="3">
        <f t="shared" si="99"/>
        <v>0</v>
      </c>
      <c r="ET181" s="3">
        <f t="shared" si="99"/>
        <v>0</v>
      </c>
      <c r="EU181" s="3">
        <f t="shared" si="99"/>
        <v>0</v>
      </c>
      <c r="EV181" s="3">
        <f t="shared" si="99"/>
        <v>0</v>
      </c>
      <c r="EW181" s="3">
        <f t="shared" si="99"/>
        <v>0</v>
      </c>
      <c r="EX181" s="3">
        <f t="shared" si="99"/>
        <v>0</v>
      </c>
      <c r="EY181" s="3">
        <f t="shared" si="99"/>
        <v>0</v>
      </c>
      <c r="EZ181" s="3">
        <f t="shared" si="99"/>
        <v>0</v>
      </c>
      <c r="FA181" s="3">
        <f t="shared" si="99"/>
        <v>0</v>
      </c>
      <c r="FB181" s="3">
        <f t="shared" si="99"/>
        <v>0</v>
      </c>
      <c r="FC181" s="3">
        <f t="shared" si="99"/>
        <v>0</v>
      </c>
      <c r="FD181" s="3">
        <f t="shared" si="99"/>
        <v>0</v>
      </c>
      <c r="FE181" s="3">
        <f t="shared" si="99"/>
        <v>0</v>
      </c>
      <c r="FF181" s="3">
        <f t="shared" si="99"/>
        <v>0</v>
      </c>
      <c r="FG181" s="3">
        <f t="shared" si="99"/>
        <v>0</v>
      </c>
      <c r="FH181" s="3">
        <f t="shared" si="99"/>
        <v>0</v>
      </c>
      <c r="FI181" s="3">
        <f t="shared" si="99"/>
        <v>0</v>
      </c>
      <c r="FJ181" s="3">
        <f t="shared" si="99"/>
        <v>0</v>
      </c>
      <c r="FK181" s="3">
        <f t="shared" si="99"/>
        <v>0</v>
      </c>
      <c r="FL181" s="3">
        <f t="shared" si="99"/>
        <v>0</v>
      </c>
      <c r="FM181" s="3">
        <f t="shared" si="99"/>
        <v>0</v>
      </c>
      <c r="FN181" s="3">
        <f t="shared" si="99"/>
        <v>0</v>
      </c>
      <c r="FO181" s="3">
        <f t="shared" si="99"/>
        <v>0</v>
      </c>
      <c r="FP181" s="3">
        <f t="shared" si="99"/>
        <v>0</v>
      </c>
      <c r="FQ181" s="3">
        <f t="shared" si="99"/>
        <v>0</v>
      </c>
      <c r="FR181" s="3">
        <f t="shared" si="99"/>
        <v>0</v>
      </c>
      <c r="FS181" s="3">
        <f t="shared" ref="FS181:GX181" si="100">FS193</f>
        <v>0</v>
      </c>
      <c r="FT181" s="3">
        <f t="shared" si="100"/>
        <v>0</v>
      </c>
      <c r="FU181" s="3">
        <f t="shared" si="100"/>
        <v>0</v>
      </c>
      <c r="FV181" s="3">
        <f t="shared" si="100"/>
        <v>0</v>
      </c>
      <c r="FW181" s="3">
        <f t="shared" si="100"/>
        <v>0</v>
      </c>
      <c r="FX181" s="3">
        <f t="shared" si="100"/>
        <v>0</v>
      </c>
      <c r="FY181" s="3">
        <f t="shared" si="100"/>
        <v>0</v>
      </c>
      <c r="FZ181" s="3">
        <f t="shared" si="100"/>
        <v>0</v>
      </c>
      <c r="GA181" s="3">
        <f t="shared" si="100"/>
        <v>0</v>
      </c>
      <c r="GB181" s="3">
        <f t="shared" si="100"/>
        <v>0</v>
      </c>
      <c r="GC181" s="3">
        <f t="shared" si="100"/>
        <v>0</v>
      </c>
      <c r="GD181" s="3">
        <f t="shared" si="100"/>
        <v>0</v>
      </c>
      <c r="GE181" s="3">
        <f t="shared" si="100"/>
        <v>0</v>
      </c>
      <c r="GF181" s="3">
        <f t="shared" si="100"/>
        <v>0</v>
      </c>
      <c r="GG181" s="3">
        <f t="shared" si="100"/>
        <v>0</v>
      </c>
      <c r="GH181" s="3">
        <f t="shared" si="100"/>
        <v>0</v>
      </c>
      <c r="GI181" s="3">
        <f t="shared" si="100"/>
        <v>0</v>
      </c>
      <c r="GJ181" s="3">
        <f t="shared" si="100"/>
        <v>0</v>
      </c>
      <c r="GK181" s="3">
        <f t="shared" si="100"/>
        <v>0</v>
      </c>
      <c r="GL181" s="3">
        <f t="shared" si="100"/>
        <v>0</v>
      </c>
      <c r="GM181" s="3">
        <f t="shared" si="100"/>
        <v>0</v>
      </c>
      <c r="GN181" s="3">
        <f t="shared" si="100"/>
        <v>0</v>
      </c>
      <c r="GO181" s="3">
        <f t="shared" si="100"/>
        <v>0</v>
      </c>
      <c r="GP181" s="3">
        <f t="shared" si="100"/>
        <v>0</v>
      </c>
      <c r="GQ181" s="3">
        <f t="shared" si="100"/>
        <v>0</v>
      </c>
      <c r="GR181" s="3">
        <f t="shared" si="100"/>
        <v>0</v>
      </c>
      <c r="GS181" s="3">
        <f t="shared" si="100"/>
        <v>0</v>
      </c>
      <c r="GT181" s="3">
        <f t="shared" si="100"/>
        <v>0</v>
      </c>
      <c r="GU181" s="3">
        <f t="shared" si="100"/>
        <v>0</v>
      </c>
      <c r="GV181" s="3">
        <f t="shared" si="100"/>
        <v>0</v>
      </c>
      <c r="GW181" s="3">
        <f t="shared" si="100"/>
        <v>0</v>
      </c>
      <c r="GX181" s="3">
        <f t="shared" si="100"/>
        <v>0</v>
      </c>
    </row>
    <row r="183" spans="1:245" x14ac:dyDescent="0.2">
      <c r="A183">
        <v>17</v>
      </c>
      <c r="B183">
        <v>1</v>
      </c>
      <c r="C183">
        <f>ROW(SmtRes!A53)</f>
        <v>53</v>
      </c>
      <c r="D183">
        <f>ROW(EtalonRes!A53)</f>
        <v>53</v>
      </c>
      <c r="E183" t="s">
        <v>148</v>
      </c>
      <c r="F183" t="s">
        <v>149</v>
      </c>
      <c r="G183" t="s">
        <v>150</v>
      </c>
      <c r="H183" t="s">
        <v>28</v>
      </c>
      <c r="I183">
        <f>ROUND(90/10,9)</f>
        <v>9</v>
      </c>
      <c r="J183">
        <v>0</v>
      </c>
      <c r="O183">
        <f t="shared" ref="O183:O191" si="101">ROUND(CP183,2)</f>
        <v>196485.39</v>
      </c>
      <c r="P183">
        <f t="shared" ref="P183:P191" si="102">ROUND(CQ183*I183,2)</f>
        <v>106979.85</v>
      </c>
      <c r="Q183">
        <f t="shared" ref="Q183:Q191" si="103">ROUND(CR183*I183,2)</f>
        <v>14179.5</v>
      </c>
      <c r="R183">
        <f t="shared" ref="R183:R191" si="104">ROUND(CS183*I183,2)</f>
        <v>7759.26</v>
      </c>
      <c r="S183">
        <f t="shared" ref="S183:S191" si="105">ROUND(CT183*I183,2)</f>
        <v>75326.039999999994</v>
      </c>
      <c r="T183">
        <f t="shared" ref="T183:T191" si="106">ROUND(CU183*I183,2)</f>
        <v>0</v>
      </c>
      <c r="U183">
        <f t="shared" ref="U183:U191" si="107">CV183*I183</f>
        <v>467.37</v>
      </c>
      <c r="V183">
        <f t="shared" ref="V183:V191" si="108">CW183*I183</f>
        <v>0</v>
      </c>
      <c r="W183">
        <f t="shared" ref="W183:W191" si="109">ROUND(CX183*I183,2)</f>
        <v>0</v>
      </c>
      <c r="X183">
        <f t="shared" ref="X183:X191" si="110">ROUND(CY183,2)</f>
        <v>52728.23</v>
      </c>
      <c r="Y183">
        <f t="shared" ref="Y183:Y191" si="111">ROUND(CZ183,2)</f>
        <v>0</v>
      </c>
      <c r="AA183">
        <v>53202630</v>
      </c>
      <c r="AB183">
        <f t="shared" ref="AB183:AB191" si="112">ROUND((AC183+AD183+AF183),6)</f>
        <v>21831.71</v>
      </c>
      <c r="AC183">
        <f>ROUND((ES183),6)</f>
        <v>11886.65</v>
      </c>
      <c r="AD183">
        <f>ROUND((((ET183)-(EU183))+AE183),6)</f>
        <v>1575.5</v>
      </c>
      <c r="AE183">
        <f t="shared" ref="AE183:AF187" si="113">ROUND((EU183),6)</f>
        <v>862.14</v>
      </c>
      <c r="AF183">
        <f t="shared" si="113"/>
        <v>8369.56</v>
      </c>
      <c r="AG183">
        <f t="shared" ref="AG183:AG191" si="114">ROUND((AP183),6)</f>
        <v>0</v>
      </c>
      <c r="AH183">
        <f t="shared" ref="AH183:AI187" si="115">(EW183)</f>
        <v>51.93</v>
      </c>
      <c r="AI183">
        <f t="shared" si="115"/>
        <v>0</v>
      </c>
      <c r="AJ183">
        <f t="shared" ref="AJ183:AJ191" si="116">(AS183)</f>
        <v>0</v>
      </c>
      <c r="AK183">
        <v>21831.71</v>
      </c>
      <c r="AL183">
        <v>11886.65</v>
      </c>
      <c r="AM183">
        <v>1575.5</v>
      </c>
      <c r="AN183">
        <v>862.14</v>
      </c>
      <c r="AO183">
        <v>8369.56</v>
      </c>
      <c r="AP183">
        <v>0</v>
      </c>
      <c r="AQ183">
        <v>51.93</v>
      </c>
      <c r="AR183">
        <v>0</v>
      </c>
      <c r="AS183">
        <v>0</v>
      </c>
      <c r="AT183">
        <v>70</v>
      </c>
      <c r="AU183">
        <v>0</v>
      </c>
      <c r="AV183">
        <v>1</v>
      </c>
      <c r="AW183">
        <v>1</v>
      </c>
      <c r="AZ183">
        <v>1</v>
      </c>
      <c r="BA183">
        <v>1</v>
      </c>
      <c r="BB183">
        <v>1</v>
      </c>
      <c r="BC183">
        <v>1</v>
      </c>
      <c r="BD183" t="s">
        <v>3</v>
      </c>
      <c r="BE183" t="s">
        <v>3</v>
      </c>
      <c r="BF183" t="s">
        <v>3</v>
      </c>
      <c r="BG183" t="s">
        <v>3</v>
      </c>
      <c r="BH183">
        <v>0</v>
      </c>
      <c r="BI183">
        <v>4</v>
      </c>
      <c r="BJ183" t="s">
        <v>151</v>
      </c>
      <c r="BM183">
        <v>0</v>
      </c>
      <c r="BN183">
        <v>0</v>
      </c>
      <c r="BO183" t="s">
        <v>3</v>
      </c>
      <c r="BP183">
        <v>0</v>
      </c>
      <c r="BQ183">
        <v>1</v>
      </c>
      <c r="BR183">
        <v>0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 t="s">
        <v>3</v>
      </c>
      <c r="BZ183">
        <v>70</v>
      </c>
      <c r="CA183">
        <v>0</v>
      </c>
      <c r="CE183">
        <v>0</v>
      </c>
      <c r="CF183">
        <v>0</v>
      </c>
      <c r="CG183">
        <v>0</v>
      </c>
      <c r="CM183">
        <v>0</v>
      </c>
      <c r="CN183" t="s">
        <v>3</v>
      </c>
      <c r="CO183">
        <v>0</v>
      </c>
      <c r="CP183">
        <f t="shared" ref="CP183:CP191" si="117">(P183+Q183+S183)</f>
        <v>196485.39</v>
      </c>
      <c r="CQ183">
        <f t="shared" ref="CQ183:CQ191" si="118">(AC183*BC183*AW183)</f>
        <v>11886.65</v>
      </c>
      <c r="CR183">
        <f>((((ET183)*BB183-(EU183)*BS183)+AE183*BS183)*AV183)</f>
        <v>1575.5</v>
      </c>
      <c r="CS183">
        <f t="shared" ref="CS183:CS191" si="119">(AE183*BS183*AV183)</f>
        <v>862.14</v>
      </c>
      <c r="CT183">
        <f t="shared" ref="CT183:CT191" si="120">(AF183*BA183*AV183)</f>
        <v>8369.56</v>
      </c>
      <c r="CU183">
        <f t="shared" ref="CU183:CU191" si="121">AG183</f>
        <v>0</v>
      </c>
      <c r="CV183">
        <f t="shared" ref="CV183:CV191" si="122">(AH183*AV183)</f>
        <v>51.93</v>
      </c>
      <c r="CW183">
        <f t="shared" ref="CW183:CW191" si="123">AI183</f>
        <v>0</v>
      </c>
      <c r="CX183">
        <f t="shared" ref="CX183:CX191" si="124">AJ183</f>
        <v>0</v>
      </c>
      <c r="CY183">
        <f t="shared" ref="CY183:CY191" si="125">((S183*BZ183)/100)</f>
        <v>52728.227999999996</v>
      </c>
      <c r="CZ183">
        <f t="shared" ref="CZ183:CZ191" si="126">((S183*CA183)/100)</f>
        <v>0</v>
      </c>
      <c r="DC183" t="s">
        <v>3</v>
      </c>
      <c r="DD183" t="s">
        <v>3</v>
      </c>
      <c r="DE183" t="s">
        <v>3</v>
      </c>
      <c r="DF183" t="s">
        <v>3</v>
      </c>
      <c r="DG183" t="s">
        <v>3</v>
      </c>
      <c r="DH183" t="s">
        <v>3</v>
      </c>
      <c r="DI183" t="s">
        <v>3</v>
      </c>
      <c r="DJ183" t="s">
        <v>3</v>
      </c>
      <c r="DK183" t="s">
        <v>3</v>
      </c>
      <c r="DL183" t="s">
        <v>3</v>
      </c>
      <c r="DM183" t="s">
        <v>3</v>
      </c>
      <c r="DN183">
        <v>0</v>
      </c>
      <c r="DO183">
        <v>0</v>
      </c>
      <c r="DP183">
        <v>1</v>
      </c>
      <c r="DQ183">
        <v>1</v>
      </c>
      <c r="DU183">
        <v>1013</v>
      </c>
      <c r="DV183" t="s">
        <v>28</v>
      </c>
      <c r="DW183" t="s">
        <v>28</v>
      </c>
      <c r="DX183">
        <v>1</v>
      </c>
      <c r="EE183">
        <v>48810626</v>
      </c>
      <c r="EF183">
        <v>1</v>
      </c>
      <c r="EG183" t="s">
        <v>30</v>
      </c>
      <c r="EH183">
        <v>0</v>
      </c>
      <c r="EI183" t="s">
        <v>3</v>
      </c>
      <c r="EJ183">
        <v>4</v>
      </c>
      <c r="EK183">
        <v>0</v>
      </c>
      <c r="EL183" t="s">
        <v>31</v>
      </c>
      <c r="EM183" t="s">
        <v>32</v>
      </c>
      <c r="EO183" t="s">
        <v>3</v>
      </c>
      <c r="EQ183">
        <v>131072</v>
      </c>
      <c r="ER183">
        <v>21831.71</v>
      </c>
      <c r="ES183">
        <v>11886.65</v>
      </c>
      <c r="ET183">
        <v>1575.5</v>
      </c>
      <c r="EU183">
        <v>862.14</v>
      </c>
      <c r="EV183">
        <v>8369.56</v>
      </c>
      <c r="EW183">
        <v>51.93</v>
      </c>
      <c r="EX183">
        <v>0</v>
      </c>
      <c r="EY183">
        <v>0</v>
      </c>
      <c r="FQ183">
        <v>0</v>
      </c>
      <c r="FR183">
        <f t="shared" ref="FR183:FR191" si="127">ROUND(IF(AND(BH183=3,BI183=3),P183,0),2)</f>
        <v>0</v>
      </c>
      <c r="FS183">
        <v>0</v>
      </c>
      <c r="FX183">
        <v>70</v>
      </c>
      <c r="FY183">
        <v>0</v>
      </c>
      <c r="GA183" t="s">
        <v>3</v>
      </c>
      <c r="GD183">
        <v>0</v>
      </c>
      <c r="GF183">
        <v>2082633366</v>
      </c>
      <c r="GG183">
        <v>2</v>
      </c>
      <c r="GH183">
        <v>1</v>
      </c>
      <c r="GI183">
        <v>-2</v>
      </c>
      <c r="GJ183">
        <v>0</v>
      </c>
      <c r="GK183">
        <f>ROUND(R183*(R12)/100,2)</f>
        <v>6052.22</v>
      </c>
      <c r="GL183">
        <f t="shared" ref="GL183:GL191" si="128">ROUND(IF(AND(BH183=3,BI183=3,FS183&lt;&gt;0),P183,0),2)</f>
        <v>0</v>
      </c>
      <c r="GM183">
        <f>ROUND(O183+X183+Y183+GK183,2)+GX183</f>
        <v>255265.84</v>
      </c>
      <c r="GN183">
        <f>IF(OR(BI183=0,BI183=1),ROUND(O183+X183+Y183+GK183,2),0)</f>
        <v>0</v>
      </c>
      <c r="GO183">
        <f>IF(BI183=2,ROUND(O183+X183+Y183+GK183,2),0)</f>
        <v>0</v>
      </c>
      <c r="GP183">
        <f>IF(BI183=4,ROUND(O183+X183+Y183+GK183,2)+GX183,0)</f>
        <v>255265.84</v>
      </c>
      <c r="GR183">
        <v>0</v>
      </c>
      <c r="GS183">
        <v>3</v>
      </c>
      <c r="GT183">
        <v>0</v>
      </c>
      <c r="GU183" t="s">
        <v>3</v>
      </c>
      <c r="GV183">
        <f t="shared" ref="GV183:GV191" si="129">ROUND((GT183),6)</f>
        <v>0</v>
      </c>
      <c r="GW183">
        <v>1</v>
      </c>
      <c r="GX183">
        <f t="shared" ref="GX183:GX191" si="130">ROUND(HC183*I183,2)</f>
        <v>0</v>
      </c>
      <c r="HA183">
        <v>0</v>
      </c>
      <c r="HB183">
        <v>0</v>
      </c>
      <c r="HC183">
        <f t="shared" ref="HC183:HC191" si="131">GV183*GW183</f>
        <v>0</v>
      </c>
      <c r="IK183">
        <v>0</v>
      </c>
    </row>
    <row r="184" spans="1:245" x14ac:dyDescent="0.2">
      <c r="A184">
        <v>17</v>
      </c>
      <c r="B184">
        <v>1</v>
      </c>
      <c r="C184">
        <f>ROW(SmtRes!A56)</f>
        <v>56</v>
      </c>
      <c r="D184">
        <f>ROW(EtalonRes!A56)</f>
        <v>56</v>
      </c>
      <c r="E184" t="s">
        <v>152</v>
      </c>
      <c r="F184" t="s">
        <v>153</v>
      </c>
      <c r="G184" t="s">
        <v>154</v>
      </c>
      <c r="H184" t="s">
        <v>28</v>
      </c>
      <c r="I184">
        <f>ROUND(30/10,9)</f>
        <v>3</v>
      </c>
      <c r="J184">
        <v>0</v>
      </c>
      <c r="O184">
        <f t="shared" si="101"/>
        <v>58941.72</v>
      </c>
      <c r="P184">
        <f t="shared" si="102"/>
        <v>17852.580000000002</v>
      </c>
      <c r="Q184">
        <f t="shared" si="103"/>
        <v>0</v>
      </c>
      <c r="R184">
        <f t="shared" si="104"/>
        <v>0</v>
      </c>
      <c r="S184">
        <f t="shared" si="105"/>
        <v>41089.14</v>
      </c>
      <c r="T184">
        <f t="shared" si="106"/>
        <v>0</v>
      </c>
      <c r="U184">
        <f t="shared" si="107"/>
        <v>238.70999999999998</v>
      </c>
      <c r="V184">
        <f t="shared" si="108"/>
        <v>0</v>
      </c>
      <c r="W184">
        <f t="shared" si="109"/>
        <v>0</v>
      </c>
      <c r="X184">
        <f t="shared" si="110"/>
        <v>28762.400000000001</v>
      </c>
      <c r="Y184">
        <f t="shared" si="111"/>
        <v>0</v>
      </c>
      <c r="AA184">
        <v>53202630</v>
      </c>
      <c r="AB184">
        <f t="shared" si="112"/>
        <v>19647.240000000002</v>
      </c>
      <c r="AC184">
        <f>ROUND((ES184),6)</f>
        <v>5950.86</v>
      </c>
      <c r="AD184">
        <f>ROUND((((ET184)-(EU184))+AE184),6)</f>
        <v>0</v>
      </c>
      <c r="AE184">
        <f t="shared" si="113"/>
        <v>0</v>
      </c>
      <c r="AF184">
        <f t="shared" si="113"/>
        <v>13696.38</v>
      </c>
      <c r="AG184">
        <f t="shared" si="114"/>
        <v>0</v>
      </c>
      <c r="AH184">
        <f t="shared" si="115"/>
        <v>79.569999999999993</v>
      </c>
      <c r="AI184">
        <f t="shared" si="115"/>
        <v>0</v>
      </c>
      <c r="AJ184">
        <f t="shared" si="116"/>
        <v>0</v>
      </c>
      <c r="AK184">
        <v>19647.240000000002</v>
      </c>
      <c r="AL184">
        <v>5950.86</v>
      </c>
      <c r="AM184">
        <v>0</v>
      </c>
      <c r="AN184">
        <v>0</v>
      </c>
      <c r="AO184">
        <v>13696.38</v>
      </c>
      <c r="AP184">
        <v>0</v>
      </c>
      <c r="AQ184">
        <v>79.569999999999993</v>
      </c>
      <c r="AR184">
        <v>0</v>
      </c>
      <c r="AS184">
        <v>0</v>
      </c>
      <c r="AT184">
        <v>70</v>
      </c>
      <c r="AU184">
        <v>0</v>
      </c>
      <c r="AV184">
        <v>1</v>
      </c>
      <c r="AW184">
        <v>1</v>
      </c>
      <c r="AZ184">
        <v>1</v>
      </c>
      <c r="BA184">
        <v>1</v>
      </c>
      <c r="BB184">
        <v>1</v>
      </c>
      <c r="BC184">
        <v>1</v>
      </c>
      <c r="BD184" t="s">
        <v>3</v>
      </c>
      <c r="BE184" t="s">
        <v>3</v>
      </c>
      <c r="BF184" t="s">
        <v>3</v>
      </c>
      <c r="BG184" t="s">
        <v>3</v>
      </c>
      <c r="BH184">
        <v>0</v>
      </c>
      <c r="BI184">
        <v>4</v>
      </c>
      <c r="BJ184" t="s">
        <v>155</v>
      </c>
      <c r="BM184">
        <v>0</v>
      </c>
      <c r="BN184">
        <v>0</v>
      </c>
      <c r="BO184" t="s">
        <v>3</v>
      </c>
      <c r="BP184">
        <v>0</v>
      </c>
      <c r="BQ184">
        <v>1</v>
      </c>
      <c r="BR184">
        <v>0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 t="s">
        <v>3</v>
      </c>
      <c r="BZ184">
        <v>70</v>
      </c>
      <c r="CA184">
        <v>0</v>
      </c>
      <c r="CE184">
        <v>0</v>
      </c>
      <c r="CF184">
        <v>0</v>
      </c>
      <c r="CG184">
        <v>0</v>
      </c>
      <c r="CM184">
        <v>0</v>
      </c>
      <c r="CN184" t="s">
        <v>3</v>
      </c>
      <c r="CO184">
        <v>0</v>
      </c>
      <c r="CP184">
        <f t="shared" si="117"/>
        <v>58941.72</v>
      </c>
      <c r="CQ184">
        <f t="shared" si="118"/>
        <v>5950.86</v>
      </c>
      <c r="CR184">
        <f>((((ET184)*BB184-(EU184)*BS184)+AE184*BS184)*AV184)</f>
        <v>0</v>
      </c>
      <c r="CS184">
        <f t="shared" si="119"/>
        <v>0</v>
      </c>
      <c r="CT184">
        <f t="shared" si="120"/>
        <v>13696.38</v>
      </c>
      <c r="CU184">
        <f t="shared" si="121"/>
        <v>0</v>
      </c>
      <c r="CV184">
        <f t="shared" si="122"/>
        <v>79.569999999999993</v>
      </c>
      <c r="CW184">
        <f t="shared" si="123"/>
        <v>0</v>
      </c>
      <c r="CX184">
        <f t="shared" si="124"/>
        <v>0</v>
      </c>
      <c r="CY184">
        <f t="shared" si="125"/>
        <v>28762.397999999997</v>
      </c>
      <c r="CZ184">
        <f t="shared" si="126"/>
        <v>0</v>
      </c>
      <c r="DC184" t="s">
        <v>3</v>
      </c>
      <c r="DD184" t="s">
        <v>3</v>
      </c>
      <c r="DE184" t="s">
        <v>3</v>
      </c>
      <c r="DF184" t="s">
        <v>3</v>
      </c>
      <c r="DG184" t="s">
        <v>3</v>
      </c>
      <c r="DH184" t="s">
        <v>3</v>
      </c>
      <c r="DI184" t="s">
        <v>3</v>
      </c>
      <c r="DJ184" t="s">
        <v>3</v>
      </c>
      <c r="DK184" t="s">
        <v>3</v>
      </c>
      <c r="DL184" t="s">
        <v>3</v>
      </c>
      <c r="DM184" t="s">
        <v>3</v>
      </c>
      <c r="DN184">
        <v>0</v>
      </c>
      <c r="DO184">
        <v>0</v>
      </c>
      <c r="DP184">
        <v>1</v>
      </c>
      <c r="DQ184">
        <v>1</v>
      </c>
      <c r="DU184">
        <v>1013</v>
      </c>
      <c r="DV184" t="s">
        <v>28</v>
      </c>
      <c r="DW184" t="s">
        <v>28</v>
      </c>
      <c r="DX184">
        <v>1</v>
      </c>
      <c r="EE184">
        <v>48810626</v>
      </c>
      <c r="EF184">
        <v>1</v>
      </c>
      <c r="EG184" t="s">
        <v>30</v>
      </c>
      <c r="EH184">
        <v>0</v>
      </c>
      <c r="EI184" t="s">
        <v>3</v>
      </c>
      <c r="EJ184">
        <v>4</v>
      </c>
      <c r="EK184">
        <v>0</v>
      </c>
      <c r="EL184" t="s">
        <v>31</v>
      </c>
      <c r="EM184" t="s">
        <v>32</v>
      </c>
      <c r="EO184" t="s">
        <v>3</v>
      </c>
      <c r="EQ184">
        <v>131072</v>
      </c>
      <c r="ER184">
        <v>19647.240000000002</v>
      </c>
      <c r="ES184">
        <v>5950.86</v>
      </c>
      <c r="ET184">
        <v>0</v>
      </c>
      <c r="EU184">
        <v>0</v>
      </c>
      <c r="EV184">
        <v>13696.38</v>
      </c>
      <c r="EW184">
        <v>79.569999999999993</v>
      </c>
      <c r="EX184">
        <v>0</v>
      </c>
      <c r="EY184">
        <v>0</v>
      </c>
      <c r="FQ184">
        <v>0</v>
      </c>
      <c r="FR184">
        <f t="shared" si="127"/>
        <v>0</v>
      </c>
      <c r="FS184">
        <v>0</v>
      </c>
      <c r="FX184">
        <v>70</v>
      </c>
      <c r="FY184">
        <v>0</v>
      </c>
      <c r="GA184" t="s">
        <v>3</v>
      </c>
      <c r="GD184">
        <v>0</v>
      </c>
      <c r="GF184">
        <v>786343405</v>
      </c>
      <c r="GG184">
        <v>2</v>
      </c>
      <c r="GH184">
        <v>1</v>
      </c>
      <c r="GI184">
        <v>-2</v>
      </c>
      <c r="GJ184">
        <v>0</v>
      </c>
      <c r="GK184">
        <f>ROUND(R184*(R12)/100,2)</f>
        <v>0</v>
      </c>
      <c r="GL184">
        <f t="shared" si="128"/>
        <v>0</v>
      </c>
      <c r="GM184">
        <f>ROUND(O184+X184+Y184+GK184,2)+GX184</f>
        <v>87704.12</v>
      </c>
      <c r="GN184">
        <f>IF(OR(BI184=0,BI184=1),ROUND(O184+X184+Y184+GK184,2),0)</f>
        <v>0</v>
      </c>
      <c r="GO184">
        <f>IF(BI184=2,ROUND(O184+X184+Y184+GK184,2),0)</f>
        <v>0</v>
      </c>
      <c r="GP184">
        <f>IF(BI184=4,ROUND(O184+X184+Y184+GK184,2)+GX184,0)</f>
        <v>87704.12</v>
      </c>
      <c r="GR184">
        <v>0</v>
      </c>
      <c r="GS184">
        <v>3</v>
      </c>
      <c r="GT184">
        <v>0</v>
      </c>
      <c r="GU184" t="s">
        <v>3</v>
      </c>
      <c r="GV184">
        <f t="shared" si="129"/>
        <v>0</v>
      </c>
      <c r="GW184">
        <v>1</v>
      </c>
      <c r="GX184">
        <f t="shared" si="130"/>
        <v>0</v>
      </c>
      <c r="HA184">
        <v>0</v>
      </c>
      <c r="HB184">
        <v>0</v>
      </c>
      <c r="HC184">
        <f t="shared" si="131"/>
        <v>0</v>
      </c>
      <c r="IK184">
        <v>0</v>
      </c>
    </row>
    <row r="185" spans="1:245" x14ac:dyDescent="0.2">
      <c r="A185">
        <v>17</v>
      </c>
      <c r="B185">
        <v>1</v>
      </c>
      <c r="C185">
        <f>ROW(SmtRes!A57)</f>
        <v>57</v>
      </c>
      <c r="D185">
        <f>ROW(EtalonRes!A57)</f>
        <v>57</v>
      </c>
      <c r="E185" t="s">
        <v>156</v>
      </c>
      <c r="F185" t="s">
        <v>38</v>
      </c>
      <c r="G185" t="s">
        <v>157</v>
      </c>
      <c r="H185" t="s">
        <v>40</v>
      </c>
      <c r="I185">
        <f>ROUND(93/100,9)</f>
        <v>0.93</v>
      </c>
      <c r="J185">
        <v>0</v>
      </c>
      <c r="O185">
        <f t="shared" si="101"/>
        <v>9903.48</v>
      </c>
      <c r="P185">
        <f t="shared" si="102"/>
        <v>0</v>
      </c>
      <c r="Q185">
        <f t="shared" si="103"/>
        <v>0</v>
      </c>
      <c r="R185">
        <f t="shared" si="104"/>
        <v>0</v>
      </c>
      <c r="S185">
        <f t="shared" si="105"/>
        <v>9903.48</v>
      </c>
      <c r="T185">
        <f t="shared" si="106"/>
        <v>0</v>
      </c>
      <c r="U185">
        <f t="shared" si="107"/>
        <v>77.19</v>
      </c>
      <c r="V185">
        <f t="shared" si="108"/>
        <v>0</v>
      </c>
      <c r="W185">
        <f t="shared" si="109"/>
        <v>0</v>
      </c>
      <c r="X185">
        <f t="shared" si="110"/>
        <v>6932.44</v>
      </c>
      <c r="Y185">
        <f t="shared" si="111"/>
        <v>0</v>
      </c>
      <c r="AA185">
        <v>53202630</v>
      </c>
      <c r="AB185">
        <f t="shared" si="112"/>
        <v>10648.9</v>
      </c>
      <c r="AC185">
        <f>ROUND((ES185),6)</f>
        <v>0</v>
      </c>
      <c r="AD185">
        <f>ROUND((((ET185)-(EU185))+AE185),6)</f>
        <v>0</v>
      </c>
      <c r="AE185">
        <f t="shared" si="113"/>
        <v>0</v>
      </c>
      <c r="AF185">
        <f t="shared" si="113"/>
        <v>10648.9</v>
      </c>
      <c r="AG185">
        <f t="shared" si="114"/>
        <v>0</v>
      </c>
      <c r="AH185">
        <f t="shared" si="115"/>
        <v>83</v>
      </c>
      <c r="AI185">
        <f t="shared" si="115"/>
        <v>0</v>
      </c>
      <c r="AJ185">
        <f t="shared" si="116"/>
        <v>0</v>
      </c>
      <c r="AK185">
        <v>10648.9</v>
      </c>
      <c r="AL185">
        <v>0</v>
      </c>
      <c r="AM185">
        <v>0</v>
      </c>
      <c r="AN185">
        <v>0</v>
      </c>
      <c r="AO185">
        <v>10648.9</v>
      </c>
      <c r="AP185">
        <v>0</v>
      </c>
      <c r="AQ185">
        <v>83</v>
      </c>
      <c r="AR185">
        <v>0</v>
      </c>
      <c r="AS185">
        <v>0</v>
      </c>
      <c r="AT185">
        <v>70</v>
      </c>
      <c r="AU185">
        <v>0</v>
      </c>
      <c r="AV185">
        <v>1</v>
      </c>
      <c r="AW185">
        <v>1</v>
      </c>
      <c r="AZ185">
        <v>1</v>
      </c>
      <c r="BA185">
        <v>1</v>
      </c>
      <c r="BB185">
        <v>1</v>
      </c>
      <c r="BC185">
        <v>1</v>
      </c>
      <c r="BD185" t="s">
        <v>3</v>
      </c>
      <c r="BE185" t="s">
        <v>3</v>
      </c>
      <c r="BF185" t="s">
        <v>3</v>
      </c>
      <c r="BG185" t="s">
        <v>3</v>
      </c>
      <c r="BH185">
        <v>0</v>
      </c>
      <c r="BI185">
        <v>4</v>
      </c>
      <c r="BJ185" t="s">
        <v>41</v>
      </c>
      <c r="BM185">
        <v>0</v>
      </c>
      <c r="BN185">
        <v>0</v>
      </c>
      <c r="BO185" t="s">
        <v>3</v>
      </c>
      <c r="BP185">
        <v>0</v>
      </c>
      <c r="BQ185">
        <v>1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 t="s">
        <v>3</v>
      </c>
      <c r="BZ185">
        <v>70</v>
      </c>
      <c r="CA185">
        <v>0</v>
      </c>
      <c r="CE185">
        <v>0</v>
      </c>
      <c r="CF185">
        <v>0</v>
      </c>
      <c r="CG185">
        <v>0</v>
      </c>
      <c r="CM185">
        <v>0</v>
      </c>
      <c r="CN185" t="s">
        <v>3</v>
      </c>
      <c r="CO185">
        <v>0</v>
      </c>
      <c r="CP185">
        <f t="shared" si="117"/>
        <v>9903.48</v>
      </c>
      <c r="CQ185">
        <f t="shared" si="118"/>
        <v>0</v>
      </c>
      <c r="CR185">
        <f>((((ET185)*BB185-(EU185)*BS185)+AE185*BS185)*AV185)</f>
        <v>0</v>
      </c>
      <c r="CS185">
        <f t="shared" si="119"/>
        <v>0</v>
      </c>
      <c r="CT185">
        <f t="shared" si="120"/>
        <v>10648.9</v>
      </c>
      <c r="CU185">
        <f t="shared" si="121"/>
        <v>0</v>
      </c>
      <c r="CV185">
        <f t="shared" si="122"/>
        <v>83</v>
      </c>
      <c r="CW185">
        <f t="shared" si="123"/>
        <v>0</v>
      </c>
      <c r="CX185">
        <f t="shared" si="124"/>
        <v>0</v>
      </c>
      <c r="CY185">
        <f t="shared" si="125"/>
        <v>6932.4359999999997</v>
      </c>
      <c r="CZ185">
        <f t="shared" si="126"/>
        <v>0</v>
      </c>
      <c r="DC185" t="s">
        <v>3</v>
      </c>
      <c r="DD185" t="s">
        <v>3</v>
      </c>
      <c r="DE185" t="s">
        <v>3</v>
      </c>
      <c r="DF185" t="s">
        <v>3</v>
      </c>
      <c r="DG185" t="s">
        <v>3</v>
      </c>
      <c r="DH185" t="s">
        <v>3</v>
      </c>
      <c r="DI185" t="s">
        <v>3</v>
      </c>
      <c r="DJ185" t="s">
        <v>3</v>
      </c>
      <c r="DK185" t="s">
        <v>3</v>
      </c>
      <c r="DL185" t="s">
        <v>3</v>
      </c>
      <c r="DM185" t="s">
        <v>3</v>
      </c>
      <c r="DN185">
        <v>0</v>
      </c>
      <c r="DO185">
        <v>0</v>
      </c>
      <c r="DP185">
        <v>1</v>
      </c>
      <c r="DQ185">
        <v>1</v>
      </c>
      <c r="DU185">
        <v>1007</v>
      </c>
      <c r="DV185" t="s">
        <v>40</v>
      </c>
      <c r="DW185" t="s">
        <v>40</v>
      </c>
      <c r="DX185">
        <v>100</v>
      </c>
      <c r="EE185">
        <v>48810626</v>
      </c>
      <c r="EF185">
        <v>1</v>
      </c>
      <c r="EG185" t="s">
        <v>30</v>
      </c>
      <c r="EH185">
        <v>0</v>
      </c>
      <c r="EI185" t="s">
        <v>3</v>
      </c>
      <c r="EJ185">
        <v>4</v>
      </c>
      <c r="EK185">
        <v>0</v>
      </c>
      <c r="EL185" t="s">
        <v>31</v>
      </c>
      <c r="EM185" t="s">
        <v>32</v>
      </c>
      <c r="EO185" t="s">
        <v>3</v>
      </c>
      <c r="EQ185">
        <v>131072</v>
      </c>
      <c r="ER185">
        <v>10648.9</v>
      </c>
      <c r="ES185">
        <v>0</v>
      </c>
      <c r="ET185">
        <v>0</v>
      </c>
      <c r="EU185">
        <v>0</v>
      </c>
      <c r="EV185">
        <v>10648.9</v>
      </c>
      <c r="EW185">
        <v>83</v>
      </c>
      <c r="EX185">
        <v>0</v>
      </c>
      <c r="EY185">
        <v>0</v>
      </c>
      <c r="FQ185">
        <v>0</v>
      </c>
      <c r="FR185">
        <f t="shared" si="127"/>
        <v>0</v>
      </c>
      <c r="FS185">
        <v>0</v>
      </c>
      <c r="FX185">
        <v>70</v>
      </c>
      <c r="FY185">
        <v>0</v>
      </c>
      <c r="GA185" t="s">
        <v>3</v>
      </c>
      <c r="GD185">
        <v>0</v>
      </c>
      <c r="GF185">
        <v>864962213</v>
      </c>
      <c r="GG185">
        <v>2</v>
      </c>
      <c r="GH185">
        <v>1</v>
      </c>
      <c r="GI185">
        <v>-2</v>
      </c>
      <c r="GJ185">
        <v>0</v>
      </c>
      <c r="GK185">
        <f>ROUND(R185*(R12)/100,2)</f>
        <v>0</v>
      </c>
      <c r="GL185">
        <f t="shared" si="128"/>
        <v>0</v>
      </c>
      <c r="GM185">
        <f>ROUND(O185+X185+Y185+GK185,2)+GX185</f>
        <v>16835.919999999998</v>
      </c>
      <c r="GN185">
        <f>IF(OR(BI185=0,BI185=1),ROUND(O185+X185+Y185+GK185,2),0)</f>
        <v>0</v>
      </c>
      <c r="GO185">
        <f>IF(BI185=2,ROUND(O185+X185+Y185+GK185,2),0)</f>
        <v>0</v>
      </c>
      <c r="GP185">
        <f>IF(BI185=4,ROUND(O185+X185+Y185+GK185,2)+GX185,0)</f>
        <v>16835.919999999998</v>
      </c>
      <c r="GR185">
        <v>0</v>
      </c>
      <c r="GS185">
        <v>3</v>
      </c>
      <c r="GT185">
        <v>0</v>
      </c>
      <c r="GU185" t="s">
        <v>3</v>
      </c>
      <c r="GV185">
        <f t="shared" si="129"/>
        <v>0</v>
      </c>
      <c r="GW185">
        <v>1</v>
      </c>
      <c r="GX185">
        <f t="shared" si="130"/>
        <v>0</v>
      </c>
      <c r="HA185">
        <v>0</v>
      </c>
      <c r="HB185">
        <v>0</v>
      </c>
      <c r="HC185">
        <f t="shared" si="131"/>
        <v>0</v>
      </c>
      <c r="IK185">
        <v>0</v>
      </c>
    </row>
    <row r="186" spans="1:245" x14ac:dyDescent="0.2">
      <c r="A186">
        <v>17</v>
      </c>
      <c r="B186">
        <v>1</v>
      </c>
      <c r="C186">
        <f>ROW(SmtRes!A59)</f>
        <v>59</v>
      </c>
      <c r="D186">
        <f>ROW(EtalonRes!A59)</f>
        <v>59</v>
      </c>
      <c r="E186" t="s">
        <v>158</v>
      </c>
      <c r="F186" t="s">
        <v>43</v>
      </c>
      <c r="G186" t="s">
        <v>159</v>
      </c>
      <c r="H186" t="s">
        <v>45</v>
      </c>
      <c r="I186">
        <f>ROUND(279/10,9)</f>
        <v>27.9</v>
      </c>
      <c r="J186">
        <v>0</v>
      </c>
      <c r="O186">
        <f t="shared" si="101"/>
        <v>37266.86</v>
      </c>
      <c r="P186">
        <f t="shared" si="102"/>
        <v>0</v>
      </c>
      <c r="Q186">
        <f t="shared" si="103"/>
        <v>33012.949999999997</v>
      </c>
      <c r="R186">
        <f t="shared" si="104"/>
        <v>12182.26</v>
      </c>
      <c r="S186">
        <f t="shared" si="105"/>
        <v>4253.91</v>
      </c>
      <c r="T186">
        <f t="shared" si="106"/>
        <v>0</v>
      </c>
      <c r="U186">
        <f t="shared" si="107"/>
        <v>18.134999999999998</v>
      </c>
      <c r="V186">
        <f t="shared" si="108"/>
        <v>0</v>
      </c>
      <c r="W186">
        <f t="shared" si="109"/>
        <v>0</v>
      </c>
      <c r="X186">
        <f t="shared" si="110"/>
        <v>2977.74</v>
      </c>
      <c r="Y186">
        <f t="shared" si="111"/>
        <v>0</v>
      </c>
      <c r="AA186">
        <v>53202630</v>
      </c>
      <c r="AB186">
        <f t="shared" si="112"/>
        <v>1335.73</v>
      </c>
      <c r="AC186">
        <f>ROUND((ES186),6)</f>
        <v>0</v>
      </c>
      <c r="AD186">
        <f>ROUND((((ET186)-(EU186))+AE186),6)</f>
        <v>1183.26</v>
      </c>
      <c r="AE186">
        <f t="shared" si="113"/>
        <v>436.64</v>
      </c>
      <c r="AF186">
        <f t="shared" si="113"/>
        <v>152.47</v>
      </c>
      <c r="AG186">
        <f t="shared" si="114"/>
        <v>0</v>
      </c>
      <c r="AH186">
        <f t="shared" si="115"/>
        <v>0.65</v>
      </c>
      <c r="AI186">
        <f t="shared" si="115"/>
        <v>0</v>
      </c>
      <c r="AJ186">
        <f t="shared" si="116"/>
        <v>0</v>
      </c>
      <c r="AK186">
        <v>1335.73</v>
      </c>
      <c r="AL186">
        <v>0</v>
      </c>
      <c r="AM186">
        <v>1183.26</v>
      </c>
      <c r="AN186">
        <v>436.64</v>
      </c>
      <c r="AO186">
        <v>152.47</v>
      </c>
      <c r="AP186">
        <v>0</v>
      </c>
      <c r="AQ186">
        <v>0.65</v>
      </c>
      <c r="AR186">
        <v>0</v>
      </c>
      <c r="AS186">
        <v>0</v>
      </c>
      <c r="AT186">
        <v>70</v>
      </c>
      <c r="AU186">
        <v>0</v>
      </c>
      <c r="AV186">
        <v>1</v>
      </c>
      <c r="AW186">
        <v>1</v>
      </c>
      <c r="AZ186">
        <v>1</v>
      </c>
      <c r="BA186">
        <v>1</v>
      </c>
      <c r="BB186">
        <v>1</v>
      </c>
      <c r="BC186">
        <v>1</v>
      </c>
      <c r="BD186" t="s">
        <v>3</v>
      </c>
      <c r="BE186" t="s">
        <v>3</v>
      </c>
      <c r="BF186" t="s">
        <v>3</v>
      </c>
      <c r="BG186" t="s">
        <v>3</v>
      </c>
      <c r="BH186">
        <v>0</v>
      </c>
      <c r="BI186">
        <v>4</v>
      </c>
      <c r="BJ186" t="s">
        <v>46</v>
      </c>
      <c r="BM186">
        <v>0</v>
      </c>
      <c r="BN186">
        <v>0</v>
      </c>
      <c r="BO186" t="s">
        <v>3</v>
      </c>
      <c r="BP186">
        <v>0</v>
      </c>
      <c r="BQ186">
        <v>1</v>
      </c>
      <c r="BR186">
        <v>0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 t="s">
        <v>3</v>
      </c>
      <c r="BZ186">
        <v>70</v>
      </c>
      <c r="CA186">
        <v>0</v>
      </c>
      <c r="CE186">
        <v>0</v>
      </c>
      <c r="CF186">
        <v>0</v>
      </c>
      <c r="CG186">
        <v>0</v>
      </c>
      <c r="CM186">
        <v>0</v>
      </c>
      <c r="CN186" t="s">
        <v>3</v>
      </c>
      <c r="CO186">
        <v>0</v>
      </c>
      <c r="CP186">
        <f t="shared" si="117"/>
        <v>37266.86</v>
      </c>
      <c r="CQ186">
        <f t="shared" si="118"/>
        <v>0</v>
      </c>
      <c r="CR186">
        <f>((((ET186)*BB186-(EU186)*BS186)+AE186*BS186)*AV186)</f>
        <v>1183.26</v>
      </c>
      <c r="CS186">
        <f t="shared" si="119"/>
        <v>436.64</v>
      </c>
      <c r="CT186">
        <f t="shared" si="120"/>
        <v>152.47</v>
      </c>
      <c r="CU186">
        <f t="shared" si="121"/>
        <v>0</v>
      </c>
      <c r="CV186">
        <f t="shared" si="122"/>
        <v>0.65</v>
      </c>
      <c r="CW186">
        <f t="shared" si="123"/>
        <v>0</v>
      </c>
      <c r="CX186">
        <f t="shared" si="124"/>
        <v>0</v>
      </c>
      <c r="CY186">
        <f t="shared" si="125"/>
        <v>2977.7370000000001</v>
      </c>
      <c r="CZ186">
        <f t="shared" si="126"/>
        <v>0</v>
      </c>
      <c r="DC186" t="s">
        <v>3</v>
      </c>
      <c r="DD186" t="s">
        <v>3</v>
      </c>
      <c r="DE186" t="s">
        <v>3</v>
      </c>
      <c r="DF186" t="s">
        <v>3</v>
      </c>
      <c r="DG186" t="s">
        <v>3</v>
      </c>
      <c r="DH186" t="s">
        <v>3</v>
      </c>
      <c r="DI186" t="s">
        <v>3</v>
      </c>
      <c r="DJ186" t="s">
        <v>3</v>
      </c>
      <c r="DK186" t="s">
        <v>3</v>
      </c>
      <c r="DL186" t="s">
        <v>3</v>
      </c>
      <c r="DM186" t="s">
        <v>3</v>
      </c>
      <c r="DN186">
        <v>0</v>
      </c>
      <c r="DO186">
        <v>0</v>
      </c>
      <c r="DP186">
        <v>1</v>
      </c>
      <c r="DQ186">
        <v>1</v>
      </c>
      <c r="DU186">
        <v>1007</v>
      </c>
      <c r="DV186" t="s">
        <v>45</v>
      </c>
      <c r="DW186" t="s">
        <v>45</v>
      </c>
      <c r="DX186">
        <v>10</v>
      </c>
      <c r="EE186">
        <v>48810626</v>
      </c>
      <c r="EF186">
        <v>1</v>
      </c>
      <c r="EG186" t="s">
        <v>30</v>
      </c>
      <c r="EH186">
        <v>0</v>
      </c>
      <c r="EI186" t="s">
        <v>3</v>
      </c>
      <c r="EJ186">
        <v>4</v>
      </c>
      <c r="EK186">
        <v>0</v>
      </c>
      <c r="EL186" t="s">
        <v>31</v>
      </c>
      <c r="EM186" t="s">
        <v>32</v>
      </c>
      <c r="EO186" t="s">
        <v>3</v>
      </c>
      <c r="EQ186">
        <v>131072</v>
      </c>
      <c r="ER186">
        <v>1335.73</v>
      </c>
      <c r="ES186">
        <v>0</v>
      </c>
      <c r="ET186">
        <v>1183.26</v>
      </c>
      <c r="EU186">
        <v>436.64</v>
      </c>
      <c r="EV186">
        <v>152.47</v>
      </c>
      <c r="EW186">
        <v>0.65</v>
      </c>
      <c r="EX186">
        <v>0</v>
      </c>
      <c r="EY186">
        <v>0</v>
      </c>
      <c r="FQ186">
        <v>0</v>
      </c>
      <c r="FR186">
        <f t="shared" si="127"/>
        <v>0</v>
      </c>
      <c r="FS186">
        <v>0</v>
      </c>
      <c r="FX186">
        <v>70</v>
      </c>
      <c r="FY186">
        <v>0</v>
      </c>
      <c r="GA186" t="s">
        <v>3</v>
      </c>
      <c r="GD186">
        <v>0</v>
      </c>
      <c r="GF186">
        <v>441106500</v>
      </c>
      <c r="GG186">
        <v>2</v>
      </c>
      <c r="GH186">
        <v>1</v>
      </c>
      <c r="GI186">
        <v>-2</v>
      </c>
      <c r="GJ186">
        <v>0</v>
      </c>
      <c r="GK186">
        <f>ROUND(R186*(R12)/100,2)</f>
        <v>9502.16</v>
      </c>
      <c r="GL186">
        <f t="shared" si="128"/>
        <v>0</v>
      </c>
      <c r="GM186">
        <f>ROUND(O186+X186+Y186+GK186,2)+GX186</f>
        <v>49746.76</v>
      </c>
      <c r="GN186">
        <f>IF(OR(BI186=0,BI186=1),ROUND(O186+X186+Y186+GK186,2),0)</f>
        <v>0</v>
      </c>
      <c r="GO186">
        <f>IF(BI186=2,ROUND(O186+X186+Y186+GK186,2),0)</f>
        <v>0</v>
      </c>
      <c r="GP186">
        <f>IF(BI186=4,ROUND(O186+X186+Y186+GK186,2)+GX186,0)</f>
        <v>49746.76</v>
      </c>
      <c r="GR186">
        <v>0</v>
      </c>
      <c r="GS186">
        <v>3</v>
      </c>
      <c r="GT186">
        <v>0</v>
      </c>
      <c r="GU186" t="s">
        <v>3</v>
      </c>
      <c r="GV186">
        <f t="shared" si="129"/>
        <v>0</v>
      </c>
      <c r="GW186">
        <v>1</v>
      </c>
      <c r="GX186">
        <f t="shared" si="130"/>
        <v>0</v>
      </c>
      <c r="HA186">
        <v>0</v>
      </c>
      <c r="HB186">
        <v>0</v>
      </c>
      <c r="HC186">
        <f t="shared" si="131"/>
        <v>0</v>
      </c>
      <c r="IK186">
        <v>0</v>
      </c>
    </row>
    <row r="187" spans="1:245" x14ac:dyDescent="0.2">
      <c r="A187">
        <v>17</v>
      </c>
      <c r="B187">
        <v>1</v>
      </c>
      <c r="C187">
        <f>ROW(SmtRes!A60)</f>
        <v>60</v>
      </c>
      <c r="D187">
        <f>ROW(EtalonRes!A60)</f>
        <v>60</v>
      </c>
      <c r="E187" t="s">
        <v>160</v>
      </c>
      <c r="F187" t="s">
        <v>48</v>
      </c>
      <c r="G187" t="s">
        <v>161</v>
      </c>
      <c r="H187" t="s">
        <v>50</v>
      </c>
      <c r="I187">
        <v>372</v>
      </c>
      <c r="J187">
        <v>0</v>
      </c>
      <c r="O187">
        <f t="shared" si="101"/>
        <v>19221.240000000002</v>
      </c>
      <c r="P187">
        <f t="shared" si="102"/>
        <v>0</v>
      </c>
      <c r="Q187">
        <f t="shared" si="103"/>
        <v>19221.240000000002</v>
      </c>
      <c r="R187">
        <f t="shared" si="104"/>
        <v>11241.84</v>
      </c>
      <c r="S187">
        <f t="shared" si="105"/>
        <v>0</v>
      </c>
      <c r="T187">
        <f t="shared" si="106"/>
        <v>0</v>
      </c>
      <c r="U187">
        <f t="shared" si="107"/>
        <v>0</v>
      </c>
      <c r="V187">
        <f t="shared" si="108"/>
        <v>0</v>
      </c>
      <c r="W187">
        <f t="shared" si="109"/>
        <v>0</v>
      </c>
      <c r="X187">
        <f t="shared" si="110"/>
        <v>0</v>
      </c>
      <c r="Y187">
        <f t="shared" si="111"/>
        <v>0</v>
      </c>
      <c r="AA187">
        <v>53202630</v>
      </c>
      <c r="AB187">
        <f t="shared" si="112"/>
        <v>51.67</v>
      </c>
      <c r="AC187">
        <f>ROUND((ES187),6)</f>
        <v>0</v>
      </c>
      <c r="AD187">
        <f>ROUND((((ET187)-(EU187))+AE187),6)</f>
        <v>51.67</v>
      </c>
      <c r="AE187">
        <f t="shared" si="113"/>
        <v>30.22</v>
      </c>
      <c r="AF187">
        <f t="shared" si="113"/>
        <v>0</v>
      </c>
      <c r="AG187">
        <f t="shared" si="114"/>
        <v>0</v>
      </c>
      <c r="AH187">
        <f t="shared" si="115"/>
        <v>0</v>
      </c>
      <c r="AI187">
        <f t="shared" si="115"/>
        <v>0</v>
      </c>
      <c r="AJ187">
        <f t="shared" si="116"/>
        <v>0</v>
      </c>
      <c r="AK187">
        <v>51.67</v>
      </c>
      <c r="AL187">
        <v>0</v>
      </c>
      <c r="AM187">
        <v>51.67</v>
      </c>
      <c r="AN187">
        <v>30.22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Z187">
        <v>1</v>
      </c>
      <c r="BA187">
        <v>1</v>
      </c>
      <c r="BB187">
        <v>1</v>
      </c>
      <c r="BC187">
        <v>1</v>
      </c>
      <c r="BD187" t="s">
        <v>3</v>
      </c>
      <c r="BE187" t="s">
        <v>3</v>
      </c>
      <c r="BF187" t="s">
        <v>3</v>
      </c>
      <c r="BG187" t="s">
        <v>3</v>
      </c>
      <c r="BH187">
        <v>0</v>
      </c>
      <c r="BI187">
        <v>4</v>
      </c>
      <c r="BJ187" t="s">
        <v>51</v>
      </c>
      <c r="BM187">
        <v>1</v>
      </c>
      <c r="BN187">
        <v>0</v>
      </c>
      <c r="BO187" t="s">
        <v>3</v>
      </c>
      <c r="BP187">
        <v>0</v>
      </c>
      <c r="BQ187">
        <v>1</v>
      </c>
      <c r="BR187">
        <v>0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 t="s">
        <v>3</v>
      </c>
      <c r="BZ187">
        <v>0</v>
      </c>
      <c r="CA187">
        <v>0</v>
      </c>
      <c r="CE187">
        <v>0</v>
      </c>
      <c r="CF187">
        <v>0</v>
      </c>
      <c r="CG187">
        <v>0</v>
      </c>
      <c r="CM187">
        <v>0</v>
      </c>
      <c r="CN187" t="s">
        <v>3</v>
      </c>
      <c r="CO187">
        <v>0</v>
      </c>
      <c r="CP187">
        <f t="shared" si="117"/>
        <v>19221.240000000002</v>
      </c>
      <c r="CQ187">
        <f t="shared" si="118"/>
        <v>0</v>
      </c>
      <c r="CR187">
        <f>((((ET187)*BB187-(EU187)*BS187)+AE187*BS187)*AV187)</f>
        <v>51.67</v>
      </c>
      <c r="CS187">
        <f t="shared" si="119"/>
        <v>30.22</v>
      </c>
      <c r="CT187">
        <f t="shared" si="120"/>
        <v>0</v>
      </c>
      <c r="CU187">
        <f t="shared" si="121"/>
        <v>0</v>
      </c>
      <c r="CV187">
        <f t="shared" si="122"/>
        <v>0</v>
      </c>
      <c r="CW187">
        <f t="shared" si="123"/>
        <v>0</v>
      </c>
      <c r="CX187">
        <f t="shared" si="124"/>
        <v>0</v>
      </c>
      <c r="CY187">
        <f t="shared" si="125"/>
        <v>0</v>
      </c>
      <c r="CZ187">
        <f t="shared" si="126"/>
        <v>0</v>
      </c>
      <c r="DC187" t="s">
        <v>3</v>
      </c>
      <c r="DD187" t="s">
        <v>3</v>
      </c>
      <c r="DE187" t="s">
        <v>3</v>
      </c>
      <c r="DF187" t="s">
        <v>3</v>
      </c>
      <c r="DG187" t="s">
        <v>3</v>
      </c>
      <c r="DH187" t="s">
        <v>3</v>
      </c>
      <c r="DI187" t="s">
        <v>3</v>
      </c>
      <c r="DJ187" t="s">
        <v>3</v>
      </c>
      <c r="DK187" t="s">
        <v>3</v>
      </c>
      <c r="DL187" t="s">
        <v>3</v>
      </c>
      <c r="DM187" t="s">
        <v>3</v>
      </c>
      <c r="DN187">
        <v>0</v>
      </c>
      <c r="DO187">
        <v>0</v>
      </c>
      <c r="DP187">
        <v>1</v>
      </c>
      <c r="DQ187">
        <v>1</v>
      </c>
      <c r="DU187">
        <v>1007</v>
      </c>
      <c r="DV187" t="s">
        <v>50</v>
      </c>
      <c r="DW187" t="s">
        <v>50</v>
      </c>
      <c r="DX187">
        <v>1</v>
      </c>
      <c r="EE187">
        <v>48810628</v>
      </c>
      <c r="EF187">
        <v>1</v>
      </c>
      <c r="EG187" t="s">
        <v>30</v>
      </c>
      <c r="EH187">
        <v>0</v>
      </c>
      <c r="EI187" t="s">
        <v>3</v>
      </c>
      <c r="EJ187">
        <v>4</v>
      </c>
      <c r="EK187">
        <v>1</v>
      </c>
      <c r="EL187" t="s">
        <v>52</v>
      </c>
      <c r="EM187" t="s">
        <v>32</v>
      </c>
      <c r="EO187" t="s">
        <v>3</v>
      </c>
      <c r="EQ187">
        <v>131072</v>
      </c>
      <c r="ER187">
        <v>51.67</v>
      </c>
      <c r="ES187">
        <v>0</v>
      </c>
      <c r="ET187">
        <v>51.67</v>
      </c>
      <c r="EU187">
        <v>30.22</v>
      </c>
      <c r="EV187">
        <v>0</v>
      </c>
      <c r="EW187">
        <v>0</v>
      </c>
      <c r="EX187">
        <v>0</v>
      </c>
      <c r="EY187">
        <v>0</v>
      </c>
      <c r="FQ187">
        <v>0</v>
      </c>
      <c r="FR187">
        <f t="shared" si="127"/>
        <v>0</v>
      </c>
      <c r="FS187">
        <v>0</v>
      </c>
      <c r="FX187">
        <v>0</v>
      </c>
      <c r="FY187">
        <v>0</v>
      </c>
      <c r="GA187" t="s">
        <v>3</v>
      </c>
      <c r="GD187">
        <v>1</v>
      </c>
      <c r="GF187">
        <v>759456373</v>
      </c>
      <c r="GG187">
        <v>2</v>
      </c>
      <c r="GH187">
        <v>1</v>
      </c>
      <c r="GI187">
        <v>-2</v>
      </c>
      <c r="GJ187">
        <v>0</v>
      </c>
      <c r="GK187">
        <v>0</v>
      </c>
      <c r="GL187">
        <f t="shared" si="128"/>
        <v>0</v>
      </c>
      <c r="GM187">
        <f>ROUND(O187+X187+Y187,2)+GX187</f>
        <v>19221.240000000002</v>
      </c>
      <c r="GN187">
        <f>IF(OR(BI187=0,BI187=1),ROUND(O187+X187+Y187,2),0)</f>
        <v>0</v>
      </c>
      <c r="GO187">
        <f>IF(BI187=2,ROUND(O187+X187+Y187,2),0)</f>
        <v>0</v>
      </c>
      <c r="GP187">
        <f>IF(BI187=4,ROUND(O187+X187+Y187,2)+GX187,0)</f>
        <v>19221.240000000002</v>
      </c>
      <c r="GR187">
        <v>0</v>
      </c>
      <c r="GS187">
        <v>3</v>
      </c>
      <c r="GT187">
        <v>0</v>
      </c>
      <c r="GU187" t="s">
        <v>3</v>
      </c>
      <c r="GV187">
        <f t="shared" si="129"/>
        <v>0</v>
      </c>
      <c r="GW187">
        <v>1</v>
      </c>
      <c r="GX187">
        <f t="shared" si="130"/>
        <v>0</v>
      </c>
      <c r="HA187">
        <v>0</v>
      </c>
      <c r="HB187">
        <v>0</v>
      </c>
      <c r="HC187">
        <f t="shared" si="131"/>
        <v>0</v>
      </c>
      <c r="IK187">
        <v>0</v>
      </c>
    </row>
    <row r="188" spans="1:245" x14ac:dyDescent="0.2">
      <c r="A188">
        <v>17</v>
      </c>
      <c r="B188">
        <v>1</v>
      </c>
      <c r="C188">
        <f>ROW(SmtRes!A61)</f>
        <v>61</v>
      </c>
      <c r="D188">
        <f>ROW(EtalonRes!A61)</f>
        <v>61</v>
      </c>
      <c r="E188" t="s">
        <v>162</v>
      </c>
      <c r="F188" t="s">
        <v>54</v>
      </c>
      <c r="G188" t="s">
        <v>163</v>
      </c>
      <c r="H188" t="s">
        <v>50</v>
      </c>
      <c r="I188">
        <v>372</v>
      </c>
      <c r="J188">
        <v>0</v>
      </c>
      <c r="O188">
        <f t="shared" si="101"/>
        <v>254250.84</v>
      </c>
      <c r="P188">
        <f t="shared" si="102"/>
        <v>0</v>
      </c>
      <c r="Q188">
        <f t="shared" si="103"/>
        <v>254250.84</v>
      </c>
      <c r="R188">
        <f t="shared" si="104"/>
        <v>148707</v>
      </c>
      <c r="S188">
        <f t="shared" si="105"/>
        <v>0</v>
      </c>
      <c r="T188">
        <f t="shared" si="106"/>
        <v>0</v>
      </c>
      <c r="U188">
        <f t="shared" si="107"/>
        <v>0</v>
      </c>
      <c r="V188">
        <f t="shared" si="108"/>
        <v>0</v>
      </c>
      <c r="W188">
        <f t="shared" si="109"/>
        <v>0</v>
      </c>
      <c r="X188">
        <f t="shared" si="110"/>
        <v>0</v>
      </c>
      <c r="Y188">
        <f t="shared" si="111"/>
        <v>0</v>
      </c>
      <c r="AA188">
        <v>53202630</v>
      </c>
      <c r="AB188">
        <f t="shared" si="112"/>
        <v>683.47</v>
      </c>
      <c r="AC188">
        <f>ROUND(((ES188*41)),6)</f>
        <v>0</v>
      </c>
      <c r="AD188">
        <f>ROUND(((((ET188*41))-((EU188*41)))+AE188),6)</f>
        <v>683.47</v>
      </c>
      <c r="AE188">
        <f>ROUND(((EU188*41)),6)</f>
        <v>399.75</v>
      </c>
      <c r="AF188">
        <f>ROUND(((EV188*41)),6)</f>
        <v>0</v>
      </c>
      <c r="AG188">
        <f t="shared" si="114"/>
        <v>0</v>
      </c>
      <c r="AH188">
        <f>((EW188*41))</f>
        <v>0</v>
      </c>
      <c r="AI188">
        <f>((EX188*41))</f>
        <v>0</v>
      </c>
      <c r="AJ188">
        <f t="shared" si="116"/>
        <v>0</v>
      </c>
      <c r="AK188">
        <v>16.670000000000002</v>
      </c>
      <c r="AL188">
        <v>0</v>
      </c>
      <c r="AM188">
        <v>16.670000000000002</v>
      </c>
      <c r="AN188">
        <v>9.75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Z188">
        <v>1</v>
      </c>
      <c r="BA188">
        <v>1</v>
      </c>
      <c r="BB188">
        <v>1</v>
      </c>
      <c r="BC188">
        <v>1</v>
      </c>
      <c r="BD188" t="s">
        <v>3</v>
      </c>
      <c r="BE188" t="s">
        <v>3</v>
      </c>
      <c r="BF188" t="s">
        <v>3</v>
      </c>
      <c r="BG188" t="s">
        <v>3</v>
      </c>
      <c r="BH188">
        <v>0</v>
      </c>
      <c r="BI188">
        <v>4</v>
      </c>
      <c r="BJ188" t="s">
        <v>56</v>
      </c>
      <c r="BM188">
        <v>1</v>
      </c>
      <c r="BN188">
        <v>0</v>
      </c>
      <c r="BO188" t="s">
        <v>3</v>
      </c>
      <c r="BP188">
        <v>0</v>
      </c>
      <c r="BQ188">
        <v>1</v>
      </c>
      <c r="BR188">
        <v>0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 t="s">
        <v>3</v>
      </c>
      <c r="BZ188">
        <v>0</v>
      </c>
      <c r="CA188">
        <v>0</v>
      </c>
      <c r="CE188">
        <v>0</v>
      </c>
      <c r="CF188">
        <v>0</v>
      </c>
      <c r="CG188">
        <v>0</v>
      </c>
      <c r="CM188">
        <v>0</v>
      </c>
      <c r="CN188" t="s">
        <v>3</v>
      </c>
      <c r="CO188">
        <v>0</v>
      </c>
      <c r="CP188">
        <f t="shared" si="117"/>
        <v>254250.84</v>
      </c>
      <c r="CQ188">
        <f t="shared" si="118"/>
        <v>0</v>
      </c>
      <c r="CR188">
        <f>(((((ET188*41))*BB188-((EU188*41))*BS188)+AE188*BS188)*AV188)</f>
        <v>683.47</v>
      </c>
      <c r="CS188">
        <f t="shared" si="119"/>
        <v>399.75</v>
      </c>
      <c r="CT188">
        <f t="shared" si="120"/>
        <v>0</v>
      </c>
      <c r="CU188">
        <f t="shared" si="121"/>
        <v>0</v>
      </c>
      <c r="CV188">
        <f t="shared" si="122"/>
        <v>0</v>
      </c>
      <c r="CW188">
        <f t="shared" si="123"/>
        <v>0</v>
      </c>
      <c r="CX188">
        <f t="shared" si="124"/>
        <v>0</v>
      </c>
      <c r="CY188">
        <f t="shared" si="125"/>
        <v>0</v>
      </c>
      <c r="CZ188">
        <f t="shared" si="126"/>
        <v>0</v>
      </c>
      <c r="DC188" t="s">
        <v>3</v>
      </c>
      <c r="DD188" t="s">
        <v>57</v>
      </c>
      <c r="DE188" t="s">
        <v>57</v>
      </c>
      <c r="DF188" t="s">
        <v>57</v>
      </c>
      <c r="DG188" t="s">
        <v>57</v>
      </c>
      <c r="DH188" t="s">
        <v>3</v>
      </c>
      <c r="DI188" t="s">
        <v>57</v>
      </c>
      <c r="DJ188" t="s">
        <v>57</v>
      </c>
      <c r="DK188" t="s">
        <v>3</v>
      </c>
      <c r="DL188" t="s">
        <v>3</v>
      </c>
      <c r="DM188" t="s">
        <v>3</v>
      </c>
      <c r="DN188">
        <v>0</v>
      </c>
      <c r="DO188">
        <v>0</v>
      </c>
      <c r="DP188">
        <v>1</v>
      </c>
      <c r="DQ188">
        <v>1</v>
      </c>
      <c r="DU188">
        <v>1007</v>
      </c>
      <c r="DV188" t="s">
        <v>50</v>
      </c>
      <c r="DW188" t="s">
        <v>50</v>
      </c>
      <c r="DX188">
        <v>1</v>
      </c>
      <c r="EE188">
        <v>48810628</v>
      </c>
      <c r="EF188">
        <v>1</v>
      </c>
      <c r="EG188" t="s">
        <v>30</v>
      </c>
      <c r="EH188">
        <v>0</v>
      </c>
      <c r="EI188" t="s">
        <v>3</v>
      </c>
      <c r="EJ188">
        <v>4</v>
      </c>
      <c r="EK188">
        <v>1</v>
      </c>
      <c r="EL188" t="s">
        <v>52</v>
      </c>
      <c r="EM188" t="s">
        <v>32</v>
      </c>
      <c r="EO188" t="s">
        <v>3</v>
      </c>
      <c r="EQ188">
        <v>131072</v>
      </c>
      <c r="ER188">
        <v>16.670000000000002</v>
      </c>
      <c r="ES188">
        <v>0</v>
      </c>
      <c r="ET188">
        <v>16.670000000000002</v>
      </c>
      <c r="EU188">
        <v>9.75</v>
      </c>
      <c r="EV188">
        <v>0</v>
      </c>
      <c r="EW188">
        <v>0</v>
      </c>
      <c r="EX188">
        <v>0</v>
      </c>
      <c r="EY188">
        <v>0</v>
      </c>
      <c r="FQ188">
        <v>0</v>
      </c>
      <c r="FR188">
        <f t="shared" si="127"/>
        <v>0</v>
      </c>
      <c r="FS188">
        <v>0</v>
      </c>
      <c r="FX188">
        <v>0</v>
      </c>
      <c r="FY188">
        <v>0</v>
      </c>
      <c r="GA188" t="s">
        <v>3</v>
      </c>
      <c r="GD188">
        <v>1</v>
      </c>
      <c r="GF188">
        <v>-1926785046</v>
      </c>
      <c r="GG188">
        <v>2</v>
      </c>
      <c r="GH188">
        <v>1</v>
      </c>
      <c r="GI188">
        <v>-2</v>
      </c>
      <c r="GJ188">
        <v>0</v>
      </c>
      <c r="GK188">
        <v>0</v>
      </c>
      <c r="GL188">
        <f t="shared" si="128"/>
        <v>0</v>
      </c>
      <c r="GM188">
        <f>ROUND(O188+X188+Y188,2)+GX188</f>
        <v>254250.84</v>
      </c>
      <c r="GN188">
        <f>IF(OR(BI188=0,BI188=1),ROUND(O188+X188+Y188,2),0)</f>
        <v>0</v>
      </c>
      <c r="GO188">
        <f>IF(BI188=2,ROUND(O188+X188+Y188,2),0)</f>
        <v>0</v>
      </c>
      <c r="GP188">
        <f>IF(BI188=4,ROUND(O188+X188+Y188,2)+GX188,0)</f>
        <v>254250.84</v>
      </c>
      <c r="GR188">
        <v>0</v>
      </c>
      <c r="GS188">
        <v>3</v>
      </c>
      <c r="GT188">
        <v>0</v>
      </c>
      <c r="GU188" t="s">
        <v>3</v>
      </c>
      <c r="GV188">
        <f t="shared" si="129"/>
        <v>0</v>
      </c>
      <c r="GW188">
        <v>1</v>
      </c>
      <c r="GX188">
        <f t="shared" si="130"/>
        <v>0</v>
      </c>
      <c r="HA188">
        <v>0</v>
      </c>
      <c r="HB188">
        <v>0</v>
      </c>
      <c r="HC188">
        <f t="shared" si="131"/>
        <v>0</v>
      </c>
      <c r="IK188">
        <v>0</v>
      </c>
    </row>
    <row r="189" spans="1:245" x14ac:dyDescent="0.2">
      <c r="A189">
        <v>17</v>
      </c>
      <c r="B189">
        <v>1</v>
      </c>
      <c r="C189">
        <f>ROW(SmtRes!A67)</f>
        <v>67</v>
      </c>
      <c r="D189">
        <f>ROW(EtalonRes!A67)</f>
        <v>67</v>
      </c>
      <c r="E189" t="s">
        <v>164</v>
      </c>
      <c r="F189" t="s">
        <v>165</v>
      </c>
      <c r="G189" t="s">
        <v>166</v>
      </c>
      <c r="H189" t="s">
        <v>61</v>
      </c>
      <c r="I189">
        <f>ROUND(120/10,9)</f>
        <v>12</v>
      </c>
      <c r="J189">
        <v>0</v>
      </c>
      <c r="O189">
        <f t="shared" si="101"/>
        <v>839796</v>
      </c>
      <c r="P189">
        <f t="shared" si="102"/>
        <v>231663</v>
      </c>
      <c r="Q189">
        <f t="shared" si="103"/>
        <v>4110.3599999999997</v>
      </c>
      <c r="R189">
        <f t="shared" si="104"/>
        <v>4.08</v>
      </c>
      <c r="S189">
        <f t="shared" si="105"/>
        <v>604022.64</v>
      </c>
      <c r="T189">
        <f t="shared" si="106"/>
        <v>0</v>
      </c>
      <c r="U189">
        <f t="shared" si="107"/>
        <v>2773.8</v>
      </c>
      <c r="V189">
        <f t="shared" si="108"/>
        <v>0</v>
      </c>
      <c r="W189">
        <f t="shared" si="109"/>
        <v>0</v>
      </c>
      <c r="X189">
        <f t="shared" si="110"/>
        <v>422815.85</v>
      </c>
      <c r="Y189">
        <f t="shared" si="111"/>
        <v>0</v>
      </c>
      <c r="AA189">
        <v>53202630</v>
      </c>
      <c r="AB189">
        <f t="shared" si="112"/>
        <v>69983</v>
      </c>
      <c r="AC189">
        <f>ROUND((ES189),6)</f>
        <v>19305.25</v>
      </c>
      <c r="AD189">
        <f>ROUND((((ET189)-(EU189))+AE189),6)</f>
        <v>342.53</v>
      </c>
      <c r="AE189">
        <f t="shared" ref="AE189:AF191" si="132">ROUND((EU189),6)</f>
        <v>0.34</v>
      </c>
      <c r="AF189">
        <f t="shared" si="132"/>
        <v>50335.22</v>
      </c>
      <c r="AG189">
        <f t="shared" si="114"/>
        <v>0</v>
      </c>
      <c r="AH189">
        <f t="shared" ref="AH189:AI191" si="133">(EW189)</f>
        <v>231.15</v>
      </c>
      <c r="AI189">
        <f t="shared" si="133"/>
        <v>0</v>
      </c>
      <c r="AJ189">
        <f t="shared" si="116"/>
        <v>0</v>
      </c>
      <c r="AK189">
        <v>69983</v>
      </c>
      <c r="AL189">
        <v>19305.25</v>
      </c>
      <c r="AM189">
        <v>342.53</v>
      </c>
      <c r="AN189">
        <v>0.34</v>
      </c>
      <c r="AO189">
        <v>50335.22</v>
      </c>
      <c r="AP189">
        <v>0</v>
      </c>
      <c r="AQ189">
        <v>231.15</v>
      </c>
      <c r="AR189">
        <v>0</v>
      </c>
      <c r="AS189">
        <v>0</v>
      </c>
      <c r="AT189">
        <v>70</v>
      </c>
      <c r="AU189">
        <v>0</v>
      </c>
      <c r="AV189">
        <v>1</v>
      </c>
      <c r="AW189">
        <v>1</v>
      </c>
      <c r="AZ189">
        <v>1</v>
      </c>
      <c r="BA189">
        <v>1</v>
      </c>
      <c r="BB189">
        <v>1</v>
      </c>
      <c r="BC189">
        <v>1</v>
      </c>
      <c r="BD189" t="s">
        <v>3</v>
      </c>
      <c r="BE189" t="s">
        <v>3</v>
      </c>
      <c r="BF189" t="s">
        <v>3</v>
      </c>
      <c r="BG189" t="s">
        <v>3</v>
      </c>
      <c r="BH189">
        <v>0</v>
      </c>
      <c r="BI189">
        <v>4</v>
      </c>
      <c r="BJ189" t="s">
        <v>167</v>
      </c>
      <c r="BM189">
        <v>0</v>
      </c>
      <c r="BN189">
        <v>0</v>
      </c>
      <c r="BO189" t="s">
        <v>3</v>
      </c>
      <c r="BP189">
        <v>0</v>
      </c>
      <c r="BQ189">
        <v>1</v>
      </c>
      <c r="BR189">
        <v>0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 t="s">
        <v>3</v>
      </c>
      <c r="BZ189">
        <v>70</v>
      </c>
      <c r="CA189">
        <v>0</v>
      </c>
      <c r="CE189">
        <v>0</v>
      </c>
      <c r="CF189">
        <v>0</v>
      </c>
      <c r="CG189">
        <v>0</v>
      </c>
      <c r="CM189">
        <v>0</v>
      </c>
      <c r="CN189" t="s">
        <v>3</v>
      </c>
      <c r="CO189">
        <v>0</v>
      </c>
      <c r="CP189">
        <f t="shared" si="117"/>
        <v>839796</v>
      </c>
      <c r="CQ189">
        <f t="shared" si="118"/>
        <v>19305.25</v>
      </c>
      <c r="CR189">
        <f>((((ET189)*BB189-(EU189)*BS189)+AE189*BS189)*AV189)</f>
        <v>342.53</v>
      </c>
      <c r="CS189">
        <f t="shared" si="119"/>
        <v>0.34</v>
      </c>
      <c r="CT189">
        <f t="shared" si="120"/>
        <v>50335.22</v>
      </c>
      <c r="CU189">
        <f t="shared" si="121"/>
        <v>0</v>
      </c>
      <c r="CV189">
        <f t="shared" si="122"/>
        <v>231.15</v>
      </c>
      <c r="CW189">
        <f t="shared" si="123"/>
        <v>0</v>
      </c>
      <c r="CX189">
        <f t="shared" si="124"/>
        <v>0</v>
      </c>
      <c r="CY189">
        <f t="shared" si="125"/>
        <v>422815.84800000006</v>
      </c>
      <c r="CZ189">
        <f t="shared" si="126"/>
        <v>0</v>
      </c>
      <c r="DC189" t="s">
        <v>3</v>
      </c>
      <c r="DD189" t="s">
        <v>3</v>
      </c>
      <c r="DE189" t="s">
        <v>3</v>
      </c>
      <c r="DF189" t="s">
        <v>3</v>
      </c>
      <c r="DG189" t="s">
        <v>3</v>
      </c>
      <c r="DH189" t="s">
        <v>3</v>
      </c>
      <c r="DI189" t="s">
        <v>3</v>
      </c>
      <c r="DJ189" t="s">
        <v>3</v>
      </c>
      <c r="DK189" t="s">
        <v>3</v>
      </c>
      <c r="DL189" t="s">
        <v>3</v>
      </c>
      <c r="DM189" t="s">
        <v>3</v>
      </c>
      <c r="DN189">
        <v>0</v>
      </c>
      <c r="DO189">
        <v>0</v>
      </c>
      <c r="DP189">
        <v>1</v>
      </c>
      <c r="DQ189">
        <v>1</v>
      </c>
      <c r="DU189">
        <v>1010</v>
      </c>
      <c r="DV189" t="s">
        <v>61</v>
      </c>
      <c r="DW189" t="s">
        <v>61</v>
      </c>
      <c r="DX189">
        <v>10</v>
      </c>
      <c r="EE189">
        <v>48810626</v>
      </c>
      <c r="EF189">
        <v>1</v>
      </c>
      <c r="EG189" t="s">
        <v>30</v>
      </c>
      <c r="EH189">
        <v>0</v>
      </c>
      <c r="EI189" t="s">
        <v>3</v>
      </c>
      <c r="EJ189">
        <v>4</v>
      </c>
      <c r="EK189">
        <v>0</v>
      </c>
      <c r="EL189" t="s">
        <v>31</v>
      </c>
      <c r="EM189" t="s">
        <v>32</v>
      </c>
      <c r="EO189" t="s">
        <v>3</v>
      </c>
      <c r="EQ189">
        <v>131072</v>
      </c>
      <c r="ER189">
        <v>69983</v>
      </c>
      <c r="ES189">
        <v>19305.25</v>
      </c>
      <c r="ET189">
        <v>342.53</v>
      </c>
      <c r="EU189">
        <v>0.34</v>
      </c>
      <c r="EV189">
        <v>50335.22</v>
      </c>
      <c r="EW189">
        <v>231.15</v>
      </c>
      <c r="EX189">
        <v>0</v>
      </c>
      <c r="EY189">
        <v>0</v>
      </c>
      <c r="FQ189">
        <v>0</v>
      </c>
      <c r="FR189">
        <f t="shared" si="127"/>
        <v>0</v>
      </c>
      <c r="FS189">
        <v>0</v>
      </c>
      <c r="FX189">
        <v>70</v>
      </c>
      <c r="FY189">
        <v>0</v>
      </c>
      <c r="GA189" t="s">
        <v>3</v>
      </c>
      <c r="GD189">
        <v>0</v>
      </c>
      <c r="GF189">
        <v>-1289919972</v>
      </c>
      <c r="GG189">
        <v>2</v>
      </c>
      <c r="GH189">
        <v>1</v>
      </c>
      <c r="GI189">
        <v>-2</v>
      </c>
      <c r="GJ189">
        <v>0</v>
      </c>
      <c r="GK189">
        <f>ROUND(R189*(R12)/100,2)</f>
        <v>3.18</v>
      </c>
      <c r="GL189">
        <f t="shared" si="128"/>
        <v>0</v>
      </c>
      <c r="GM189">
        <f>ROUND(O189+X189+Y189+GK189,2)+GX189</f>
        <v>1262615.03</v>
      </c>
      <c r="GN189">
        <f>IF(OR(BI189=0,BI189=1),ROUND(O189+X189+Y189+GK189,2),0)</f>
        <v>0</v>
      </c>
      <c r="GO189">
        <f>IF(BI189=2,ROUND(O189+X189+Y189+GK189,2),0)</f>
        <v>0</v>
      </c>
      <c r="GP189">
        <f>IF(BI189=4,ROUND(O189+X189+Y189+GK189,2)+GX189,0)</f>
        <v>1262615.03</v>
      </c>
      <c r="GR189">
        <v>0</v>
      </c>
      <c r="GS189">
        <v>3</v>
      </c>
      <c r="GT189">
        <v>0</v>
      </c>
      <c r="GU189" t="s">
        <v>3</v>
      </c>
      <c r="GV189">
        <f t="shared" si="129"/>
        <v>0</v>
      </c>
      <c r="GW189">
        <v>1</v>
      </c>
      <c r="GX189">
        <f t="shared" si="130"/>
        <v>0</v>
      </c>
      <c r="HA189">
        <v>0</v>
      </c>
      <c r="HB189">
        <v>0</v>
      </c>
      <c r="HC189">
        <f t="shared" si="131"/>
        <v>0</v>
      </c>
      <c r="IK189">
        <v>0</v>
      </c>
    </row>
    <row r="190" spans="1:245" x14ac:dyDescent="0.2">
      <c r="A190">
        <v>17</v>
      </c>
      <c r="B190">
        <v>1</v>
      </c>
      <c r="C190">
        <f>ROW(SmtRes!A74)</f>
        <v>74</v>
      </c>
      <c r="D190">
        <f>ROW(EtalonRes!A74)</f>
        <v>74</v>
      </c>
      <c r="E190" t="s">
        <v>168</v>
      </c>
      <c r="F190" t="s">
        <v>169</v>
      </c>
      <c r="G190" t="s">
        <v>170</v>
      </c>
      <c r="H190" t="s">
        <v>61</v>
      </c>
      <c r="I190">
        <f>ROUND(120/10,9)</f>
        <v>12</v>
      </c>
      <c r="J190">
        <v>0</v>
      </c>
      <c r="O190">
        <f t="shared" si="101"/>
        <v>247224.12</v>
      </c>
      <c r="P190">
        <f t="shared" si="102"/>
        <v>11419.2</v>
      </c>
      <c r="Q190">
        <f t="shared" si="103"/>
        <v>51041.279999999999</v>
      </c>
      <c r="R190">
        <f t="shared" si="104"/>
        <v>11468.28</v>
      </c>
      <c r="S190">
        <f t="shared" si="105"/>
        <v>184763.64</v>
      </c>
      <c r="T190">
        <f t="shared" si="106"/>
        <v>0</v>
      </c>
      <c r="U190">
        <f t="shared" si="107"/>
        <v>816.96</v>
      </c>
      <c r="V190">
        <f t="shared" si="108"/>
        <v>0</v>
      </c>
      <c r="W190">
        <f t="shared" si="109"/>
        <v>0</v>
      </c>
      <c r="X190">
        <f t="shared" si="110"/>
        <v>129334.55</v>
      </c>
      <c r="Y190">
        <f t="shared" si="111"/>
        <v>0</v>
      </c>
      <c r="AA190">
        <v>53202630</v>
      </c>
      <c r="AB190">
        <f t="shared" si="112"/>
        <v>20602.009999999998</v>
      </c>
      <c r="AC190">
        <f>ROUND((ES190),6)</f>
        <v>951.6</v>
      </c>
      <c r="AD190">
        <f>ROUND((((ET190)-(EU190))+AE190),6)</f>
        <v>4253.4399999999996</v>
      </c>
      <c r="AE190">
        <f t="shared" si="132"/>
        <v>955.69</v>
      </c>
      <c r="AF190">
        <f t="shared" si="132"/>
        <v>15396.97</v>
      </c>
      <c r="AG190">
        <f t="shared" si="114"/>
        <v>0</v>
      </c>
      <c r="AH190">
        <f t="shared" si="133"/>
        <v>68.08</v>
      </c>
      <c r="AI190">
        <f t="shared" si="133"/>
        <v>0</v>
      </c>
      <c r="AJ190">
        <f t="shared" si="116"/>
        <v>0</v>
      </c>
      <c r="AK190">
        <v>20602.009999999998</v>
      </c>
      <c r="AL190">
        <v>951.6</v>
      </c>
      <c r="AM190">
        <v>4253.4399999999996</v>
      </c>
      <c r="AN190">
        <v>955.69</v>
      </c>
      <c r="AO190">
        <v>15396.97</v>
      </c>
      <c r="AP190">
        <v>0</v>
      </c>
      <c r="AQ190">
        <v>68.08</v>
      </c>
      <c r="AR190">
        <v>0</v>
      </c>
      <c r="AS190">
        <v>0</v>
      </c>
      <c r="AT190">
        <v>70</v>
      </c>
      <c r="AU190">
        <v>0</v>
      </c>
      <c r="AV190">
        <v>1</v>
      </c>
      <c r="AW190">
        <v>1</v>
      </c>
      <c r="AZ190">
        <v>1</v>
      </c>
      <c r="BA190">
        <v>1</v>
      </c>
      <c r="BB190">
        <v>1</v>
      </c>
      <c r="BC190">
        <v>1</v>
      </c>
      <c r="BD190" t="s">
        <v>3</v>
      </c>
      <c r="BE190" t="s">
        <v>3</v>
      </c>
      <c r="BF190" t="s">
        <v>3</v>
      </c>
      <c r="BG190" t="s">
        <v>3</v>
      </c>
      <c r="BH190">
        <v>0</v>
      </c>
      <c r="BI190">
        <v>4</v>
      </c>
      <c r="BJ190" t="s">
        <v>171</v>
      </c>
      <c r="BM190">
        <v>0</v>
      </c>
      <c r="BN190">
        <v>0</v>
      </c>
      <c r="BO190" t="s">
        <v>3</v>
      </c>
      <c r="BP190">
        <v>0</v>
      </c>
      <c r="BQ190">
        <v>1</v>
      </c>
      <c r="BR190">
        <v>0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 t="s">
        <v>3</v>
      </c>
      <c r="BZ190">
        <v>70</v>
      </c>
      <c r="CA190">
        <v>0</v>
      </c>
      <c r="CE190">
        <v>0</v>
      </c>
      <c r="CF190">
        <v>0</v>
      </c>
      <c r="CG190">
        <v>0</v>
      </c>
      <c r="CM190">
        <v>0</v>
      </c>
      <c r="CN190" t="s">
        <v>3</v>
      </c>
      <c r="CO190">
        <v>0</v>
      </c>
      <c r="CP190">
        <f t="shared" si="117"/>
        <v>247224.12</v>
      </c>
      <c r="CQ190">
        <f t="shared" si="118"/>
        <v>951.6</v>
      </c>
      <c r="CR190">
        <f>((((ET190)*BB190-(EU190)*BS190)+AE190*BS190)*AV190)</f>
        <v>4253.4399999999996</v>
      </c>
      <c r="CS190">
        <f t="shared" si="119"/>
        <v>955.69</v>
      </c>
      <c r="CT190">
        <f t="shared" si="120"/>
        <v>15396.97</v>
      </c>
      <c r="CU190">
        <f t="shared" si="121"/>
        <v>0</v>
      </c>
      <c r="CV190">
        <f t="shared" si="122"/>
        <v>68.08</v>
      </c>
      <c r="CW190">
        <f t="shared" si="123"/>
        <v>0</v>
      </c>
      <c r="CX190">
        <f t="shared" si="124"/>
        <v>0</v>
      </c>
      <c r="CY190">
        <f t="shared" si="125"/>
        <v>129334.54800000001</v>
      </c>
      <c r="CZ190">
        <f t="shared" si="126"/>
        <v>0</v>
      </c>
      <c r="DC190" t="s">
        <v>3</v>
      </c>
      <c r="DD190" t="s">
        <v>3</v>
      </c>
      <c r="DE190" t="s">
        <v>3</v>
      </c>
      <c r="DF190" t="s">
        <v>3</v>
      </c>
      <c r="DG190" t="s">
        <v>3</v>
      </c>
      <c r="DH190" t="s">
        <v>3</v>
      </c>
      <c r="DI190" t="s">
        <v>3</v>
      </c>
      <c r="DJ190" t="s">
        <v>3</v>
      </c>
      <c r="DK190" t="s">
        <v>3</v>
      </c>
      <c r="DL190" t="s">
        <v>3</v>
      </c>
      <c r="DM190" t="s">
        <v>3</v>
      </c>
      <c r="DN190">
        <v>0</v>
      </c>
      <c r="DO190">
        <v>0</v>
      </c>
      <c r="DP190">
        <v>1</v>
      </c>
      <c r="DQ190">
        <v>1</v>
      </c>
      <c r="DU190">
        <v>1010</v>
      </c>
      <c r="DV190" t="s">
        <v>61</v>
      </c>
      <c r="DW190" t="s">
        <v>61</v>
      </c>
      <c r="DX190">
        <v>10</v>
      </c>
      <c r="EE190">
        <v>48810626</v>
      </c>
      <c r="EF190">
        <v>1</v>
      </c>
      <c r="EG190" t="s">
        <v>30</v>
      </c>
      <c r="EH190">
        <v>0</v>
      </c>
      <c r="EI190" t="s">
        <v>3</v>
      </c>
      <c r="EJ190">
        <v>4</v>
      </c>
      <c r="EK190">
        <v>0</v>
      </c>
      <c r="EL190" t="s">
        <v>31</v>
      </c>
      <c r="EM190" t="s">
        <v>32</v>
      </c>
      <c r="EO190" t="s">
        <v>3</v>
      </c>
      <c r="EQ190">
        <v>131072</v>
      </c>
      <c r="ER190">
        <v>20602.009999999998</v>
      </c>
      <c r="ES190">
        <v>951.6</v>
      </c>
      <c r="ET190">
        <v>4253.4399999999996</v>
      </c>
      <c r="EU190">
        <v>955.69</v>
      </c>
      <c r="EV190">
        <v>15396.97</v>
      </c>
      <c r="EW190">
        <v>68.08</v>
      </c>
      <c r="EX190">
        <v>0</v>
      </c>
      <c r="EY190">
        <v>0</v>
      </c>
      <c r="FQ190">
        <v>0</v>
      </c>
      <c r="FR190">
        <f t="shared" si="127"/>
        <v>0</v>
      </c>
      <c r="FS190">
        <v>0</v>
      </c>
      <c r="FX190">
        <v>70</v>
      </c>
      <c r="FY190">
        <v>0</v>
      </c>
      <c r="GA190" t="s">
        <v>3</v>
      </c>
      <c r="GD190">
        <v>0</v>
      </c>
      <c r="GF190">
        <v>-1966813292</v>
      </c>
      <c r="GG190">
        <v>2</v>
      </c>
      <c r="GH190">
        <v>1</v>
      </c>
      <c r="GI190">
        <v>-2</v>
      </c>
      <c r="GJ190">
        <v>0</v>
      </c>
      <c r="GK190">
        <f>ROUND(R190*(R12)/100,2)</f>
        <v>8945.26</v>
      </c>
      <c r="GL190">
        <f t="shared" si="128"/>
        <v>0</v>
      </c>
      <c r="GM190">
        <f>ROUND(O190+X190+Y190+GK190,2)+GX190</f>
        <v>385503.93</v>
      </c>
      <c r="GN190">
        <f>IF(OR(BI190=0,BI190=1),ROUND(O190+X190+Y190+GK190,2),0)</f>
        <v>0</v>
      </c>
      <c r="GO190">
        <f>IF(BI190=2,ROUND(O190+X190+Y190+GK190,2),0)</f>
        <v>0</v>
      </c>
      <c r="GP190">
        <f>IF(BI190=4,ROUND(O190+X190+Y190+GK190,2)+GX190,0)</f>
        <v>385503.93</v>
      </c>
      <c r="GR190">
        <v>0</v>
      </c>
      <c r="GS190">
        <v>3</v>
      </c>
      <c r="GT190">
        <v>0</v>
      </c>
      <c r="GU190" t="s">
        <v>3</v>
      </c>
      <c r="GV190">
        <f t="shared" si="129"/>
        <v>0</v>
      </c>
      <c r="GW190">
        <v>1</v>
      </c>
      <c r="GX190">
        <f t="shared" si="130"/>
        <v>0</v>
      </c>
      <c r="HA190">
        <v>0</v>
      </c>
      <c r="HB190">
        <v>0</v>
      </c>
      <c r="HC190">
        <f t="shared" si="131"/>
        <v>0</v>
      </c>
      <c r="IK190">
        <v>0</v>
      </c>
    </row>
    <row r="191" spans="1:245" x14ac:dyDescent="0.2">
      <c r="A191">
        <v>18</v>
      </c>
      <c r="B191">
        <v>1</v>
      </c>
      <c r="C191">
        <v>73</v>
      </c>
      <c r="E191" t="s">
        <v>172</v>
      </c>
      <c r="F191" t="s">
        <v>173</v>
      </c>
      <c r="G191" t="s">
        <v>174</v>
      </c>
      <c r="H191" t="s">
        <v>70</v>
      </c>
      <c r="I191">
        <f>I190*J191</f>
        <v>120</v>
      </c>
      <c r="J191">
        <v>10</v>
      </c>
      <c r="O191">
        <f t="shared" si="101"/>
        <v>1035792</v>
      </c>
      <c r="P191">
        <f t="shared" si="102"/>
        <v>1035792</v>
      </c>
      <c r="Q191">
        <f t="shared" si="103"/>
        <v>0</v>
      </c>
      <c r="R191">
        <f t="shared" si="104"/>
        <v>0</v>
      </c>
      <c r="S191">
        <f t="shared" si="105"/>
        <v>0</v>
      </c>
      <c r="T191">
        <f t="shared" si="106"/>
        <v>0</v>
      </c>
      <c r="U191">
        <f t="shared" si="107"/>
        <v>0</v>
      </c>
      <c r="V191">
        <f t="shared" si="108"/>
        <v>0</v>
      </c>
      <c r="W191">
        <f t="shared" si="109"/>
        <v>0</v>
      </c>
      <c r="X191">
        <f t="shared" si="110"/>
        <v>0</v>
      </c>
      <c r="Y191">
        <f t="shared" si="111"/>
        <v>0</v>
      </c>
      <c r="AA191">
        <v>53202630</v>
      </c>
      <c r="AB191">
        <f t="shared" si="112"/>
        <v>8631.6</v>
      </c>
      <c r="AC191">
        <f>ROUND((ES191),6)</f>
        <v>8631.6</v>
      </c>
      <c r="AD191">
        <f>ROUND((((ET191)-(EU191))+AE191),6)</f>
        <v>0</v>
      </c>
      <c r="AE191">
        <f t="shared" si="132"/>
        <v>0</v>
      </c>
      <c r="AF191">
        <f t="shared" si="132"/>
        <v>0</v>
      </c>
      <c r="AG191">
        <f t="shared" si="114"/>
        <v>0</v>
      </c>
      <c r="AH191">
        <f t="shared" si="133"/>
        <v>0</v>
      </c>
      <c r="AI191">
        <f t="shared" si="133"/>
        <v>0</v>
      </c>
      <c r="AJ191">
        <f t="shared" si="116"/>
        <v>0</v>
      </c>
      <c r="AK191">
        <v>8631.6</v>
      </c>
      <c r="AL191">
        <v>8631.6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70</v>
      </c>
      <c r="AU191">
        <v>10</v>
      </c>
      <c r="AV191">
        <v>1</v>
      </c>
      <c r="AW191">
        <v>1</v>
      </c>
      <c r="AZ191">
        <v>1</v>
      </c>
      <c r="BA191">
        <v>1</v>
      </c>
      <c r="BB191">
        <v>1</v>
      </c>
      <c r="BC191">
        <v>1</v>
      </c>
      <c r="BD191" t="s">
        <v>3</v>
      </c>
      <c r="BE191" t="s">
        <v>3</v>
      </c>
      <c r="BF191" t="s">
        <v>3</v>
      </c>
      <c r="BG191" t="s">
        <v>3</v>
      </c>
      <c r="BH191">
        <v>3</v>
      </c>
      <c r="BI191">
        <v>4</v>
      </c>
      <c r="BJ191" t="s">
        <v>175</v>
      </c>
      <c r="BM191">
        <v>0</v>
      </c>
      <c r="BN191">
        <v>0</v>
      </c>
      <c r="BO191" t="s">
        <v>3</v>
      </c>
      <c r="BP191">
        <v>0</v>
      </c>
      <c r="BQ191">
        <v>1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 t="s">
        <v>3</v>
      </c>
      <c r="BZ191">
        <v>70</v>
      </c>
      <c r="CA191">
        <v>10</v>
      </c>
      <c r="CE191">
        <v>0</v>
      </c>
      <c r="CF191">
        <v>0</v>
      </c>
      <c r="CG191">
        <v>0</v>
      </c>
      <c r="CM191">
        <v>0</v>
      </c>
      <c r="CN191" t="s">
        <v>3</v>
      </c>
      <c r="CO191">
        <v>0</v>
      </c>
      <c r="CP191">
        <f t="shared" si="117"/>
        <v>1035792</v>
      </c>
      <c r="CQ191">
        <f t="shared" si="118"/>
        <v>8631.6</v>
      </c>
      <c r="CR191">
        <f>((((ET191)*BB191-(EU191)*BS191)+AE191*BS191)*AV191)</f>
        <v>0</v>
      </c>
      <c r="CS191">
        <f t="shared" si="119"/>
        <v>0</v>
      </c>
      <c r="CT191">
        <f t="shared" si="120"/>
        <v>0</v>
      </c>
      <c r="CU191">
        <f t="shared" si="121"/>
        <v>0</v>
      </c>
      <c r="CV191">
        <f t="shared" si="122"/>
        <v>0</v>
      </c>
      <c r="CW191">
        <f t="shared" si="123"/>
        <v>0</v>
      </c>
      <c r="CX191">
        <f t="shared" si="124"/>
        <v>0</v>
      </c>
      <c r="CY191">
        <f t="shared" si="125"/>
        <v>0</v>
      </c>
      <c r="CZ191">
        <f t="shared" si="126"/>
        <v>0</v>
      </c>
      <c r="DC191" t="s">
        <v>3</v>
      </c>
      <c r="DD191" t="s">
        <v>3</v>
      </c>
      <c r="DE191" t="s">
        <v>3</v>
      </c>
      <c r="DF191" t="s">
        <v>3</v>
      </c>
      <c r="DG191" t="s">
        <v>3</v>
      </c>
      <c r="DH191" t="s">
        <v>3</v>
      </c>
      <c r="DI191" t="s">
        <v>3</v>
      </c>
      <c r="DJ191" t="s">
        <v>3</v>
      </c>
      <c r="DK191" t="s">
        <v>3</v>
      </c>
      <c r="DL191" t="s">
        <v>3</v>
      </c>
      <c r="DM191" t="s">
        <v>3</v>
      </c>
      <c r="DN191">
        <v>0</v>
      </c>
      <c r="DO191">
        <v>0</v>
      </c>
      <c r="DP191">
        <v>1</v>
      </c>
      <c r="DQ191">
        <v>1</v>
      </c>
      <c r="DU191">
        <v>1010</v>
      </c>
      <c r="DV191" t="s">
        <v>70</v>
      </c>
      <c r="DW191" t="s">
        <v>70</v>
      </c>
      <c r="DX191">
        <v>1</v>
      </c>
      <c r="EE191">
        <v>48810626</v>
      </c>
      <c r="EF191">
        <v>1</v>
      </c>
      <c r="EG191" t="s">
        <v>30</v>
      </c>
      <c r="EH191">
        <v>0</v>
      </c>
      <c r="EI191" t="s">
        <v>3</v>
      </c>
      <c r="EJ191">
        <v>4</v>
      </c>
      <c r="EK191">
        <v>0</v>
      </c>
      <c r="EL191" t="s">
        <v>31</v>
      </c>
      <c r="EM191" t="s">
        <v>32</v>
      </c>
      <c r="EO191" t="s">
        <v>3</v>
      </c>
      <c r="EQ191">
        <v>0</v>
      </c>
      <c r="ER191">
        <v>8631.6</v>
      </c>
      <c r="ES191">
        <v>8631.6</v>
      </c>
      <c r="ET191">
        <v>0</v>
      </c>
      <c r="EU191">
        <v>0</v>
      </c>
      <c r="EV191">
        <v>0</v>
      </c>
      <c r="EW191">
        <v>0</v>
      </c>
      <c r="EX191">
        <v>0</v>
      </c>
      <c r="FQ191">
        <v>0</v>
      </c>
      <c r="FR191">
        <f t="shared" si="127"/>
        <v>0</v>
      </c>
      <c r="FS191">
        <v>0</v>
      </c>
      <c r="FX191">
        <v>70</v>
      </c>
      <c r="FY191">
        <v>10</v>
      </c>
      <c r="GA191" t="s">
        <v>3</v>
      </c>
      <c r="GD191">
        <v>0</v>
      </c>
      <c r="GF191">
        <v>-800209048</v>
      </c>
      <c r="GG191">
        <v>2</v>
      </c>
      <c r="GH191">
        <v>1</v>
      </c>
      <c r="GI191">
        <v>-2</v>
      </c>
      <c r="GJ191">
        <v>0</v>
      </c>
      <c r="GK191">
        <f>ROUND(R191*(R12)/100,2)</f>
        <v>0</v>
      </c>
      <c r="GL191">
        <f t="shared" si="128"/>
        <v>0</v>
      </c>
      <c r="GM191">
        <f>ROUND(O191+X191+Y191+GK191,2)+GX191</f>
        <v>1035792</v>
      </c>
      <c r="GN191">
        <f>IF(OR(BI191=0,BI191=1),ROUND(O191+X191+Y191+GK191,2),0)</f>
        <v>0</v>
      </c>
      <c r="GO191">
        <f>IF(BI191=2,ROUND(O191+X191+Y191+GK191,2),0)</f>
        <v>0</v>
      </c>
      <c r="GP191">
        <f>IF(BI191=4,ROUND(O191+X191+Y191+GK191,2)+GX191,0)</f>
        <v>1035792</v>
      </c>
      <c r="GR191">
        <v>0</v>
      </c>
      <c r="GS191">
        <v>3</v>
      </c>
      <c r="GT191">
        <v>0</v>
      </c>
      <c r="GU191" t="s">
        <v>3</v>
      </c>
      <c r="GV191">
        <f t="shared" si="129"/>
        <v>0</v>
      </c>
      <c r="GW191">
        <v>1</v>
      </c>
      <c r="GX191">
        <f t="shared" si="130"/>
        <v>0</v>
      </c>
      <c r="HA191">
        <v>0</v>
      </c>
      <c r="HB191">
        <v>0</v>
      </c>
      <c r="HC191">
        <f t="shared" si="131"/>
        <v>0</v>
      </c>
      <c r="IK191">
        <v>0</v>
      </c>
    </row>
    <row r="193" spans="1:206" x14ac:dyDescent="0.2">
      <c r="A193" s="2">
        <v>51</v>
      </c>
      <c r="B193" s="2">
        <f>B179</f>
        <v>1</v>
      </c>
      <c r="C193" s="2">
        <f>A179</f>
        <v>5</v>
      </c>
      <c r="D193" s="2">
        <f>ROW(A179)</f>
        <v>179</v>
      </c>
      <c r="E193" s="2"/>
      <c r="F193" s="2" t="str">
        <f>IF(F179&lt;&gt;"",F179,"")</f>
        <v>Новый подраздел</v>
      </c>
      <c r="G193" s="2" t="str">
        <f>IF(G179&lt;&gt;"",G179,"")</f>
        <v>Посадка деревьев 120 шт</v>
      </c>
      <c r="H193" s="2">
        <v>0</v>
      </c>
      <c r="I193" s="2"/>
      <c r="J193" s="2"/>
      <c r="K193" s="2"/>
      <c r="L193" s="2"/>
      <c r="M193" s="2"/>
      <c r="N193" s="2"/>
      <c r="O193" s="2">
        <f t="shared" ref="O193:T193" si="134">ROUND(AB193,2)</f>
        <v>2698881.65</v>
      </c>
      <c r="P193" s="2">
        <f t="shared" si="134"/>
        <v>1403706.63</v>
      </c>
      <c r="Q193" s="2">
        <f t="shared" si="134"/>
        <v>375816.17</v>
      </c>
      <c r="R193" s="2">
        <f t="shared" si="134"/>
        <v>191362.72</v>
      </c>
      <c r="S193" s="2">
        <f t="shared" si="134"/>
        <v>919358.85</v>
      </c>
      <c r="T193" s="2">
        <f t="shared" si="134"/>
        <v>0</v>
      </c>
      <c r="U193" s="2">
        <f>AH193</f>
        <v>4392.165</v>
      </c>
      <c r="V193" s="2">
        <f>AI193</f>
        <v>0</v>
      </c>
      <c r="W193" s="2">
        <f>ROUND(AJ193,2)</f>
        <v>0</v>
      </c>
      <c r="X193" s="2">
        <f>ROUND(AK193,2)</f>
        <v>643551.21</v>
      </c>
      <c r="Y193" s="2">
        <f>ROUND(AL193,2)</f>
        <v>0</v>
      </c>
      <c r="Z193" s="2"/>
      <c r="AA193" s="2"/>
      <c r="AB193" s="2">
        <f>ROUND(SUMIF(AA183:AA191,"=53202630",O183:O191),2)</f>
        <v>2698881.65</v>
      </c>
      <c r="AC193" s="2">
        <f>ROUND(SUMIF(AA183:AA191,"=53202630",P183:P191),2)</f>
        <v>1403706.63</v>
      </c>
      <c r="AD193" s="2">
        <f>ROUND(SUMIF(AA183:AA191,"=53202630",Q183:Q191),2)</f>
        <v>375816.17</v>
      </c>
      <c r="AE193" s="2">
        <f>ROUND(SUMIF(AA183:AA191,"=53202630",R183:R191),2)</f>
        <v>191362.72</v>
      </c>
      <c r="AF193" s="2">
        <f>ROUND(SUMIF(AA183:AA191,"=53202630",S183:S191),2)</f>
        <v>919358.85</v>
      </c>
      <c r="AG193" s="2">
        <f>ROUND(SUMIF(AA183:AA191,"=53202630",T183:T191),2)</f>
        <v>0</v>
      </c>
      <c r="AH193" s="2">
        <f>SUMIF(AA183:AA191,"=53202630",U183:U191)</f>
        <v>4392.165</v>
      </c>
      <c r="AI193" s="2">
        <f>SUMIF(AA183:AA191,"=53202630",V183:V191)</f>
        <v>0</v>
      </c>
      <c r="AJ193" s="2">
        <f>ROUND(SUMIF(AA183:AA191,"=53202630",W183:W191),2)</f>
        <v>0</v>
      </c>
      <c r="AK193" s="2">
        <f>ROUND(SUMIF(AA183:AA191,"=53202630",X183:X191),2)</f>
        <v>643551.21</v>
      </c>
      <c r="AL193" s="2">
        <f>ROUND(SUMIF(AA183:AA191,"=53202630",Y183:Y191),2)</f>
        <v>0</v>
      </c>
      <c r="AM193" s="2"/>
      <c r="AN193" s="2"/>
      <c r="AO193" s="2">
        <f t="shared" ref="AO193:BC193" si="135">ROUND(BX193,2)</f>
        <v>0</v>
      </c>
      <c r="AP193" s="2">
        <f t="shared" si="135"/>
        <v>0</v>
      </c>
      <c r="AQ193" s="2">
        <f t="shared" si="135"/>
        <v>0</v>
      </c>
      <c r="AR193" s="2">
        <f t="shared" si="135"/>
        <v>3366935.68</v>
      </c>
      <c r="AS193" s="2">
        <f t="shared" si="135"/>
        <v>0</v>
      </c>
      <c r="AT193" s="2">
        <f t="shared" si="135"/>
        <v>0</v>
      </c>
      <c r="AU193" s="2">
        <f t="shared" si="135"/>
        <v>3366935.68</v>
      </c>
      <c r="AV193" s="2">
        <f t="shared" si="135"/>
        <v>1403706.63</v>
      </c>
      <c r="AW193" s="2">
        <f t="shared" si="135"/>
        <v>1403706.63</v>
      </c>
      <c r="AX193" s="2">
        <f t="shared" si="135"/>
        <v>0</v>
      </c>
      <c r="AY193" s="2">
        <f t="shared" si="135"/>
        <v>1403706.63</v>
      </c>
      <c r="AZ193" s="2">
        <f t="shared" si="135"/>
        <v>0</v>
      </c>
      <c r="BA193" s="2">
        <f t="shared" si="135"/>
        <v>0</v>
      </c>
      <c r="BB193" s="2">
        <f t="shared" si="135"/>
        <v>0</v>
      </c>
      <c r="BC193" s="2">
        <f t="shared" si="135"/>
        <v>0</v>
      </c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>
        <f>ROUND(SUMIF(AA183:AA191,"=53202630",FQ183:FQ191),2)</f>
        <v>0</v>
      </c>
      <c r="BY193" s="2">
        <f>ROUND(SUMIF(AA183:AA191,"=53202630",FR183:FR191),2)</f>
        <v>0</v>
      </c>
      <c r="BZ193" s="2">
        <f>ROUND(SUMIF(AA183:AA191,"=53202630",GL183:GL191),2)</f>
        <v>0</v>
      </c>
      <c r="CA193" s="2">
        <f>ROUND(SUMIF(AA183:AA191,"=53202630",GM183:GM191),2)</f>
        <v>3366935.68</v>
      </c>
      <c r="CB193" s="2">
        <f>ROUND(SUMIF(AA183:AA191,"=53202630",GN183:GN191),2)</f>
        <v>0</v>
      </c>
      <c r="CC193" s="2">
        <f>ROUND(SUMIF(AA183:AA191,"=53202630",GO183:GO191),2)</f>
        <v>0</v>
      </c>
      <c r="CD193" s="2">
        <f>ROUND(SUMIF(AA183:AA191,"=53202630",GP183:GP191),2)</f>
        <v>3366935.68</v>
      </c>
      <c r="CE193" s="2">
        <f>AC193-BX193</f>
        <v>1403706.63</v>
      </c>
      <c r="CF193" s="2">
        <f>AC193-BY193</f>
        <v>1403706.63</v>
      </c>
      <c r="CG193" s="2">
        <f>BX193-BZ193</f>
        <v>0</v>
      </c>
      <c r="CH193" s="2">
        <f>AC193-BX193-BY193+BZ193</f>
        <v>1403706.63</v>
      </c>
      <c r="CI193" s="2">
        <f>BY193-BZ193</f>
        <v>0</v>
      </c>
      <c r="CJ193" s="2">
        <f>ROUND(SUMIF(AA183:AA191,"=53202630",GX183:GX191),2)</f>
        <v>0</v>
      </c>
      <c r="CK193" s="2">
        <f>ROUND(SUMIF(AA183:AA191,"=53202630",GY183:GY191),2)</f>
        <v>0</v>
      </c>
      <c r="CL193" s="2">
        <f>ROUND(SUMIF(AA183:AA191,"=53202630",GZ183:GZ191),2)</f>
        <v>0</v>
      </c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>
        <v>0</v>
      </c>
    </row>
    <row r="195" spans="1:206" x14ac:dyDescent="0.2">
      <c r="A195" s="4">
        <v>50</v>
      </c>
      <c r="B195" s="4">
        <v>0</v>
      </c>
      <c r="C195" s="4">
        <v>0</v>
      </c>
      <c r="D195" s="4">
        <v>1</v>
      </c>
      <c r="E195" s="4">
        <v>201</v>
      </c>
      <c r="F195" s="4">
        <f>ROUND(Source!O193,O195)</f>
        <v>2698881.65</v>
      </c>
      <c r="G195" s="4" t="s">
        <v>72</v>
      </c>
      <c r="H195" s="4" t="s">
        <v>73</v>
      </c>
      <c r="I195" s="4"/>
      <c r="J195" s="4"/>
      <c r="K195" s="4">
        <v>201</v>
      </c>
      <c r="L195" s="4">
        <v>1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06" x14ac:dyDescent="0.2">
      <c r="A196" s="4">
        <v>50</v>
      </c>
      <c r="B196" s="4">
        <v>0</v>
      </c>
      <c r="C196" s="4">
        <v>0</v>
      </c>
      <c r="D196" s="4">
        <v>1</v>
      </c>
      <c r="E196" s="4">
        <v>202</v>
      </c>
      <c r="F196" s="4">
        <f>ROUND(Source!P193,O196)</f>
        <v>1403706.63</v>
      </c>
      <c r="G196" s="4" t="s">
        <v>74</v>
      </c>
      <c r="H196" s="4" t="s">
        <v>75</v>
      </c>
      <c r="I196" s="4"/>
      <c r="J196" s="4"/>
      <c r="K196" s="4">
        <v>202</v>
      </c>
      <c r="L196" s="4">
        <v>2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06" x14ac:dyDescent="0.2">
      <c r="A197" s="4">
        <v>50</v>
      </c>
      <c r="B197" s="4">
        <v>0</v>
      </c>
      <c r="C197" s="4">
        <v>0</v>
      </c>
      <c r="D197" s="4">
        <v>1</v>
      </c>
      <c r="E197" s="4">
        <v>222</v>
      </c>
      <c r="F197" s="4">
        <f>ROUND(Source!AO193,O197)</f>
        <v>0</v>
      </c>
      <c r="G197" s="4" t="s">
        <v>76</v>
      </c>
      <c r="H197" s="4" t="s">
        <v>77</v>
      </c>
      <c r="I197" s="4"/>
      <c r="J197" s="4"/>
      <c r="K197" s="4">
        <v>222</v>
      </c>
      <c r="L197" s="4">
        <v>3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06" x14ac:dyDescent="0.2">
      <c r="A198" s="4">
        <v>50</v>
      </c>
      <c r="B198" s="4">
        <v>0</v>
      </c>
      <c r="C198" s="4">
        <v>0</v>
      </c>
      <c r="D198" s="4">
        <v>1</v>
      </c>
      <c r="E198" s="4">
        <v>225</v>
      </c>
      <c r="F198" s="4">
        <f>ROUND(Source!AV193,O198)</f>
        <v>1403706.63</v>
      </c>
      <c r="G198" s="4" t="s">
        <v>78</v>
      </c>
      <c r="H198" s="4" t="s">
        <v>79</v>
      </c>
      <c r="I198" s="4"/>
      <c r="J198" s="4"/>
      <c r="K198" s="4">
        <v>225</v>
      </c>
      <c r="L198" s="4">
        <v>4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06" x14ac:dyDescent="0.2">
      <c r="A199" s="4">
        <v>50</v>
      </c>
      <c r="B199" s="4">
        <v>0</v>
      </c>
      <c r="C199" s="4">
        <v>0</v>
      </c>
      <c r="D199" s="4">
        <v>1</v>
      </c>
      <c r="E199" s="4">
        <v>226</v>
      </c>
      <c r="F199" s="4">
        <f>ROUND(Source!AW193,O199)</f>
        <v>1403706.63</v>
      </c>
      <c r="G199" s="4" t="s">
        <v>80</v>
      </c>
      <c r="H199" s="4" t="s">
        <v>81</v>
      </c>
      <c r="I199" s="4"/>
      <c r="J199" s="4"/>
      <c r="K199" s="4">
        <v>226</v>
      </c>
      <c r="L199" s="4">
        <v>5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06" x14ac:dyDescent="0.2">
      <c r="A200" s="4">
        <v>50</v>
      </c>
      <c r="B200" s="4">
        <v>0</v>
      </c>
      <c r="C200" s="4">
        <v>0</v>
      </c>
      <c r="D200" s="4">
        <v>1</v>
      </c>
      <c r="E200" s="4">
        <v>227</v>
      </c>
      <c r="F200" s="4">
        <f>ROUND(Source!AX193,O200)</f>
        <v>0</v>
      </c>
      <c r="G200" s="4" t="s">
        <v>82</v>
      </c>
      <c r="H200" s="4" t="s">
        <v>83</v>
      </c>
      <c r="I200" s="4"/>
      <c r="J200" s="4"/>
      <c r="K200" s="4">
        <v>227</v>
      </c>
      <c r="L200" s="4">
        <v>6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06" x14ac:dyDescent="0.2">
      <c r="A201" s="4">
        <v>50</v>
      </c>
      <c r="B201" s="4">
        <v>0</v>
      </c>
      <c r="C201" s="4">
        <v>0</v>
      </c>
      <c r="D201" s="4">
        <v>1</v>
      </c>
      <c r="E201" s="4">
        <v>228</v>
      </c>
      <c r="F201" s="4">
        <f>ROUND(Source!AY193,O201)</f>
        <v>1403706.63</v>
      </c>
      <c r="G201" s="4" t="s">
        <v>84</v>
      </c>
      <c r="H201" s="4" t="s">
        <v>85</v>
      </c>
      <c r="I201" s="4"/>
      <c r="J201" s="4"/>
      <c r="K201" s="4">
        <v>228</v>
      </c>
      <c r="L201" s="4">
        <v>7</v>
      </c>
      <c r="M201" s="4">
        <v>3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06" x14ac:dyDescent="0.2">
      <c r="A202" s="4">
        <v>50</v>
      </c>
      <c r="B202" s="4">
        <v>0</v>
      </c>
      <c r="C202" s="4">
        <v>0</v>
      </c>
      <c r="D202" s="4">
        <v>1</v>
      </c>
      <c r="E202" s="4">
        <v>216</v>
      </c>
      <c r="F202" s="4">
        <f>ROUND(Source!AP193,O202)</f>
        <v>0</v>
      </c>
      <c r="G202" s="4" t="s">
        <v>86</v>
      </c>
      <c r="H202" s="4" t="s">
        <v>87</v>
      </c>
      <c r="I202" s="4"/>
      <c r="J202" s="4"/>
      <c r="K202" s="4">
        <v>216</v>
      </c>
      <c r="L202" s="4">
        <v>8</v>
      </c>
      <c r="M202" s="4">
        <v>3</v>
      </c>
      <c r="N202" s="4" t="s">
        <v>3</v>
      </c>
      <c r="O202" s="4">
        <v>2</v>
      </c>
      <c r="P202" s="4"/>
      <c r="Q202" s="4"/>
      <c r="R202" s="4"/>
      <c r="S202" s="4"/>
      <c r="T202" s="4"/>
      <c r="U202" s="4"/>
      <c r="V202" s="4"/>
      <c r="W202" s="4"/>
    </row>
    <row r="203" spans="1:206" x14ac:dyDescent="0.2">
      <c r="A203" s="4">
        <v>50</v>
      </c>
      <c r="B203" s="4">
        <v>0</v>
      </c>
      <c r="C203" s="4">
        <v>0</v>
      </c>
      <c r="D203" s="4">
        <v>1</v>
      </c>
      <c r="E203" s="4">
        <v>223</v>
      </c>
      <c r="F203" s="4">
        <f>ROUND(Source!AQ193,O203)</f>
        <v>0</v>
      </c>
      <c r="G203" s="4" t="s">
        <v>88</v>
      </c>
      <c r="H203" s="4" t="s">
        <v>89</v>
      </c>
      <c r="I203" s="4"/>
      <c r="J203" s="4"/>
      <c r="K203" s="4">
        <v>223</v>
      </c>
      <c r="L203" s="4">
        <v>9</v>
      </c>
      <c r="M203" s="4">
        <v>3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206" x14ac:dyDescent="0.2">
      <c r="A204" s="4">
        <v>50</v>
      </c>
      <c r="B204" s="4">
        <v>0</v>
      </c>
      <c r="C204" s="4">
        <v>0</v>
      </c>
      <c r="D204" s="4">
        <v>1</v>
      </c>
      <c r="E204" s="4">
        <v>229</v>
      </c>
      <c r="F204" s="4">
        <f>ROUND(Source!AZ193,O204)</f>
        <v>0</v>
      </c>
      <c r="G204" s="4" t="s">
        <v>90</v>
      </c>
      <c r="H204" s="4" t="s">
        <v>91</v>
      </c>
      <c r="I204" s="4"/>
      <c r="J204" s="4"/>
      <c r="K204" s="4">
        <v>229</v>
      </c>
      <c r="L204" s="4">
        <v>10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06" x14ac:dyDescent="0.2">
      <c r="A205" s="4">
        <v>50</v>
      </c>
      <c r="B205" s="4">
        <v>0</v>
      </c>
      <c r="C205" s="4">
        <v>0</v>
      </c>
      <c r="D205" s="4">
        <v>1</v>
      </c>
      <c r="E205" s="4">
        <v>203</v>
      </c>
      <c r="F205" s="4">
        <f>ROUND(Source!Q193,O205)</f>
        <v>375816.17</v>
      </c>
      <c r="G205" s="4" t="s">
        <v>92</v>
      </c>
      <c r="H205" s="4" t="s">
        <v>93</v>
      </c>
      <c r="I205" s="4"/>
      <c r="J205" s="4"/>
      <c r="K205" s="4">
        <v>203</v>
      </c>
      <c r="L205" s="4">
        <v>11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206" x14ac:dyDescent="0.2">
      <c r="A206" s="4">
        <v>50</v>
      </c>
      <c r="B206" s="4">
        <v>0</v>
      </c>
      <c r="C206" s="4">
        <v>0</v>
      </c>
      <c r="D206" s="4">
        <v>1</v>
      </c>
      <c r="E206" s="4">
        <v>231</v>
      </c>
      <c r="F206" s="4">
        <f>ROUND(Source!BB193,O206)</f>
        <v>0</v>
      </c>
      <c r="G206" s="4" t="s">
        <v>94</v>
      </c>
      <c r="H206" s="4" t="s">
        <v>95</v>
      </c>
      <c r="I206" s="4"/>
      <c r="J206" s="4"/>
      <c r="K206" s="4">
        <v>231</v>
      </c>
      <c r="L206" s="4">
        <v>12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7" spans="1:206" x14ac:dyDescent="0.2">
      <c r="A207" s="4">
        <v>50</v>
      </c>
      <c r="B207" s="4">
        <v>0</v>
      </c>
      <c r="C207" s="4">
        <v>0</v>
      </c>
      <c r="D207" s="4">
        <v>1</v>
      </c>
      <c r="E207" s="4">
        <v>204</v>
      </c>
      <c r="F207" s="4">
        <f>ROUND(Source!R193,O207)</f>
        <v>191362.72</v>
      </c>
      <c r="G207" s="4" t="s">
        <v>96</v>
      </c>
      <c r="H207" s="4" t="s">
        <v>97</v>
      </c>
      <c r="I207" s="4"/>
      <c r="J207" s="4"/>
      <c r="K207" s="4">
        <v>204</v>
      </c>
      <c r="L207" s="4">
        <v>13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06" x14ac:dyDescent="0.2">
      <c r="A208" s="4">
        <v>50</v>
      </c>
      <c r="B208" s="4">
        <v>0</v>
      </c>
      <c r="C208" s="4">
        <v>0</v>
      </c>
      <c r="D208" s="4">
        <v>1</v>
      </c>
      <c r="E208" s="4">
        <v>205</v>
      </c>
      <c r="F208" s="4">
        <f>ROUND(Source!S193,O208)</f>
        <v>919358.85</v>
      </c>
      <c r="G208" s="4" t="s">
        <v>98</v>
      </c>
      <c r="H208" s="4" t="s">
        <v>99</v>
      </c>
      <c r="I208" s="4"/>
      <c r="J208" s="4"/>
      <c r="K208" s="4">
        <v>205</v>
      </c>
      <c r="L208" s="4">
        <v>14</v>
      </c>
      <c r="M208" s="4">
        <v>3</v>
      </c>
      <c r="N208" s="4" t="s">
        <v>3</v>
      </c>
      <c r="O208" s="4">
        <v>2</v>
      </c>
      <c r="P208" s="4"/>
      <c r="Q208" s="4"/>
      <c r="R208" s="4"/>
      <c r="S208" s="4"/>
      <c r="T208" s="4"/>
      <c r="U208" s="4"/>
      <c r="V208" s="4"/>
      <c r="W208" s="4"/>
    </row>
    <row r="209" spans="1:206" x14ac:dyDescent="0.2">
      <c r="A209" s="4">
        <v>50</v>
      </c>
      <c r="B209" s="4">
        <v>0</v>
      </c>
      <c r="C209" s="4">
        <v>0</v>
      </c>
      <c r="D209" s="4">
        <v>1</v>
      </c>
      <c r="E209" s="4">
        <v>232</v>
      </c>
      <c r="F209" s="4">
        <f>ROUND(Source!BC193,O209)</f>
        <v>0</v>
      </c>
      <c r="G209" s="4" t="s">
        <v>100</v>
      </c>
      <c r="H209" s="4" t="s">
        <v>101</v>
      </c>
      <c r="I209" s="4"/>
      <c r="J209" s="4"/>
      <c r="K209" s="4">
        <v>232</v>
      </c>
      <c r="L209" s="4">
        <v>15</v>
      </c>
      <c r="M209" s="4">
        <v>3</v>
      </c>
      <c r="N209" s="4" t="s">
        <v>3</v>
      </c>
      <c r="O209" s="4">
        <v>2</v>
      </c>
      <c r="P209" s="4"/>
      <c r="Q209" s="4"/>
      <c r="R209" s="4"/>
      <c r="S209" s="4"/>
      <c r="T209" s="4"/>
      <c r="U209" s="4"/>
      <c r="V209" s="4"/>
      <c r="W209" s="4"/>
    </row>
    <row r="210" spans="1:206" x14ac:dyDescent="0.2">
      <c r="A210" s="4">
        <v>50</v>
      </c>
      <c r="B210" s="4">
        <v>0</v>
      </c>
      <c r="C210" s="4">
        <v>0</v>
      </c>
      <c r="D210" s="4">
        <v>1</v>
      </c>
      <c r="E210" s="4">
        <v>214</v>
      </c>
      <c r="F210" s="4">
        <f>ROUND(Source!AS193,O210)</f>
        <v>0</v>
      </c>
      <c r="G210" s="4" t="s">
        <v>102</v>
      </c>
      <c r="H210" s="4" t="s">
        <v>103</v>
      </c>
      <c r="I210" s="4"/>
      <c r="J210" s="4"/>
      <c r="K210" s="4">
        <v>214</v>
      </c>
      <c r="L210" s="4">
        <v>16</v>
      </c>
      <c r="M210" s="4">
        <v>3</v>
      </c>
      <c r="N210" s="4" t="s">
        <v>3</v>
      </c>
      <c r="O210" s="4">
        <v>2</v>
      </c>
      <c r="P210" s="4"/>
      <c r="Q210" s="4"/>
      <c r="R210" s="4"/>
      <c r="S210" s="4"/>
      <c r="T210" s="4"/>
      <c r="U210" s="4"/>
      <c r="V210" s="4"/>
      <c r="W210" s="4"/>
    </row>
    <row r="211" spans="1:206" x14ac:dyDescent="0.2">
      <c r="A211" s="4">
        <v>50</v>
      </c>
      <c r="B211" s="4">
        <v>0</v>
      </c>
      <c r="C211" s="4">
        <v>0</v>
      </c>
      <c r="D211" s="4">
        <v>1</v>
      </c>
      <c r="E211" s="4">
        <v>215</v>
      </c>
      <c r="F211" s="4">
        <f>ROUND(Source!AT193,O211)</f>
        <v>0</v>
      </c>
      <c r="G211" s="4" t="s">
        <v>104</v>
      </c>
      <c r="H211" s="4" t="s">
        <v>105</v>
      </c>
      <c r="I211" s="4"/>
      <c r="J211" s="4"/>
      <c r="K211" s="4">
        <v>215</v>
      </c>
      <c r="L211" s="4">
        <v>17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206" x14ac:dyDescent="0.2">
      <c r="A212" s="4">
        <v>50</v>
      </c>
      <c r="B212" s="4">
        <v>0</v>
      </c>
      <c r="C212" s="4">
        <v>0</v>
      </c>
      <c r="D212" s="4">
        <v>1</v>
      </c>
      <c r="E212" s="4">
        <v>217</v>
      </c>
      <c r="F212" s="4">
        <f>ROUND(Source!AU193,O212)</f>
        <v>3366935.68</v>
      </c>
      <c r="G212" s="4" t="s">
        <v>106</v>
      </c>
      <c r="H212" s="4" t="s">
        <v>107</v>
      </c>
      <c r="I212" s="4"/>
      <c r="J212" s="4"/>
      <c r="K212" s="4">
        <v>217</v>
      </c>
      <c r="L212" s="4">
        <v>18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06" x14ac:dyDescent="0.2">
      <c r="A213" s="4">
        <v>50</v>
      </c>
      <c r="B213" s="4">
        <v>0</v>
      </c>
      <c r="C213" s="4">
        <v>0</v>
      </c>
      <c r="D213" s="4">
        <v>1</v>
      </c>
      <c r="E213" s="4">
        <v>230</v>
      </c>
      <c r="F213" s="4">
        <f>ROUND(Source!BA193,O213)</f>
        <v>0</v>
      </c>
      <c r="G213" s="4" t="s">
        <v>108</v>
      </c>
      <c r="H213" s="4" t="s">
        <v>109</v>
      </c>
      <c r="I213" s="4"/>
      <c r="J213" s="4"/>
      <c r="K213" s="4">
        <v>230</v>
      </c>
      <c r="L213" s="4">
        <v>19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/>
    </row>
    <row r="214" spans="1:206" x14ac:dyDescent="0.2">
      <c r="A214" s="4">
        <v>50</v>
      </c>
      <c r="B214" s="4">
        <v>0</v>
      </c>
      <c r="C214" s="4">
        <v>0</v>
      </c>
      <c r="D214" s="4">
        <v>1</v>
      </c>
      <c r="E214" s="4">
        <v>206</v>
      </c>
      <c r="F214" s="4">
        <f>ROUND(Source!T193,O214)</f>
        <v>0</v>
      </c>
      <c r="G214" s="4" t="s">
        <v>110</v>
      </c>
      <c r="H214" s="4" t="s">
        <v>111</v>
      </c>
      <c r="I214" s="4"/>
      <c r="J214" s="4"/>
      <c r="K214" s="4">
        <v>206</v>
      </c>
      <c r="L214" s="4">
        <v>20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206" x14ac:dyDescent="0.2">
      <c r="A215" s="4">
        <v>50</v>
      </c>
      <c r="B215" s="4">
        <v>0</v>
      </c>
      <c r="C215" s="4">
        <v>0</v>
      </c>
      <c r="D215" s="4">
        <v>1</v>
      </c>
      <c r="E215" s="4">
        <v>207</v>
      </c>
      <c r="F215" s="4">
        <f>Source!U193</f>
        <v>4392.165</v>
      </c>
      <c r="G215" s="4" t="s">
        <v>112</v>
      </c>
      <c r="H215" s="4" t="s">
        <v>113</v>
      </c>
      <c r="I215" s="4"/>
      <c r="J215" s="4"/>
      <c r="K215" s="4">
        <v>207</v>
      </c>
      <c r="L215" s="4">
        <v>21</v>
      </c>
      <c r="M215" s="4">
        <v>3</v>
      </c>
      <c r="N215" s="4" t="s">
        <v>3</v>
      </c>
      <c r="O215" s="4">
        <v>-1</v>
      </c>
      <c r="P215" s="4"/>
      <c r="Q215" s="4"/>
      <c r="R215" s="4"/>
      <c r="S215" s="4"/>
      <c r="T215" s="4"/>
      <c r="U215" s="4"/>
      <c r="V215" s="4"/>
      <c r="W215" s="4"/>
    </row>
    <row r="216" spans="1:206" x14ac:dyDescent="0.2">
      <c r="A216" s="4">
        <v>50</v>
      </c>
      <c r="B216" s="4">
        <v>0</v>
      </c>
      <c r="C216" s="4">
        <v>0</v>
      </c>
      <c r="D216" s="4">
        <v>1</v>
      </c>
      <c r="E216" s="4">
        <v>208</v>
      </c>
      <c r="F216" s="4">
        <f>Source!V193</f>
        <v>0</v>
      </c>
      <c r="G216" s="4" t="s">
        <v>114</v>
      </c>
      <c r="H216" s="4" t="s">
        <v>115</v>
      </c>
      <c r="I216" s="4"/>
      <c r="J216" s="4"/>
      <c r="K216" s="4">
        <v>208</v>
      </c>
      <c r="L216" s="4">
        <v>22</v>
      </c>
      <c r="M216" s="4">
        <v>3</v>
      </c>
      <c r="N216" s="4" t="s">
        <v>3</v>
      </c>
      <c r="O216" s="4">
        <v>-1</v>
      </c>
      <c r="P216" s="4"/>
      <c r="Q216" s="4"/>
      <c r="R216" s="4"/>
      <c r="S216" s="4"/>
      <c r="T216" s="4"/>
      <c r="U216" s="4"/>
      <c r="V216" s="4"/>
      <c r="W216" s="4"/>
    </row>
    <row r="217" spans="1:206" x14ac:dyDescent="0.2">
      <c r="A217" s="4">
        <v>50</v>
      </c>
      <c r="B217" s="4">
        <v>0</v>
      </c>
      <c r="C217" s="4">
        <v>0</v>
      </c>
      <c r="D217" s="4">
        <v>1</v>
      </c>
      <c r="E217" s="4">
        <v>209</v>
      </c>
      <c r="F217" s="4">
        <f>ROUND(Source!W193,O217)</f>
        <v>0</v>
      </c>
      <c r="G217" s="4" t="s">
        <v>116</v>
      </c>
      <c r="H217" s="4" t="s">
        <v>117</v>
      </c>
      <c r="I217" s="4"/>
      <c r="J217" s="4"/>
      <c r="K217" s="4">
        <v>209</v>
      </c>
      <c r="L217" s="4">
        <v>23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206" x14ac:dyDescent="0.2">
      <c r="A218" s="4">
        <v>50</v>
      </c>
      <c r="B218" s="4">
        <v>0</v>
      </c>
      <c r="C218" s="4">
        <v>0</v>
      </c>
      <c r="D218" s="4">
        <v>1</v>
      </c>
      <c r="E218" s="4">
        <v>210</v>
      </c>
      <c r="F218" s="4">
        <f>ROUND(Source!X193,O218)</f>
        <v>643551.21</v>
      </c>
      <c r="G218" s="4" t="s">
        <v>118</v>
      </c>
      <c r="H218" s="4" t="s">
        <v>119</v>
      </c>
      <c r="I218" s="4"/>
      <c r="J218" s="4"/>
      <c r="K218" s="4">
        <v>210</v>
      </c>
      <c r="L218" s="4">
        <v>24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206" x14ac:dyDescent="0.2">
      <c r="A219" s="4">
        <v>50</v>
      </c>
      <c r="B219" s="4">
        <v>0</v>
      </c>
      <c r="C219" s="4">
        <v>0</v>
      </c>
      <c r="D219" s="4">
        <v>1</v>
      </c>
      <c r="E219" s="4">
        <v>211</v>
      </c>
      <c r="F219" s="4">
        <f>ROUND(Source!Y193,O219)</f>
        <v>0</v>
      </c>
      <c r="G219" s="4" t="s">
        <v>120</v>
      </c>
      <c r="H219" s="4" t="s">
        <v>121</v>
      </c>
      <c r="I219" s="4"/>
      <c r="J219" s="4"/>
      <c r="K219" s="4">
        <v>211</v>
      </c>
      <c r="L219" s="4">
        <v>25</v>
      </c>
      <c r="M219" s="4">
        <v>3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0" spans="1:206" x14ac:dyDescent="0.2">
      <c r="A220" s="4">
        <v>50</v>
      </c>
      <c r="B220" s="4">
        <v>0</v>
      </c>
      <c r="C220" s="4">
        <v>0</v>
      </c>
      <c r="D220" s="4">
        <v>1</v>
      </c>
      <c r="E220" s="4">
        <v>224</v>
      </c>
      <c r="F220" s="4">
        <f>ROUND(Source!AR193,O220)</f>
        <v>3366935.68</v>
      </c>
      <c r="G220" s="4" t="s">
        <v>122</v>
      </c>
      <c r="H220" s="4" t="s">
        <v>123</v>
      </c>
      <c r="I220" s="4"/>
      <c r="J220" s="4"/>
      <c r="K220" s="4">
        <v>224</v>
      </c>
      <c r="L220" s="4">
        <v>26</v>
      </c>
      <c r="M220" s="4">
        <v>3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/>
    </row>
    <row r="222" spans="1:206" x14ac:dyDescent="0.2">
      <c r="A222" s="1">
        <v>5</v>
      </c>
      <c r="B222" s="1">
        <v>1</v>
      </c>
      <c r="C222" s="1"/>
      <c r="D222" s="1">
        <f>ROW(A232)</f>
        <v>232</v>
      </c>
      <c r="E222" s="1"/>
      <c r="F222" s="1" t="s">
        <v>23</v>
      </c>
      <c r="G222" s="1" t="s">
        <v>176</v>
      </c>
      <c r="H222" s="1" t="s">
        <v>3</v>
      </c>
      <c r="I222" s="1">
        <v>0</v>
      </c>
      <c r="J222" s="1"/>
      <c r="K222" s="1">
        <v>0</v>
      </c>
      <c r="L222" s="1"/>
      <c r="M222" s="1"/>
      <c r="N222" s="1"/>
      <c r="O222" s="1"/>
      <c r="P222" s="1"/>
      <c r="Q222" s="1"/>
      <c r="R222" s="1"/>
      <c r="S222" s="1"/>
      <c r="T222" s="1"/>
      <c r="U222" s="1" t="s">
        <v>3</v>
      </c>
      <c r="V222" s="1">
        <v>0</v>
      </c>
      <c r="W222" s="1"/>
      <c r="X222" s="1"/>
      <c r="Y222" s="1"/>
      <c r="Z222" s="1"/>
      <c r="AA222" s="1"/>
      <c r="AB222" s="1" t="s">
        <v>3</v>
      </c>
      <c r="AC222" s="1" t="s">
        <v>3</v>
      </c>
      <c r="AD222" s="1" t="s">
        <v>3</v>
      </c>
      <c r="AE222" s="1" t="s">
        <v>3</v>
      </c>
      <c r="AF222" s="1" t="s">
        <v>3</v>
      </c>
      <c r="AG222" s="1" t="s">
        <v>3</v>
      </c>
      <c r="AH222" s="1"/>
      <c r="AI222" s="1"/>
      <c r="AJ222" s="1"/>
      <c r="AK222" s="1"/>
      <c r="AL222" s="1"/>
      <c r="AM222" s="1"/>
      <c r="AN222" s="1"/>
      <c r="AO222" s="1"/>
      <c r="AP222" s="1" t="s">
        <v>3</v>
      </c>
      <c r="AQ222" s="1" t="s">
        <v>3</v>
      </c>
      <c r="AR222" s="1" t="s">
        <v>3</v>
      </c>
      <c r="AS222" s="1"/>
      <c r="AT222" s="1"/>
      <c r="AU222" s="1"/>
      <c r="AV222" s="1"/>
      <c r="AW222" s="1"/>
      <c r="AX222" s="1"/>
      <c r="AY222" s="1"/>
      <c r="AZ222" s="1" t="s">
        <v>3</v>
      </c>
      <c r="BA222" s="1"/>
      <c r="BB222" s="1" t="s">
        <v>3</v>
      </c>
      <c r="BC222" s="1" t="s">
        <v>3</v>
      </c>
      <c r="BD222" s="1" t="s">
        <v>3</v>
      </c>
      <c r="BE222" s="1" t="s">
        <v>3</v>
      </c>
      <c r="BF222" s="1" t="s">
        <v>3</v>
      </c>
      <c r="BG222" s="1" t="s">
        <v>3</v>
      </c>
      <c r="BH222" s="1" t="s">
        <v>3</v>
      </c>
      <c r="BI222" s="1" t="s">
        <v>3</v>
      </c>
      <c r="BJ222" s="1" t="s">
        <v>3</v>
      </c>
      <c r="BK222" s="1" t="s">
        <v>3</v>
      </c>
      <c r="BL222" s="1" t="s">
        <v>3</v>
      </c>
      <c r="BM222" s="1" t="s">
        <v>3</v>
      </c>
      <c r="BN222" s="1" t="s">
        <v>3</v>
      </c>
      <c r="BO222" s="1" t="s">
        <v>3</v>
      </c>
      <c r="BP222" s="1" t="s">
        <v>3</v>
      </c>
      <c r="BQ222" s="1"/>
      <c r="BR222" s="1"/>
      <c r="BS222" s="1"/>
      <c r="BT222" s="1"/>
      <c r="BU222" s="1"/>
      <c r="BV222" s="1"/>
      <c r="BW222" s="1"/>
      <c r="BX222" s="1">
        <v>0</v>
      </c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>
        <v>0</v>
      </c>
    </row>
    <row r="224" spans="1:206" x14ac:dyDescent="0.2">
      <c r="A224" s="2">
        <v>52</v>
      </c>
      <c r="B224" s="2">
        <f t="shared" ref="B224:G224" si="136">B232</f>
        <v>1</v>
      </c>
      <c r="C224" s="2">
        <f t="shared" si="136"/>
        <v>5</v>
      </c>
      <c r="D224" s="2">
        <f t="shared" si="136"/>
        <v>222</v>
      </c>
      <c r="E224" s="2">
        <f t="shared" si="136"/>
        <v>0</v>
      </c>
      <c r="F224" s="2" t="str">
        <f t="shared" si="136"/>
        <v>Новый подраздел</v>
      </c>
      <c r="G224" s="2" t="str">
        <f t="shared" si="136"/>
        <v>Восстановление отпада деревьев 5%</v>
      </c>
      <c r="H224" s="2"/>
      <c r="I224" s="2"/>
      <c r="J224" s="2"/>
      <c r="K224" s="2"/>
      <c r="L224" s="2"/>
      <c r="M224" s="2"/>
      <c r="N224" s="2"/>
      <c r="O224" s="2">
        <f t="shared" ref="O224:AT224" si="137">O232</f>
        <v>110335.6</v>
      </c>
      <c r="P224" s="2">
        <f t="shared" si="137"/>
        <v>63943.71</v>
      </c>
      <c r="Q224" s="2">
        <f t="shared" si="137"/>
        <v>3466.56</v>
      </c>
      <c r="R224" s="2">
        <f t="shared" si="137"/>
        <v>961.57</v>
      </c>
      <c r="S224" s="2">
        <f t="shared" si="137"/>
        <v>42925.33</v>
      </c>
      <c r="T224" s="2">
        <f t="shared" si="137"/>
        <v>0</v>
      </c>
      <c r="U224" s="2">
        <f t="shared" si="137"/>
        <v>200.48250000000002</v>
      </c>
      <c r="V224" s="2">
        <f t="shared" si="137"/>
        <v>0</v>
      </c>
      <c r="W224" s="2">
        <f t="shared" si="137"/>
        <v>0</v>
      </c>
      <c r="X224" s="2">
        <f t="shared" si="137"/>
        <v>30047.74</v>
      </c>
      <c r="Y224" s="2">
        <f t="shared" si="137"/>
        <v>0</v>
      </c>
      <c r="Z224" s="2">
        <f t="shared" si="137"/>
        <v>0</v>
      </c>
      <c r="AA224" s="2">
        <f t="shared" si="137"/>
        <v>0</v>
      </c>
      <c r="AB224" s="2">
        <f t="shared" si="137"/>
        <v>110335.6</v>
      </c>
      <c r="AC224" s="2">
        <f t="shared" si="137"/>
        <v>63943.71</v>
      </c>
      <c r="AD224" s="2">
        <f t="shared" si="137"/>
        <v>3466.56</v>
      </c>
      <c r="AE224" s="2">
        <f t="shared" si="137"/>
        <v>961.57</v>
      </c>
      <c r="AF224" s="2">
        <f t="shared" si="137"/>
        <v>42925.33</v>
      </c>
      <c r="AG224" s="2">
        <f t="shared" si="137"/>
        <v>0</v>
      </c>
      <c r="AH224" s="2">
        <f t="shared" si="137"/>
        <v>200.48250000000002</v>
      </c>
      <c r="AI224" s="2">
        <f t="shared" si="137"/>
        <v>0</v>
      </c>
      <c r="AJ224" s="2">
        <f t="shared" si="137"/>
        <v>0</v>
      </c>
      <c r="AK224" s="2">
        <f t="shared" si="137"/>
        <v>30047.74</v>
      </c>
      <c r="AL224" s="2">
        <f t="shared" si="137"/>
        <v>0</v>
      </c>
      <c r="AM224" s="2">
        <f t="shared" si="137"/>
        <v>0</v>
      </c>
      <c r="AN224" s="2">
        <f t="shared" si="137"/>
        <v>0</v>
      </c>
      <c r="AO224" s="2">
        <f t="shared" si="137"/>
        <v>0</v>
      </c>
      <c r="AP224" s="2">
        <f t="shared" si="137"/>
        <v>0</v>
      </c>
      <c r="AQ224" s="2">
        <f t="shared" si="137"/>
        <v>0</v>
      </c>
      <c r="AR224" s="2">
        <f t="shared" si="137"/>
        <v>141133.37</v>
      </c>
      <c r="AS224" s="2">
        <f t="shared" si="137"/>
        <v>0</v>
      </c>
      <c r="AT224" s="2">
        <f t="shared" si="137"/>
        <v>0</v>
      </c>
      <c r="AU224" s="2">
        <f t="shared" ref="AU224:BZ224" si="138">AU232</f>
        <v>141133.37</v>
      </c>
      <c r="AV224" s="2">
        <f t="shared" si="138"/>
        <v>63943.71</v>
      </c>
      <c r="AW224" s="2">
        <f t="shared" si="138"/>
        <v>63943.71</v>
      </c>
      <c r="AX224" s="2">
        <f t="shared" si="138"/>
        <v>0</v>
      </c>
      <c r="AY224" s="2">
        <f t="shared" si="138"/>
        <v>63943.71</v>
      </c>
      <c r="AZ224" s="2">
        <f t="shared" si="138"/>
        <v>0</v>
      </c>
      <c r="BA224" s="2">
        <f t="shared" si="138"/>
        <v>0</v>
      </c>
      <c r="BB224" s="2">
        <f t="shared" si="138"/>
        <v>0</v>
      </c>
      <c r="BC224" s="2">
        <f t="shared" si="138"/>
        <v>0</v>
      </c>
      <c r="BD224" s="2">
        <f t="shared" si="138"/>
        <v>0</v>
      </c>
      <c r="BE224" s="2">
        <f t="shared" si="138"/>
        <v>0</v>
      </c>
      <c r="BF224" s="2">
        <f t="shared" si="138"/>
        <v>0</v>
      </c>
      <c r="BG224" s="2">
        <f t="shared" si="138"/>
        <v>0</v>
      </c>
      <c r="BH224" s="2">
        <f t="shared" si="138"/>
        <v>0</v>
      </c>
      <c r="BI224" s="2">
        <f t="shared" si="138"/>
        <v>0</v>
      </c>
      <c r="BJ224" s="2">
        <f t="shared" si="138"/>
        <v>0</v>
      </c>
      <c r="BK224" s="2">
        <f t="shared" si="138"/>
        <v>0</v>
      </c>
      <c r="BL224" s="2">
        <f t="shared" si="138"/>
        <v>0</v>
      </c>
      <c r="BM224" s="2">
        <f t="shared" si="138"/>
        <v>0</v>
      </c>
      <c r="BN224" s="2">
        <f t="shared" si="138"/>
        <v>0</v>
      </c>
      <c r="BO224" s="2">
        <f t="shared" si="138"/>
        <v>0</v>
      </c>
      <c r="BP224" s="2">
        <f t="shared" si="138"/>
        <v>0</v>
      </c>
      <c r="BQ224" s="2">
        <f t="shared" si="138"/>
        <v>0</v>
      </c>
      <c r="BR224" s="2">
        <f t="shared" si="138"/>
        <v>0</v>
      </c>
      <c r="BS224" s="2">
        <f t="shared" si="138"/>
        <v>0</v>
      </c>
      <c r="BT224" s="2">
        <f t="shared" si="138"/>
        <v>0</v>
      </c>
      <c r="BU224" s="2">
        <f t="shared" si="138"/>
        <v>0</v>
      </c>
      <c r="BV224" s="2">
        <f t="shared" si="138"/>
        <v>0</v>
      </c>
      <c r="BW224" s="2">
        <f t="shared" si="138"/>
        <v>0</v>
      </c>
      <c r="BX224" s="2">
        <f t="shared" si="138"/>
        <v>0</v>
      </c>
      <c r="BY224" s="2">
        <f t="shared" si="138"/>
        <v>0</v>
      </c>
      <c r="BZ224" s="2">
        <f t="shared" si="138"/>
        <v>0</v>
      </c>
      <c r="CA224" s="2">
        <f t="shared" ref="CA224:DF224" si="139">CA232</f>
        <v>141133.37</v>
      </c>
      <c r="CB224" s="2">
        <f t="shared" si="139"/>
        <v>0</v>
      </c>
      <c r="CC224" s="2">
        <f t="shared" si="139"/>
        <v>0</v>
      </c>
      <c r="CD224" s="2">
        <f t="shared" si="139"/>
        <v>141133.37</v>
      </c>
      <c r="CE224" s="2">
        <f t="shared" si="139"/>
        <v>63943.71</v>
      </c>
      <c r="CF224" s="2">
        <f t="shared" si="139"/>
        <v>63943.71</v>
      </c>
      <c r="CG224" s="2">
        <f t="shared" si="139"/>
        <v>0</v>
      </c>
      <c r="CH224" s="2">
        <f t="shared" si="139"/>
        <v>63943.71</v>
      </c>
      <c r="CI224" s="2">
        <f t="shared" si="139"/>
        <v>0</v>
      </c>
      <c r="CJ224" s="2">
        <f t="shared" si="139"/>
        <v>0</v>
      </c>
      <c r="CK224" s="2">
        <f t="shared" si="139"/>
        <v>0</v>
      </c>
      <c r="CL224" s="2">
        <f t="shared" si="139"/>
        <v>0</v>
      </c>
      <c r="CM224" s="2">
        <f t="shared" si="139"/>
        <v>0</v>
      </c>
      <c r="CN224" s="2">
        <f t="shared" si="139"/>
        <v>0</v>
      </c>
      <c r="CO224" s="2">
        <f t="shared" si="139"/>
        <v>0</v>
      </c>
      <c r="CP224" s="2">
        <f t="shared" si="139"/>
        <v>0</v>
      </c>
      <c r="CQ224" s="2">
        <f t="shared" si="139"/>
        <v>0</v>
      </c>
      <c r="CR224" s="2">
        <f t="shared" si="139"/>
        <v>0</v>
      </c>
      <c r="CS224" s="2">
        <f t="shared" si="139"/>
        <v>0</v>
      </c>
      <c r="CT224" s="2">
        <f t="shared" si="139"/>
        <v>0</v>
      </c>
      <c r="CU224" s="2">
        <f t="shared" si="139"/>
        <v>0</v>
      </c>
      <c r="CV224" s="2">
        <f t="shared" si="139"/>
        <v>0</v>
      </c>
      <c r="CW224" s="2">
        <f t="shared" si="139"/>
        <v>0</v>
      </c>
      <c r="CX224" s="2">
        <f t="shared" si="139"/>
        <v>0</v>
      </c>
      <c r="CY224" s="2">
        <f t="shared" si="139"/>
        <v>0</v>
      </c>
      <c r="CZ224" s="2">
        <f t="shared" si="139"/>
        <v>0</v>
      </c>
      <c r="DA224" s="2">
        <f t="shared" si="139"/>
        <v>0</v>
      </c>
      <c r="DB224" s="2">
        <f t="shared" si="139"/>
        <v>0</v>
      </c>
      <c r="DC224" s="2">
        <f t="shared" si="139"/>
        <v>0</v>
      </c>
      <c r="DD224" s="2">
        <f t="shared" si="139"/>
        <v>0</v>
      </c>
      <c r="DE224" s="2">
        <f t="shared" si="139"/>
        <v>0</v>
      </c>
      <c r="DF224" s="2">
        <f t="shared" si="139"/>
        <v>0</v>
      </c>
      <c r="DG224" s="3">
        <f t="shared" ref="DG224:EL224" si="140">DG232</f>
        <v>0</v>
      </c>
      <c r="DH224" s="3">
        <f t="shared" si="140"/>
        <v>0</v>
      </c>
      <c r="DI224" s="3">
        <f t="shared" si="140"/>
        <v>0</v>
      </c>
      <c r="DJ224" s="3">
        <f t="shared" si="140"/>
        <v>0</v>
      </c>
      <c r="DK224" s="3">
        <f t="shared" si="140"/>
        <v>0</v>
      </c>
      <c r="DL224" s="3">
        <f t="shared" si="140"/>
        <v>0</v>
      </c>
      <c r="DM224" s="3">
        <f t="shared" si="140"/>
        <v>0</v>
      </c>
      <c r="DN224" s="3">
        <f t="shared" si="140"/>
        <v>0</v>
      </c>
      <c r="DO224" s="3">
        <f t="shared" si="140"/>
        <v>0</v>
      </c>
      <c r="DP224" s="3">
        <f t="shared" si="140"/>
        <v>0</v>
      </c>
      <c r="DQ224" s="3">
        <f t="shared" si="140"/>
        <v>0</v>
      </c>
      <c r="DR224" s="3">
        <f t="shared" si="140"/>
        <v>0</v>
      </c>
      <c r="DS224" s="3">
        <f t="shared" si="140"/>
        <v>0</v>
      </c>
      <c r="DT224" s="3">
        <f t="shared" si="140"/>
        <v>0</v>
      </c>
      <c r="DU224" s="3">
        <f t="shared" si="140"/>
        <v>0</v>
      </c>
      <c r="DV224" s="3">
        <f t="shared" si="140"/>
        <v>0</v>
      </c>
      <c r="DW224" s="3">
        <f t="shared" si="140"/>
        <v>0</v>
      </c>
      <c r="DX224" s="3">
        <f t="shared" si="140"/>
        <v>0</v>
      </c>
      <c r="DY224" s="3">
        <f t="shared" si="140"/>
        <v>0</v>
      </c>
      <c r="DZ224" s="3">
        <f t="shared" si="140"/>
        <v>0</v>
      </c>
      <c r="EA224" s="3">
        <f t="shared" si="140"/>
        <v>0</v>
      </c>
      <c r="EB224" s="3">
        <f t="shared" si="140"/>
        <v>0</v>
      </c>
      <c r="EC224" s="3">
        <f t="shared" si="140"/>
        <v>0</v>
      </c>
      <c r="ED224" s="3">
        <f t="shared" si="140"/>
        <v>0</v>
      </c>
      <c r="EE224" s="3">
        <f t="shared" si="140"/>
        <v>0</v>
      </c>
      <c r="EF224" s="3">
        <f t="shared" si="140"/>
        <v>0</v>
      </c>
      <c r="EG224" s="3">
        <f t="shared" si="140"/>
        <v>0</v>
      </c>
      <c r="EH224" s="3">
        <f t="shared" si="140"/>
        <v>0</v>
      </c>
      <c r="EI224" s="3">
        <f t="shared" si="140"/>
        <v>0</v>
      </c>
      <c r="EJ224" s="3">
        <f t="shared" si="140"/>
        <v>0</v>
      </c>
      <c r="EK224" s="3">
        <f t="shared" si="140"/>
        <v>0</v>
      </c>
      <c r="EL224" s="3">
        <f t="shared" si="140"/>
        <v>0</v>
      </c>
      <c r="EM224" s="3">
        <f t="shared" ref="EM224:FR224" si="141">EM232</f>
        <v>0</v>
      </c>
      <c r="EN224" s="3">
        <f t="shared" si="141"/>
        <v>0</v>
      </c>
      <c r="EO224" s="3">
        <f t="shared" si="141"/>
        <v>0</v>
      </c>
      <c r="EP224" s="3">
        <f t="shared" si="141"/>
        <v>0</v>
      </c>
      <c r="EQ224" s="3">
        <f t="shared" si="141"/>
        <v>0</v>
      </c>
      <c r="ER224" s="3">
        <f t="shared" si="141"/>
        <v>0</v>
      </c>
      <c r="ES224" s="3">
        <f t="shared" si="141"/>
        <v>0</v>
      </c>
      <c r="ET224" s="3">
        <f t="shared" si="141"/>
        <v>0</v>
      </c>
      <c r="EU224" s="3">
        <f t="shared" si="141"/>
        <v>0</v>
      </c>
      <c r="EV224" s="3">
        <f t="shared" si="141"/>
        <v>0</v>
      </c>
      <c r="EW224" s="3">
        <f t="shared" si="141"/>
        <v>0</v>
      </c>
      <c r="EX224" s="3">
        <f t="shared" si="141"/>
        <v>0</v>
      </c>
      <c r="EY224" s="3">
        <f t="shared" si="141"/>
        <v>0</v>
      </c>
      <c r="EZ224" s="3">
        <f t="shared" si="141"/>
        <v>0</v>
      </c>
      <c r="FA224" s="3">
        <f t="shared" si="141"/>
        <v>0</v>
      </c>
      <c r="FB224" s="3">
        <f t="shared" si="141"/>
        <v>0</v>
      </c>
      <c r="FC224" s="3">
        <f t="shared" si="141"/>
        <v>0</v>
      </c>
      <c r="FD224" s="3">
        <f t="shared" si="141"/>
        <v>0</v>
      </c>
      <c r="FE224" s="3">
        <f t="shared" si="141"/>
        <v>0</v>
      </c>
      <c r="FF224" s="3">
        <f t="shared" si="141"/>
        <v>0</v>
      </c>
      <c r="FG224" s="3">
        <f t="shared" si="141"/>
        <v>0</v>
      </c>
      <c r="FH224" s="3">
        <f t="shared" si="141"/>
        <v>0</v>
      </c>
      <c r="FI224" s="3">
        <f t="shared" si="141"/>
        <v>0</v>
      </c>
      <c r="FJ224" s="3">
        <f t="shared" si="141"/>
        <v>0</v>
      </c>
      <c r="FK224" s="3">
        <f t="shared" si="141"/>
        <v>0</v>
      </c>
      <c r="FL224" s="3">
        <f t="shared" si="141"/>
        <v>0</v>
      </c>
      <c r="FM224" s="3">
        <f t="shared" si="141"/>
        <v>0</v>
      </c>
      <c r="FN224" s="3">
        <f t="shared" si="141"/>
        <v>0</v>
      </c>
      <c r="FO224" s="3">
        <f t="shared" si="141"/>
        <v>0</v>
      </c>
      <c r="FP224" s="3">
        <f t="shared" si="141"/>
        <v>0</v>
      </c>
      <c r="FQ224" s="3">
        <f t="shared" si="141"/>
        <v>0</v>
      </c>
      <c r="FR224" s="3">
        <f t="shared" si="141"/>
        <v>0</v>
      </c>
      <c r="FS224" s="3">
        <f t="shared" ref="FS224:GX224" si="142">FS232</f>
        <v>0</v>
      </c>
      <c r="FT224" s="3">
        <f t="shared" si="142"/>
        <v>0</v>
      </c>
      <c r="FU224" s="3">
        <f t="shared" si="142"/>
        <v>0</v>
      </c>
      <c r="FV224" s="3">
        <f t="shared" si="142"/>
        <v>0</v>
      </c>
      <c r="FW224" s="3">
        <f t="shared" si="142"/>
        <v>0</v>
      </c>
      <c r="FX224" s="3">
        <f t="shared" si="142"/>
        <v>0</v>
      </c>
      <c r="FY224" s="3">
        <f t="shared" si="142"/>
        <v>0</v>
      </c>
      <c r="FZ224" s="3">
        <f t="shared" si="142"/>
        <v>0</v>
      </c>
      <c r="GA224" s="3">
        <f t="shared" si="142"/>
        <v>0</v>
      </c>
      <c r="GB224" s="3">
        <f t="shared" si="142"/>
        <v>0</v>
      </c>
      <c r="GC224" s="3">
        <f t="shared" si="142"/>
        <v>0</v>
      </c>
      <c r="GD224" s="3">
        <f t="shared" si="142"/>
        <v>0</v>
      </c>
      <c r="GE224" s="3">
        <f t="shared" si="142"/>
        <v>0</v>
      </c>
      <c r="GF224" s="3">
        <f t="shared" si="142"/>
        <v>0</v>
      </c>
      <c r="GG224" s="3">
        <f t="shared" si="142"/>
        <v>0</v>
      </c>
      <c r="GH224" s="3">
        <f t="shared" si="142"/>
        <v>0</v>
      </c>
      <c r="GI224" s="3">
        <f t="shared" si="142"/>
        <v>0</v>
      </c>
      <c r="GJ224" s="3">
        <f t="shared" si="142"/>
        <v>0</v>
      </c>
      <c r="GK224" s="3">
        <f t="shared" si="142"/>
        <v>0</v>
      </c>
      <c r="GL224" s="3">
        <f t="shared" si="142"/>
        <v>0</v>
      </c>
      <c r="GM224" s="3">
        <f t="shared" si="142"/>
        <v>0</v>
      </c>
      <c r="GN224" s="3">
        <f t="shared" si="142"/>
        <v>0</v>
      </c>
      <c r="GO224" s="3">
        <f t="shared" si="142"/>
        <v>0</v>
      </c>
      <c r="GP224" s="3">
        <f t="shared" si="142"/>
        <v>0</v>
      </c>
      <c r="GQ224" s="3">
        <f t="shared" si="142"/>
        <v>0</v>
      </c>
      <c r="GR224" s="3">
        <f t="shared" si="142"/>
        <v>0</v>
      </c>
      <c r="GS224" s="3">
        <f t="shared" si="142"/>
        <v>0</v>
      </c>
      <c r="GT224" s="3">
        <f t="shared" si="142"/>
        <v>0</v>
      </c>
      <c r="GU224" s="3">
        <f t="shared" si="142"/>
        <v>0</v>
      </c>
      <c r="GV224" s="3">
        <f t="shared" si="142"/>
        <v>0</v>
      </c>
      <c r="GW224" s="3">
        <f t="shared" si="142"/>
        <v>0</v>
      </c>
      <c r="GX224" s="3">
        <f t="shared" si="142"/>
        <v>0</v>
      </c>
    </row>
    <row r="226" spans="1:245" x14ac:dyDescent="0.2">
      <c r="A226">
        <v>17</v>
      </c>
      <c r="B226">
        <v>1</v>
      </c>
      <c r="C226">
        <f>ROW(SmtRes!A80)</f>
        <v>80</v>
      </c>
      <c r="D226">
        <f>ROW(EtalonRes!A80)</f>
        <v>80</v>
      </c>
      <c r="E226" t="s">
        <v>177</v>
      </c>
      <c r="F226" t="s">
        <v>165</v>
      </c>
      <c r="G226" t="s">
        <v>166</v>
      </c>
      <c r="H226" t="s">
        <v>61</v>
      </c>
      <c r="I226">
        <f>ROUND(6/10,9)</f>
        <v>0.6</v>
      </c>
      <c r="J226">
        <v>0</v>
      </c>
      <c r="O226">
        <f>ROUND(CP226,2)</f>
        <v>41989.8</v>
      </c>
      <c r="P226">
        <f>ROUND(CQ226*I226,2)</f>
        <v>11583.15</v>
      </c>
      <c r="Q226">
        <f>ROUND(CR226*I226,2)</f>
        <v>205.52</v>
      </c>
      <c r="R226">
        <f>ROUND(CS226*I226,2)</f>
        <v>0.2</v>
      </c>
      <c r="S226">
        <f>ROUND(CT226*I226,2)</f>
        <v>30201.13</v>
      </c>
      <c r="T226">
        <f>ROUND(CU226*I226,2)</f>
        <v>0</v>
      </c>
      <c r="U226">
        <f>CV226*I226</f>
        <v>138.69</v>
      </c>
      <c r="V226">
        <f>CW226*I226</f>
        <v>0</v>
      </c>
      <c r="W226">
        <f>ROUND(CX226*I226,2)</f>
        <v>0</v>
      </c>
      <c r="X226">
        <f t="shared" ref="X226:Y230" si="143">ROUND(CY226,2)</f>
        <v>21140.79</v>
      </c>
      <c r="Y226">
        <f t="shared" si="143"/>
        <v>0</v>
      </c>
      <c r="AA226">
        <v>53202630</v>
      </c>
      <c r="AB226">
        <f>ROUND((AC226+AD226+AF226),6)</f>
        <v>69983</v>
      </c>
      <c r="AC226">
        <f>ROUND((ES226),6)</f>
        <v>19305.25</v>
      </c>
      <c r="AD226">
        <f>ROUND((((ET226)-(EU226))+AE226),6)</f>
        <v>342.53</v>
      </c>
      <c r="AE226">
        <f t="shared" ref="AE226:AF230" si="144">ROUND((EU226),6)</f>
        <v>0.34</v>
      </c>
      <c r="AF226">
        <f t="shared" si="144"/>
        <v>50335.22</v>
      </c>
      <c r="AG226">
        <f>ROUND((AP226),6)</f>
        <v>0</v>
      </c>
      <c r="AH226">
        <f t="shared" ref="AH226:AI230" si="145">(EW226)</f>
        <v>231.15</v>
      </c>
      <c r="AI226">
        <f t="shared" si="145"/>
        <v>0</v>
      </c>
      <c r="AJ226">
        <f>(AS226)</f>
        <v>0</v>
      </c>
      <c r="AK226">
        <v>69983</v>
      </c>
      <c r="AL226">
        <v>19305.25</v>
      </c>
      <c r="AM226">
        <v>342.53</v>
      </c>
      <c r="AN226">
        <v>0.34</v>
      </c>
      <c r="AO226">
        <v>50335.22</v>
      </c>
      <c r="AP226">
        <v>0</v>
      </c>
      <c r="AQ226">
        <v>231.15</v>
      </c>
      <c r="AR226">
        <v>0</v>
      </c>
      <c r="AS226">
        <v>0</v>
      </c>
      <c r="AT226">
        <v>70</v>
      </c>
      <c r="AU226">
        <v>0</v>
      </c>
      <c r="AV226">
        <v>1</v>
      </c>
      <c r="AW226">
        <v>1</v>
      </c>
      <c r="AZ226">
        <v>1</v>
      </c>
      <c r="BA226">
        <v>1</v>
      </c>
      <c r="BB226">
        <v>1</v>
      </c>
      <c r="BC226">
        <v>1</v>
      </c>
      <c r="BD226" t="s">
        <v>3</v>
      </c>
      <c r="BE226" t="s">
        <v>3</v>
      </c>
      <c r="BF226" t="s">
        <v>3</v>
      </c>
      <c r="BG226" t="s">
        <v>3</v>
      </c>
      <c r="BH226">
        <v>0</v>
      </c>
      <c r="BI226">
        <v>4</v>
      </c>
      <c r="BJ226" t="s">
        <v>167</v>
      </c>
      <c r="BM226">
        <v>0</v>
      </c>
      <c r="BN226">
        <v>0</v>
      </c>
      <c r="BO226" t="s">
        <v>3</v>
      </c>
      <c r="BP226">
        <v>0</v>
      </c>
      <c r="BQ226">
        <v>1</v>
      </c>
      <c r="BR226">
        <v>0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 t="s">
        <v>3</v>
      </c>
      <c r="BZ226">
        <v>70</v>
      </c>
      <c r="CA226">
        <v>0</v>
      </c>
      <c r="CE226">
        <v>0</v>
      </c>
      <c r="CF226">
        <v>0</v>
      </c>
      <c r="CG226">
        <v>0</v>
      </c>
      <c r="CM226">
        <v>0</v>
      </c>
      <c r="CN226" t="s">
        <v>3</v>
      </c>
      <c r="CO226">
        <v>0</v>
      </c>
      <c r="CP226">
        <f>(P226+Q226+S226)</f>
        <v>41989.8</v>
      </c>
      <c r="CQ226">
        <f>(AC226*BC226*AW226)</f>
        <v>19305.25</v>
      </c>
      <c r="CR226">
        <f>((((ET226)*BB226-(EU226)*BS226)+AE226*BS226)*AV226)</f>
        <v>342.53</v>
      </c>
      <c r="CS226">
        <f>(AE226*BS226*AV226)</f>
        <v>0.34</v>
      </c>
      <c r="CT226">
        <f>(AF226*BA226*AV226)</f>
        <v>50335.22</v>
      </c>
      <c r="CU226">
        <f>AG226</f>
        <v>0</v>
      </c>
      <c r="CV226">
        <f>(AH226*AV226)</f>
        <v>231.15</v>
      </c>
      <c r="CW226">
        <f t="shared" ref="CW226:CX230" si="146">AI226</f>
        <v>0</v>
      </c>
      <c r="CX226">
        <f t="shared" si="146"/>
        <v>0</v>
      </c>
      <c r="CY226">
        <f>((S226*BZ226)/100)</f>
        <v>21140.791000000001</v>
      </c>
      <c r="CZ226">
        <f>((S226*CA226)/100)</f>
        <v>0</v>
      </c>
      <c r="DC226" t="s">
        <v>3</v>
      </c>
      <c r="DD226" t="s">
        <v>3</v>
      </c>
      <c r="DE226" t="s">
        <v>3</v>
      </c>
      <c r="DF226" t="s">
        <v>3</v>
      </c>
      <c r="DG226" t="s">
        <v>3</v>
      </c>
      <c r="DH226" t="s">
        <v>3</v>
      </c>
      <c r="DI226" t="s">
        <v>3</v>
      </c>
      <c r="DJ226" t="s">
        <v>3</v>
      </c>
      <c r="DK226" t="s">
        <v>3</v>
      </c>
      <c r="DL226" t="s">
        <v>3</v>
      </c>
      <c r="DM226" t="s">
        <v>3</v>
      </c>
      <c r="DN226">
        <v>0</v>
      </c>
      <c r="DO226">
        <v>0</v>
      </c>
      <c r="DP226">
        <v>1</v>
      </c>
      <c r="DQ226">
        <v>1</v>
      </c>
      <c r="DU226">
        <v>1010</v>
      </c>
      <c r="DV226" t="s">
        <v>61</v>
      </c>
      <c r="DW226" t="s">
        <v>61</v>
      </c>
      <c r="DX226">
        <v>10</v>
      </c>
      <c r="EE226">
        <v>48810626</v>
      </c>
      <c r="EF226">
        <v>1</v>
      </c>
      <c r="EG226" t="s">
        <v>30</v>
      </c>
      <c r="EH226">
        <v>0</v>
      </c>
      <c r="EI226" t="s">
        <v>3</v>
      </c>
      <c r="EJ226">
        <v>4</v>
      </c>
      <c r="EK226">
        <v>0</v>
      </c>
      <c r="EL226" t="s">
        <v>31</v>
      </c>
      <c r="EM226" t="s">
        <v>32</v>
      </c>
      <c r="EO226" t="s">
        <v>3</v>
      </c>
      <c r="EQ226">
        <v>131072</v>
      </c>
      <c r="ER226">
        <v>69983</v>
      </c>
      <c r="ES226">
        <v>19305.25</v>
      </c>
      <c r="ET226">
        <v>342.53</v>
      </c>
      <c r="EU226">
        <v>0.34</v>
      </c>
      <c r="EV226">
        <v>50335.22</v>
      </c>
      <c r="EW226">
        <v>231.15</v>
      </c>
      <c r="EX226">
        <v>0</v>
      </c>
      <c r="EY226">
        <v>0</v>
      </c>
      <c r="FQ226">
        <v>0</v>
      </c>
      <c r="FR226">
        <f>ROUND(IF(AND(BH226=3,BI226=3),P226,0),2)</f>
        <v>0</v>
      </c>
      <c r="FS226">
        <v>0</v>
      </c>
      <c r="FX226">
        <v>70</v>
      </c>
      <c r="FY226">
        <v>0</v>
      </c>
      <c r="GA226" t="s">
        <v>3</v>
      </c>
      <c r="GD226">
        <v>0</v>
      </c>
      <c r="GF226">
        <v>-1289919972</v>
      </c>
      <c r="GG226">
        <v>2</v>
      </c>
      <c r="GH226">
        <v>1</v>
      </c>
      <c r="GI226">
        <v>-2</v>
      </c>
      <c r="GJ226">
        <v>0</v>
      </c>
      <c r="GK226">
        <f>ROUND(R226*(R12)/100,2)</f>
        <v>0.16</v>
      </c>
      <c r="GL226">
        <f>ROUND(IF(AND(BH226=3,BI226=3,FS226&lt;&gt;0),P226,0),2)</f>
        <v>0</v>
      </c>
      <c r="GM226">
        <f>ROUND(O226+X226+Y226+GK226,2)+GX226</f>
        <v>63130.75</v>
      </c>
      <c r="GN226">
        <f>IF(OR(BI226=0,BI226=1),ROUND(O226+X226+Y226+GK226,2),0)</f>
        <v>0</v>
      </c>
      <c r="GO226">
        <f>IF(BI226=2,ROUND(O226+X226+Y226+GK226,2),0)</f>
        <v>0</v>
      </c>
      <c r="GP226">
        <f>IF(BI226=4,ROUND(O226+X226+Y226+GK226,2)+GX226,0)</f>
        <v>63130.75</v>
      </c>
      <c r="GR226">
        <v>0</v>
      </c>
      <c r="GS226">
        <v>3</v>
      </c>
      <c r="GT226">
        <v>0</v>
      </c>
      <c r="GU226" t="s">
        <v>3</v>
      </c>
      <c r="GV226">
        <f>ROUND((GT226),6)</f>
        <v>0</v>
      </c>
      <c r="GW226">
        <v>1</v>
      </c>
      <c r="GX226">
        <f>ROUND(HC226*I226,2)</f>
        <v>0</v>
      </c>
      <c r="HA226">
        <v>0</v>
      </c>
      <c r="HB226">
        <v>0</v>
      </c>
      <c r="HC226">
        <f>GV226*GW226</f>
        <v>0</v>
      </c>
      <c r="IK226">
        <v>0</v>
      </c>
    </row>
    <row r="227" spans="1:245" x14ac:dyDescent="0.2">
      <c r="A227">
        <v>17</v>
      </c>
      <c r="B227">
        <v>1</v>
      </c>
      <c r="C227">
        <f>ROW(SmtRes!A82)</f>
        <v>82</v>
      </c>
      <c r="D227">
        <f>ROW(EtalonRes!A82)</f>
        <v>82</v>
      </c>
      <c r="E227" t="s">
        <v>178</v>
      </c>
      <c r="F227" t="s">
        <v>179</v>
      </c>
      <c r="G227" t="s">
        <v>180</v>
      </c>
      <c r="H227" t="s">
        <v>28</v>
      </c>
      <c r="I227">
        <f>ROUND(4.5/10,9)</f>
        <v>0.45</v>
      </c>
      <c r="J227">
        <v>0</v>
      </c>
      <c r="O227">
        <f>ROUND(CP227,2)</f>
        <v>2461.2199999999998</v>
      </c>
      <c r="P227">
        <f>ROUND(CQ227*I227,2)</f>
        <v>0</v>
      </c>
      <c r="Q227">
        <f>ROUND(CR227*I227,2)</f>
        <v>708.98</v>
      </c>
      <c r="R227">
        <f>ROUND(CS227*I227,2)</f>
        <v>387.96</v>
      </c>
      <c r="S227">
        <f>ROUND(CT227*I227,2)</f>
        <v>1752.24</v>
      </c>
      <c r="T227">
        <f>ROUND(CU227*I227,2)</f>
        <v>0</v>
      </c>
      <c r="U227">
        <f>CV227*I227</f>
        <v>10.872</v>
      </c>
      <c r="V227">
        <f>CW227*I227</f>
        <v>0</v>
      </c>
      <c r="W227">
        <f>ROUND(CX227*I227,2)</f>
        <v>0</v>
      </c>
      <c r="X227">
        <f t="shared" si="143"/>
        <v>1226.57</v>
      </c>
      <c r="Y227">
        <f t="shared" si="143"/>
        <v>0</v>
      </c>
      <c r="AA227">
        <v>53202630</v>
      </c>
      <c r="AB227">
        <f>ROUND((AC227+AD227+AF227),6)</f>
        <v>5469.37</v>
      </c>
      <c r="AC227">
        <f>ROUND((ES227),6)</f>
        <v>0</v>
      </c>
      <c r="AD227">
        <f>ROUND((((ET227)-(EU227))+AE227),6)</f>
        <v>1575.5</v>
      </c>
      <c r="AE227">
        <f t="shared" si="144"/>
        <v>862.14</v>
      </c>
      <c r="AF227">
        <f t="shared" si="144"/>
        <v>3893.87</v>
      </c>
      <c r="AG227">
        <f>ROUND((AP227),6)</f>
        <v>0</v>
      </c>
      <c r="AH227">
        <f t="shared" si="145"/>
        <v>24.16</v>
      </c>
      <c r="AI227">
        <f t="shared" si="145"/>
        <v>0</v>
      </c>
      <c r="AJ227">
        <f>(AS227)</f>
        <v>0</v>
      </c>
      <c r="AK227">
        <v>5469.37</v>
      </c>
      <c r="AL227">
        <v>0</v>
      </c>
      <c r="AM227">
        <v>1575.5</v>
      </c>
      <c r="AN227">
        <v>862.14</v>
      </c>
      <c r="AO227">
        <v>3893.87</v>
      </c>
      <c r="AP227">
        <v>0</v>
      </c>
      <c r="AQ227">
        <v>24.16</v>
      </c>
      <c r="AR227">
        <v>0</v>
      </c>
      <c r="AS227">
        <v>0</v>
      </c>
      <c r="AT227">
        <v>70</v>
      </c>
      <c r="AU227">
        <v>0</v>
      </c>
      <c r="AV227">
        <v>1</v>
      </c>
      <c r="AW227">
        <v>1</v>
      </c>
      <c r="AZ227">
        <v>1</v>
      </c>
      <c r="BA227">
        <v>1</v>
      </c>
      <c r="BB227">
        <v>1</v>
      </c>
      <c r="BC227">
        <v>1</v>
      </c>
      <c r="BD227" t="s">
        <v>3</v>
      </c>
      <c r="BE227" t="s">
        <v>3</v>
      </c>
      <c r="BF227" t="s">
        <v>3</v>
      </c>
      <c r="BG227" t="s">
        <v>3</v>
      </c>
      <c r="BH227">
        <v>0</v>
      </c>
      <c r="BI227">
        <v>4</v>
      </c>
      <c r="BJ227" t="s">
        <v>181</v>
      </c>
      <c r="BM227">
        <v>0</v>
      </c>
      <c r="BN227">
        <v>0</v>
      </c>
      <c r="BO227" t="s">
        <v>3</v>
      </c>
      <c r="BP227">
        <v>0</v>
      </c>
      <c r="BQ227">
        <v>1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 t="s">
        <v>3</v>
      </c>
      <c r="BZ227">
        <v>70</v>
      </c>
      <c r="CA227">
        <v>0</v>
      </c>
      <c r="CE227">
        <v>0</v>
      </c>
      <c r="CF227">
        <v>0</v>
      </c>
      <c r="CG227">
        <v>0</v>
      </c>
      <c r="CM227">
        <v>0</v>
      </c>
      <c r="CN227" t="s">
        <v>3</v>
      </c>
      <c r="CO227">
        <v>0</v>
      </c>
      <c r="CP227">
        <f>(P227+Q227+S227)</f>
        <v>2461.2200000000003</v>
      </c>
      <c r="CQ227">
        <f>(AC227*BC227*AW227)</f>
        <v>0</v>
      </c>
      <c r="CR227">
        <f>((((ET227)*BB227-(EU227)*BS227)+AE227*BS227)*AV227)</f>
        <v>1575.5</v>
      </c>
      <c r="CS227">
        <f>(AE227*BS227*AV227)</f>
        <v>862.14</v>
      </c>
      <c r="CT227">
        <f>(AF227*BA227*AV227)</f>
        <v>3893.87</v>
      </c>
      <c r="CU227">
        <f>AG227</f>
        <v>0</v>
      </c>
      <c r="CV227">
        <f>(AH227*AV227)</f>
        <v>24.16</v>
      </c>
      <c r="CW227">
        <f t="shared" si="146"/>
        <v>0</v>
      </c>
      <c r="CX227">
        <f t="shared" si="146"/>
        <v>0</v>
      </c>
      <c r="CY227">
        <f>((S227*BZ227)/100)</f>
        <v>1226.568</v>
      </c>
      <c r="CZ227">
        <f>((S227*CA227)/100)</f>
        <v>0</v>
      </c>
      <c r="DC227" t="s">
        <v>3</v>
      </c>
      <c r="DD227" t="s">
        <v>3</v>
      </c>
      <c r="DE227" t="s">
        <v>3</v>
      </c>
      <c r="DF227" t="s">
        <v>3</v>
      </c>
      <c r="DG227" t="s">
        <v>3</v>
      </c>
      <c r="DH227" t="s">
        <v>3</v>
      </c>
      <c r="DI227" t="s">
        <v>3</v>
      </c>
      <c r="DJ227" t="s">
        <v>3</v>
      </c>
      <c r="DK227" t="s">
        <v>3</v>
      </c>
      <c r="DL227" t="s">
        <v>3</v>
      </c>
      <c r="DM227" t="s">
        <v>3</v>
      </c>
      <c r="DN227">
        <v>0</v>
      </c>
      <c r="DO227">
        <v>0</v>
      </c>
      <c r="DP227">
        <v>1</v>
      </c>
      <c r="DQ227">
        <v>1</v>
      </c>
      <c r="DU227">
        <v>1013</v>
      </c>
      <c r="DV227" t="s">
        <v>28</v>
      </c>
      <c r="DW227" t="s">
        <v>28</v>
      </c>
      <c r="DX227">
        <v>1</v>
      </c>
      <c r="EE227">
        <v>48810626</v>
      </c>
      <c r="EF227">
        <v>1</v>
      </c>
      <c r="EG227" t="s">
        <v>30</v>
      </c>
      <c r="EH227">
        <v>0</v>
      </c>
      <c r="EI227" t="s">
        <v>3</v>
      </c>
      <c r="EJ227">
        <v>4</v>
      </c>
      <c r="EK227">
        <v>0</v>
      </c>
      <c r="EL227" t="s">
        <v>31</v>
      </c>
      <c r="EM227" t="s">
        <v>32</v>
      </c>
      <c r="EO227" t="s">
        <v>3</v>
      </c>
      <c r="EQ227">
        <v>131072</v>
      </c>
      <c r="ER227">
        <v>5469.37</v>
      </c>
      <c r="ES227">
        <v>0</v>
      </c>
      <c r="ET227">
        <v>1575.5</v>
      </c>
      <c r="EU227">
        <v>862.14</v>
      </c>
      <c r="EV227">
        <v>3893.87</v>
      </c>
      <c r="EW227">
        <v>24.16</v>
      </c>
      <c r="EX227">
        <v>0</v>
      </c>
      <c r="EY227">
        <v>0</v>
      </c>
      <c r="FQ227">
        <v>0</v>
      </c>
      <c r="FR227">
        <f>ROUND(IF(AND(BH227=3,BI227=3),P227,0),2)</f>
        <v>0</v>
      </c>
      <c r="FS227">
        <v>0</v>
      </c>
      <c r="FX227">
        <v>70</v>
      </c>
      <c r="FY227">
        <v>0</v>
      </c>
      <c r="GA227" t="s">
        <v>3</v>
      </c>
      <c r="GD227">
        <v>0</v>
      </c>
      <c r="GF227">
        <v>-1725758910</v>
      </c>
      <c r="GG227">
        <v>2</v>
      </c>
      <c r="GH227">
        <v>1</v>
      </c>
      <c r="GI227">
        <v>-2</v>
      </c>
      <c r="GJ227">
        <v>0</v>
      </c>
      <c r="GK227">
        <f>ROUND(R227*(R12)/100,2)</f>
        <v>302.61</v>
      </c>
      <c r="GL227">
        <f>ROUND(IF(AND(BH227=3,BI227=3,FS227&lt;&gt;0),P227,0),2)</f>
        <v>0</v>
      </c>
      <c r="GM227">
        <f>ROUND(O227+X227+Y227+GK227,2)+GX227</f>
        <v>3990.4</v>
      </c>
      <c r="GN227">
        <f>IF(OR(BI227=0,BI227=1),ROUND(O227+X227+Y227+GK227,2),0)</f>
        <v>0</v>
      </c>
      <c r="GO227">
        <f>IF(BI227=2,ROUND(O227+X227+Y227+GK227,2),0)</f>
        <v>0</v>
      </c>
      <c r="GP227">
        <f>IF(BI227=4,ROUND(O227+X227+Y227+GK227,2)+GX227,0)</f>
        <v>3990.4</v>
      </c>
      <c r="GR227">
        <v>0</v>
      </c>
      <c r="GS227">
        <v>3</v>
      </c>
      <c r="GT227">
        <v>0</v>
      </c>
      <c r="GU227" t="s">
        <v>3</v>
      </c>
      <c r="GV227">
        <f>ROUND((GT227),6)</f>
        <v>0</v>
      </c>
      <c r="GW227">
        <v>1</v>
      </c>
      <c r="GX227">
        <f>ROUND(HC227*I227,2)</f>
        <v>0</v>
      </c>
      <c r="HA227">
        <v>0</v>
      </c>
      <c r="HB227">
        <v>0</v>
      </c>
      <c r="HC227">
        <f>GV227*GW227</f>
        <v>0</v>
      </c>
      <c r="IK227">
        <v>0</v>
      </c>
    </row>
    <row r="228" spans="1:245" x14ac:dyDescent="0.2">
      <c r="A228">
        <v>17</v>
      </c>
      <c r="B228">
        <v>1</v>
      </c>
      <c r="C228">
        <f>ROW(SmtRes!A83)</f>
        <v>83</v>
      </c>
      <c r="D228">
        <f>ROW(EtalonRes!A83)</f>
        <v>83</v>
      </c>
      <c r="E228" t="s">
        <v>182</v>
      </c>
      <c r="F228" t="s">
        <v>183</v>
      </c>
      <c r="G228" t="s">
        <v>184</v>
      </c>
      <c r="H228" t="s">
        <v>28</v>
      </c>
      <c r="I228">
        <f>ROUND(1.5/10,9)</f>
        <v>0.15</v>
      </c>
      <c r="J228">
        <v>0</v>
      </c>
      <c r="O228">
        <f>ROUND(CP228,2)</f>
        <v>1733.78</v>
      </c>
      <c r="P228">
        <f>ROUND(CQ228*I228,2)</f>
        <v>0</v>
      </c>
      <c r="Q228">
        <f>ROUND(CR228*I228,2)</f>
        <v>0</v>
      </c>
      <c r="R228">
        <f>ROUND(CS228*I228,2)</f>
        <v>0</v>
      </c>
      <c r="S228">
        <f>ROUND(CT228*I228,2)</f>
        <v>1733.78</v>
      </c>
      <c r="T228">
        <f>ROUND(CU228*I228,2)</f>
        <v>0</v>
      </c>
      <c r="U228">
        <f>CV228*I228</f>
        <v>10.0725</v>
      </c>
      <c r="V228">
        <f>CW228*I228</f>
        <v>0</v>
      </c>
      <c r="W228">
        <f>ROUND(CX228*I228,2)</f>
        <v>0</v>
      </c>
      <c r="X228">
        <f t="shared" si="143"/>
        <v>1213.6500000000001</v>
      </c>
      <c r="Y228">
        <f t="shared" si="143"/>
        <v>0</v>
      </c>
      <c r="AA228">
        <v>53202630</v>
      </c>
      <c r="AB228">
        <f>ROUND((AC228+AD228+AF228),6)</f>
        <v>11558.53</v>
      </c>
      <c r="AC228">
        <f>ROUND((ES228),6)</f>
        <v>0</v>
      </c>
      <c r="AD228">
        <f>ROUND((((ET228)-(EU228))+AE228),6)</f>
        <v>0</v>
      </c>
      <c r="AE228">
        <f t="shared" si="144"/>
        <v>0</v>
      </c>
      <c r="AF228">
        <f t="shared" si="144"/>
        <v>11558.53</v>
      </c>
      <c r="AG228">
        <f>ROUND((AP228),6)</f>
        <v>0</v>
      </c>
      <c r="AH228">
        <f t="shared" si="145"/>
        <v>67.150000000000006</v>
      </c>
      <c r="AI228">
        <f t="shared" si="145"/>
        <v>0</v>
      </c>
      <c r="AJ228">
        <f>(AS228)</f>
        <v>0</v>
      </c>
      <c r="AK228">
        <v>11558.53</v>
      </c>
      <c r="AL228">
        <v>0</v>
      </c>
      <c r="AM228">
        <v>0</v>
      </c>
      <c r="AN228">
        <v>0</v>
      </c>
      <c r="AO228">
        <v>11558.53</v>
      </c>
      <c r="AP228">
        <v>0</v>
      </c>
      <c r="AQ228">
        <v>67.150000000000006</v>
      </c>
      <c r="AR228">
        <v>0</v>
      </c>
      <c r="AS228">
        <v>0</v>
      </c>
      <c r="AT228">
        <v>70</v>
      </c>
      <c r="AU228">
        <v>0</v>
      </c>
      <c r="AV228">
        <v>1</v>
      </c>
      <c r="AW228">
        <v>1</v>
      </c>
      <c r="AZ228">
        <v>1</v>
      </c>
      <c r="BA228">
        <v>1</v>
      </c>
      <c r="BB228">
        <v>1</v>
      </c>
      <c r="BC228">
        <v>1</v>
      </c>
      <c r="BD228" t="s">
        <v>3</v>
      </c>
      <c r="BE228" t="s">
        <v>3</v>
      </c>
      <c r="BF228" t="s">
        <v>3</v>
      </c>
      <c r="BG228" t="s">
        <v>3</v>
      </c>
      <c r="BH228">
        <v>0</v>
      </c>
      <c r="BI228">
        <v>4</v>
      </c>
      <c r="BJ228" t="s">
        <v>185</v>
      </c>
      <c r="BM228">
        <v>0</v>
      </c>
      <c r="BN228">
        <v>0</v>
      </c>
      <c r="BO228" t="s">
        <v>3</v>
      </c>
      <c r="BP228">
        <v>0</v>
      </c>
      <c r="BQ228">
        <v>1</v>
      </c>
      <c r="BR228">
        <v>0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 t="s">
        <v>3</v>
      </c>
      <c r="BZ228">
        <v>70</v>
      </c>
      <c r="CA228">
        <v>0</v>
      </c>
      <c r="CE228">
        <v>0</v>
      </c>
      <c r="CF228">
        <v>0</v>
      </c>
      <c r="CG228">
        <v>0</v>
      </c>
      <c r="CM228">
        <v>0</v>
      </c>
      <c r="CN228" t="s">
        <v>3</v>
      </c>
      <c r="CO228">
        <v>0</v>
      </c>
      <c r="CP228">
        <f>(P228+Q228+S228)</f>
        <v>1733.78</v>
      </c>
      <c r="CQ228">
        <f>(AC228*BC228*AW228)</f>
        <v>0</v>
      </c>
      <c r="CR228">
        <f>((((ET228)*BB228-(EU228)*BS228)+AE228*BS228)*AV228)</f>
        <v>0</v>
      </c>
      <c r="CS228">
        <f>(AE228*BS228*AV228)</f>
        <v>0</v>
      </c>
      <c r="CT228">
        <f>(AF228*BA228*AV228)</f>
        <v>11558.53</v>
      </c>
      <c r="CU228">
        <f>AG228</f>
        <v>0</v>
      </c>
      <c r="CV228">
        <f>(AH228*AV228)</f>
        <v>67.150000000000006</v>
      </c>
      <c r="CW228">
        <f t="shared" si="146"/>
        <v>0</v>
      </c>
      <c r="CX228">
        <f t="shared" si="146"/>
        <v>0</v>
      </c>
      <c r="CY228">
        <f>((S228*BZ228)/100)</f>
        <v>1213.646</v>
      </c>
      <c r="CZ228">
        <f>((S228*CA228)/100)</f>
        <v>0</v>
      </c>
      <c r="DC228" t="s">
        <v>3</v>
      </c>
      <c r="DD228" t="s">
        <v>3</v>
      </c>
      <c r="DE228" t="s">
        <v>3</v>
      </c>
      <c r="DF228" t="s">
        <v>3</v>
      </c>
      <c r="DG228" t="s">
        <v>3</v>
      </c>
      <c r="DH228" t="s">
        <v>3</v>
      </c>
      <c r="DI228" t="s">
        <v>3</v>
      </c>
      <c r="DJ228" t="s">
        <v>3</v>
      </c>
      <c r="DK228" t="s">
        <v>3</v>
      </c>
      <c r="DL228" t="s">
        <v>3</v>
      </c>
      <c r="DM228" t="s">
        <v>3</v>
      </c>
      <c r="DN228">
        <v>0</v>
      </c>
      <c r="DO228">
        <v>0</v>
      </c>
      <c r="DP228">
        <v>1</v>
      </c>
      <c r="DQ228">
        <v>1</v>
      </c>
      <c r="DU228">
        <v>1013</v>
      </c>
      <c r="DV228" t="s">
        <v>28</v>
      </c>
      <c r="DW228" t="s">
        <v>28</v>
      </c>
      <c r="DX228">
        <v>1</v>
      </c>
      <c r="EE228">
        <v>48810626</v>
      </c>
      <c r="EF228">
        <v>1</v>
      </c>
      <c r="EG228" t="s">
        <v>30</v>
      </c>
      <c r="EH228">
        <v>0</v>
      </c>
      <c r="EI228" t="s">
        <v>3</v>
      </c>
      <c r="EJ228">
        <v>4</v>
      </c>
      <c r="EK228">
        <v>0</v>
      </c>
      <c r="EL228" t="s">
        <v>31</v>
      </c>
      <c r="EM228" t="s">
        <v>32</v>
      </c>
      <c r="EO228" t="s">
        <v>3</v>
      </c>
      <c r="EQ228">
        <v>131072</v>
      </c>
      <c r="ER228">
        <v>11558.53</v>
      </c>
      <c r="ES228">
        <v>0</v>
      </c>
      <c r="ET228">
        <v>0</v>
      </c>
      <c r="EU228">
        <v>0</v>
      </c>
      <c r="EV228">
        <v>11558.53</v>
      </c>
      <c r="EW228">
        <v>67.150000000000006</v>
      </c>
      <c r="EX228">
        <v>0</v>
      </c>
      <c r="EY228">
        <v>0</v>
      </c>
      <c r="FQ228">
        <v>0</v>
      </c>
      <c r="FR228">
        <f>ROUND(IF(AND(BH228=3,BI228=3),P228,0),2)</f>
        <v>0</v>
      </c>
      <c r="FS228">
        <v>0</v>
      </c>
      <c r="FX228">
        <v>70</v>
      </c>
      <c r="FY228">
        <v>0</v>
      </c>
      <c r="GA228" t="s">
        <v>3</v>
      </c>
      <c r="GD228">
        <v>0</v>
      </c>
      <c r="GF228">
        <v>-1599212350</v>
      </c>
      <c r="GG228">
        <v>2</v>
      </c>
      <c r="GH228">
        <v>1</v>
      </c>
      <c r="GI228">
        <v>-2</v>
      </c>
      <c r="GJ228">
        <v>0</v>
      </c>
      <c r="GK228">
        <f>ROUND(R228*(R12)/100,2)</f>
        <v>0</v>
      </c>
      <c r="GL228">
        <f>ROUND(IF(AND(BH228=3,BI228=3,FS228&lt;&gt;0),P228,0),2)</f>
        <v>0</v>
      </c>
      <c r="GM228">
        <f>ROUND(O228+X228+Y228+GK228,2)+GX228</f>
        <v>2947.43</v>
      </c>
      <c r="GN228">
        <f>IF(OR(BI228=0,BI228=1),ROUND(O228+X228+Y228+GK228,2),0)</f>
        <v>0</v>
      </c>
      <c r="GO228">
        <f>IF(BI228=2,ROUND(O228+X228+Y228+GK228,2),0)</f>
        <v>0</v>
      </c>
      <c r="GP228">
        <f>IF(BI228=4,ROUND(O228+X228+Y228+GK228,2)+GX228,0)</f>
        <v>2947.43</v>
      </c>
      <c r="GR228">
        <v>0</v>
      </c>
      <c r="GS228">
        <v>3</v>
      </c>
      <c r="GT228">
        <v>0</v>
      </c>
      <c r="GU228" t="s">
        <v>3</v>
      </c>
      <c r="GV228">
        <f>ROUND((GT228),6)</f>
        <v>0</v>
      </c>
      <c r="GW228">
        <v>1</v>
      </c>
      <c r="GX228">
        <f>ROUND(HC228*I228,2)</f>
        <v>0</v>
      </c>
      <c r="HA228">
        <v>0</v>
      </c>
      <c r="HB228">
        <v>0</v>
      </c>
      <c r="HC228">
        <f>GV228*GW228</f>
        <v>0</v>
      </c>
      <c r="IK228">
        <v>0</v>
      </c>
    </row>
    <row r="229" spans="1:245" x14ac:dyDescent="0.2">
      <c r="A229">
        <v>17</v>
      </c>
      <c r="B229">
        <v>1</v>
      </c>
      <c r="C229">
        <f>ROW(SmtRes!A90)</f>
        <v>90</v>
      </c>
      <c r="D229">
        <f>ROW(EtalonRes!A90)</f>
        <v>90</v>
      </c>
      <c r="E229" t="s">
        <v>186</v>
      </c>
      <c r="F229" t="s">
        <v>169</v>
      </c>
      <c r="G229" t="s">
        <v>170</v>
      </c>
      <c r="H229" t="s">
        <v>61</v>
      </c>
      <c r="I229">
        <f>ROUND(6/10,9)</f>
        <v>0.6</v>
      </c>
      <c r="J229">
        <v>0</v>
      </c>
      <c r="O229">
        <f>ROUND(CP229,2)</f>
        <v>12361.2</v>
      </c>
      <c r="P229">
        <f>ROUND(CQ229*I229,2)</f>
        <v>570.96</v>
      </c>
      <c r="Q229">
        <f>ROUND(CR229*I229,2)</f>
        <v>2552.06</v>
      </c>
      <c r="R229">
        <f>ROUND(CS229*I229,2)</f>
        <v>573.41</v>
      </c>
      <c r="S229">
        <f>ROUND(CT229*I229,2)</f>
        <v>9238.18</v>
      </c>
      <c r="T229">
        <f>ROUND(CU229*I229,2)</f>
        <v>0</v>
      </c>
      <c r="U229">
        <f>CV229*I229</f>
        <v>40.847999999999999</v>
      </c>
      <c r="V229">
        <f>CW229*I229</f>
        <v>0</v>
      </c>
      <c r="W229">
        <f>ROUND(CX229*I229,2)</f>
        <v>0</v>
      </c>
      <c r="X229">
        <f t="shared" si="143"/>
        <v>6466.73</v>
      </c>
      <c r="Y229">
        <f t="shared" si="143"/>
        <v>0</v>
      </c>
      <c r="AA229">
        <v>53202630</v>
      </c>
      <c r="AB229">
        <f>ROUND((AC229+AD229+AF229),6)</f>
        <v>20602.009999999998</v>
      </c>
      <c r="AC229">
        <f>ROUND((ES229),6)</f>
        <v>951.6</v>
      </c>
      <c r="AD229">
        <f>ROUND((((ET229)-(EU229))+AE229),6)</f>
        <v>4253.4399999999996</v>
      </c>
      <c r="AE229">
        <f t="shared" si="144"/>
        <v>955.69</v>
      </c>
      <c r="AF229">
        <f t="shared" si="144"/>
        <v>15396.97</v>
      </c>
      <c r="AG229">
        <f>ROUND((AP229),6)</f>
        <v>0</v>
      </c>
      <c r="AH229">
        <f t="shared" si="145"/>
        <v>68.08</v>
      </c>
      <c r="AI229">
        <f t="shared" si="145"/>
        <v>0</v>
      </c>
      <c r="AJ229">
        <f>(AS229)</f>
        <v>0</v>
      </c>
      <c r="AK229">
        <v>20602.009999999998</v>
      </c>
      <c r="AL229">
        <v>951.6</v>
      </c>
      <c r="AM229">
        <v>4253.4399999999996</v>
      </c>
      <c r="AN229">
        <v>955.69</v>
      </c>
      <c r="AO229">
        <v>15396.97</v>
      </c>
      <c r="AP229">
        <v>0</v>
      </c>
      <c r="AQ229">
        <v>68.08</v>
      </c>
      <c r="AR229">
        <v>0</v>
      </c>
      <c r="AS229">
        <v>0</v>
      </c>
      <c r="AT229">
        <v>70</v>
      </c>
      <c r="AU229">
        <v>0</v>
      </c>
      <c r="AV229">
        <v>1</v>
      </c>
      <c r="AW229">
        <v>1</v>
      </c>
      <c r="AZ229">
        <v>1</v>
      </c>
      <c r="BA229">
        <v>1</v>
      </c>
      <c r="BB229">
        <v>1</v>
      </c>
      <c r="BC229">
        <v>1</v>
      </c>
      <c r="BD229" t="s">
        <v>3</v>
      </c>
      <c r="BE229" t="s">
        <v>3</v>
      </c>
      <c r="BF229" t="s">
        <v>3</v>
      </c>
      <c r="BG229" t="s">
        <v>3</v>
      </c>
      <c r="BH229">
        <v>0</v>
      </c>
      <c r="BI229">
        <v>4</v>
      </c>
      <c r="BJ229" t="s">
        <v>171</v>
      </c>
      <c r="BM229">
        <v>0</v>
      </c>
      <c r="BN229">
        <v>0</v>
      </c>
      <c r="BO229" t="s">
        <v>3</v>
      </c>
      <c r="BP229">
        <v>0</v>
      </c>
      <c r="BQ229">
        <v>1</v>
      </c>
      <c r="BR229">
        <v>0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 t="s">
        <v>3</v>
      </c>
      <c r="BZ229">
        <v>70</v>
      </c>
      <c r="CA229">
        <v>0</v>
      </c>
      <c r="CE229">
        <v>0</v>
      </c>
      <c r="CF229">
        <v>0</v>
      </c>
      <c r="CG229">
        <v>0</v>
      </c>
      <c r="CM229">
        <v>0</v>
      </c>
      <c r="CN229" t="s">
        <v>3</v>
      </c>
      <c r="CO229">
        <v>0</v>
      </c>
      <c r="CP229">
        <f>(P229+Q229+S229)</f>
        <v>12361.2</v>
      </c>
      <c r="CQ229">
        <f>(AC229*BC229*AW229)</f>
        <v>951.6</v>
      </c>
      <c r="CR229">
        <f>((((ET229)*BB229-(EU229)*BS229)+AE229*BS229)*AV229)</f>
        <v>4253.4399999999996</v>
      </c>
      <c r="CS229">
        <f>(AE229*BS229*AV229)</f>
        <v>955.69</v>
      </c>
      <c r="CT229">
        <f>(AF229*BA229*AV229)</f>
        <v>15396.97</v>
      </c>
      <c r="CU229">
        <f>AG229</f>
        <v>0</v>
      </c>
      <c r="CV229">
        <f>(AH229*AV229)</f>
        <v>68.08</v>
      </c>
      <c r="CW229">
        <f t="shared" si="146"/>
        <v>0</v>
      </c>
      <c r="CX229">
        <f t="shared" si="146"/>
        <v>0</v>
      </c>
      <c r="CY229">
        <f>((S229*BZ229)/100)</f>
        <v>6466.7259999999997</v>
      </c>
      <c r="CZ229">
        <f>((S229*CA229)/100)</f>
        <v>0</v>
      </c>
      <c r="DC229" t="s">
        <v>3</v>
      </c>
      <c r="DD229" t="s">
        <v>3</v>
      </c>
      <c r="DE229" t="s">
        <v>3</v>
      </c>
      <c r="DF229" t="s">
        <v>3</v>
      </c>
      <c r="DG229" t="s">
        <v>3</v>
      </c>
      <c r="DH229" t="s">
        <v>3</v>
      </c>
      <c r="DI229" t="s">
        <v>3</v>
      </c>
      <c r="DJ229" t="s">
        <v>3</v>
      </c>
      <c r="DK229" t="s">
        <v>3</v>
      </c>
      <c r="DL229" t="s">
        <v>3</v>
      </c>
      <c r="DM229" t="s">
        <v>3</v>
      </c>
      <c r="DN229">
        <v>0</v>
      </c>
      <c r="DO229">
        <v>0</v>
      </c>
      <c r="DP229">
        <v>1</v>
      </c>
      <c r="DQ229">
        <v>1</v>
      </c>
      <c r="DU229">
        <v>1010</v>
      </c>
      <c r="DV229" t="s">
        <v>61</v>
      </c>
      <c r="DW229" t="s">
        <v>61</v>
      </c>
      <c r="DX229">
        <v>10</v>
      </c>
      <c r="EE229">
        <v>48810626</v>
      </c>
      <c r="EF229">
        <v>1</v>
      </c>
      <c r="EG229" t="s">
        <v>30</v>
      </c>
      <c r="EH229">
        <v>0</v>
      </c>
      <c r="EI229" t="s">
        <v>3</v>
      </c>
      <c r="EJ229">
        <v>4</v>
      </c>
      <c r="EK229">
        <v>0</v>
      </c>
      <c r="EL229" t="s">
        <v>31</v>
      </c>
      <c r="EM229" t="s">
        <v>32</v>
      </c>
      <c r="EO229" t="s">
        <v>3</v>
      </c>
      <c r="EQ229">
        <v>131072</v>
      </c>
      <c r="ER229">
        <v>20602.009999999998</v>
      </c>
      <c r="ES229">
        <v>951.6</v>
      </c>
      <c r="ET229">
        <v>4253.4399999999996</v>
      </c>
      <c r="EU229">
        <v>955.69</v>
      </c>
      <c r="EV229">
        <v>15396.97</v>
      </c>
      <c r="EW229">
        <v>68.08</v>
      </c>
      <c r="EX229">
        <v>0</v>
      </c>
      <c r="EY229">
        <v>0</v>
      </c>
      <c r="FQ229">
        <v>0</v>
      </c>
      <c r="FR229">
        <f>ROUND(IF(AND(BH229=3,BI229=3),P229,0),2)</f>
        <v>0</v>
      </c>
      <c r="FS229">
        <v>0</v>
      </c>
      <c r="FX229">
        <v>70</v>
      </c>
      <c r="FY229">
        <v>0</v>
      </c>
      <c r="GA229" t="s">
        <v>3</v>
      </c>
      <c r="GD229">
        <v>0</v>
      </c>
      <c r="GF229">
        <v>-1966813292</v>
      </c>
      <c r="GG229">
        <v>2</v>
      </c>
      <c r="GH229">
        <v>1</v>
      </c>
      <c r="GI229">
        <v>-2</v>
      </c>
      <c r="GJ229">
        <v>0</v>
      </c>
      <c r="GK229">
        <f>ROUND(R229*(R12)/100,2)</f>
        <v>447.26</v>
      </c>
      <c r="GL229">
        <f>ROUND(IF(AND(BH229=3,BI229=3,FS229&lt;&gt;0),P229,0),2)</f>
        <v>0</v>
      </c>
      <c r="GM229">
        <f>ROUND(O229+X229+Y229+GK229,2)+GX229</f>
        <v>19275.189999999999</v>
      </c>
      <c r="GN229">
        <f>IF(OR(BI229=0,BI229=1),ROUND(O229+X229+Y229+GK229,2),0)</f>
        <v>0</v>
      </c>
      <c r="GO229">
        <f>IF(BI229=2,ROUND(O229+X229+Y229+GK229,2),0)</f>
        <v>0</v>
      </c>
      <c r="GP229">
        <f>IF(BI229=4,ROUND(O229+X229+Y229+GK229,2)+GX229,0)</f>
        <v>19275.189999999999</v>
      </c>
      <c r="GR229">
        <v>0</v>
      </c>
      <c r="GS229">
        <v>3</v>
      </c>
      <c r="GT229">
        <v>0</v>
      </c>
      <c r="GU229" t="s">
        <v>3</v>
      </c>
      <c r="GV229">
        <f>ROUND((GT229),6)</f>
        <v>0</v>
      </c>
      <c r="GW229">
        <v>1</v>
      </c>
      <c r="GX229">
        <f>ROUND(HC229*I229,2)</f>
        <v>0</v>
      </c>
      <c r="HA229">
        <v>0</v>
      </c>
      <c r="HB229">
        <v>0</v>
      </c>
      <c r="HC229">
        <f>GV229*GW229</f>
        <v>0</v>
      </c>
      <c r="IK229">
        <v>0</v>
      </c>
    </row>
    <row r="230" spans="1:245" x14ac:dyDescent="0.2">
      <c r="A230">
        <v>18</v>
      </c>
      <c r="B230">
        <v>1</v>
      </c>
      <c r="C230">
        <v>89</v>
      </c>
      <c r="E230" t="s">
        <v>187</v>
      </c>
      <c r="F230" t="s">
        <v>173</v>
      </c>
      <c r="G230" t="s">
        <v>174</v>
      </c>
      <c r="H230" t="s">
        <v>70</v>
      </c>
      <c r="I230">
        <f>I229*J230</f>
        <v>6</v>
      </c>
      <c r="J230">
        <v>10</v>
      </c>
      <c r="O230">
        <f>ROUND(CP230,2)</f>
        <v>51789.599999999999</v>
      </c>
      <c r="P230">
        <f>ROUND(CQ230*I230,2)</f>
        <v>51789.599999999999</v>
      </c>
      <c r="Q230">
        <f>ROUND(CR230*I230,2)</f>
        <v>0</v>
      </c>
      <c r="R230">
        <f>ROUND(CS230*I230,2)</f>
        <v>0</v>
      </c>
      <c r="S230">
        <f>ROUND(CT230*I230,2)</f>
        <v>0</v>
      </c>
      <c r="T230">
        <f>ROUND(CU230*I230,2)</f>
        <v>0</v>
      </c>
      <c r="U230">
        <f>CV230*I230</f>
        <v>0</v>
      </c>
      <c r="V230">
        <f>CW230*I230</f>
        <v>0</v>
      </c>
      <c r="W230">
        <f>ROUND(CX230*I230,2)</f>
        <v>0</v>
      </c>
      <c r="X230">
        <f t="shared" si="143"/>
        <v>0</v>
      </c>
      <c r="Y230">
        <f t="shared" si="143"/>
        <v>0</v>
      </c>
      <c r="AA230">
        <v>53202630</v>
      </c>
      <c r="AB230">
        <f>ROUND((AC230+AD230+AF230),6)</f>
        <v>8631.6</v>
      </c>
      <c r="AC230">
        <f>ROUND((ES230),6)</f>
        <v>8631.6</v>
      </c>
      <c r="AD230">
        <f>ROUND((((ET230)-(EU230))+AE230),6)</f>
        <v>0</v>
      </c>
      <c r="AE230">
        <f t="shared" si="144"/>
        <v>0</v>
      </c>
      <c r="AF230">
        <f t="shared" si="144"/>
        <v>0</v>
      </c>
      <c r="AG230">
        <f>ROUND((AP230),6)</f>
        <v>0</v>
      </c>
      <c r="AH230">
        <f t="shared" si="145"/>
        <v>0</v>
      </c>
      <c r="AI230">
        <f t="shared" si="145"/>
        <v>0</v>
      </c>
      <c r="AJ230">
        <f>(AS230)</f>
        <v>0</v>
      </c>
      <c r="AK230">
        <v>8631.6</v>
      </c>
      <c r="AL230">
        <v>8631.6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70</v>
      </c>
      <c r="AU230">
        <v>10</v>
      </c>
      <c r="AV230">
        <v>1</v>
      </c>
      <c r="AW230">
        <v>1</v>
      </c>
      <c r="AZ230">
        <v>1</v>
      </c>
      <c r="BA230">
        <v>1</v>
      </c>
      <c r="BB230">
        <v>1</v>
      </c>
      <c r="BC230">
        <v>1</v>
      </c>
      <c r="BD230" t="s">
        <v>3</v>
      </c>
      <c r="BE230" t="s">
        <v>3</v>
      </c>
      <c r="BF230" t="s">
        <v>3</v>
      </c>
      <c r="BG230" t="s">
        <v>3</v>
      </c>
      <c r="BH230">
        <v>3</v>
      </c>
      <c r="BI230">
        <v>4</v>
      </c>
      <c r="BJ230" t="s">
        <v>175</v>
      </c>
      <c r="BM230">
        <v>0</v>
      </c>
      <c r="BN230">
        <v>0</v>
      </c>
      <c r="BO230" t="s">
        <v>3</v>
      </c>
      <c r="BP230">
        <v>0</v>
      </c>
      <c r="BQ230">
        <v>1</v>
      </c>
      <c r="BR230">
        <v>0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 t="s">
        <v>3</v>
      </c>
      <c r="BZ230">
        <v>70</v>
      </c>
      <c r="CA230">
        <v>10</v>
      </c>
      <c r="CE230">
        <v>0</v>
      </c>
      <c r="CF230">
        <v>0</v>
      </c>
      <c r="CG230">
        <v>0</v>
      </c>
      <c r="CM230">
        <v>0</v>
      </c>
      <c r="CN230" t="s">
        <v>3</v>
      </c>
      <c r="CO230">
        <v>0</v>
      </c>
      <c r="CP230">
        <f>(P230+Q230+S230)</f>
        <v>51789.599999999999</v>
      </c>
      <c r="CQ230">
        <f>(AC230*BC230*AW230)</f>
        <v>8631.6</v>
      </c>
      <c r="CR230">
        <f>((((ET230)*BB230-(EU230)*BS230)+AE230*BS230)*AV230)</f>
        <v>0</v>
      </c>
      <c r="CS230">
        <f>(AE230*BS230*AV230)</f>
        <v>0</v>
      </c>
      <c r="CT230">
        <f>(AF230*BA230*AV230)</f>
        <v>0</v>
      </c>
      <c r="CU230">
        <f>AG230</f>
        <v>0</v>
      </c>
      <c r="CV230">
        <f>(AH230*AV230)</f>
        <v>0</v>
      </c>
      <c r="CW230">
        <f t="shared" si="146"/>
        <v>0</v>
      </c>
      <c r="CX230">
        <f t="shared" si="146"/>
        <v>0</v>
      </c>
      <c r="CY230">
        <f>((S230*BZ230)/100)</f>
        <v>0</v>
      </c>
      <c r="CZ230">
        <f>((S230*CA230)/100)</f>
        <v>0</v>
      </c>
      <c r="DC230" t="s">
        <v>3</v>
      </c>
      <c r="DD230" t="s">
        <v>3</v>
      </c>
      <c r="DE230" t="s">
        <v>3</v>
      </c>
      <c r="DF230" t="s">
        <v>3</v>
      </c>
      <c r="DG230" t="s">
        <v>3</v>
      </c>
      <c r="DH230" t="s">
        <v>3</v>
      </c>
      <c r="DI230" t="s">
        <v>3</v>
      </c>
      <c r="DJ230" t="s">
        <v>3</v>
      </c>
      <c r="DK230" t="s">
        <v>3</v>
      </c>
      <c r="DL230" t="s">
        <v>3</v>
      </c>
      <c r="DM230" t="s">
        <v>3</v>
      </c>
      <c r="DN230">
        <v>0</v>
      </c>
      <c r="DO230">
        <v>0</v>
      </c>
      <c r="DP230">
        <v>1</v>
      </c>
      <c r="DQ230">
        <v>1</v>
      </c>
      <c r="DU230">
        <v>1010</v>
      </c>
      <c r="DV230" t="s">
        <v>70</v>
      </c>
      <c r="DW230" t="s">
        <v>70</v>
      </c>
      <c r="DX230">
        <v>1</v>
      </c>
      <c r="EE230">
        <v>48810626</v>
      </c>
      <c r="EF230">
        <v>1</v>
      </c>
      <c r="EG230" t="s">
        <v>30</v>
      </c>
      <c r="EH230">
        <v>0</v>
      </c>
      <c r="EI230" t="s">
        <v>3</v>
      </c>
      <c r="EJ230">
        <v>4</v>
      </c>
      <c r="EK230">
        <v>0</v>
      </c>
      <c r="EL230" t="s">
        <v>31</v>
      </c>
      <c r="EM230" t="s">
        <v>32</v>
      </c>
      <c r="EO230" t="s">
        <v>3</v>
      </c>
      <c r="EQ230">
        <v>0</v>
      </c>
      <c r="ER230">
        <v>8631.6</v>
      </c>
      <c r="ES230">
        <v>8631.6</v>
      </c>
      <c r="ET230">
        <v>0</v>
      </c>
      <c r="EU230">
        <v>0</v>
      </c>
      <c r="EV230">
        <v>0</v>
      </c>
      <c r="EW230">
        <v>0</v>
      </c>
      <c r="EX230">
        <v>0</v>
      </c>
      <c r="FQ230">
        <v>0</v>
      </c>
      <c r="FR230">
        <f>ROUND(IF(AND(BH230=3,BI230=3),P230,0),2)</f>
        <v>0</v>
      </c>
      <c r="FS230">
        <v>0</v>
      </c>
      <c r="FX230">
        <v>70</v>
      </c>
      <c r="FY230">
        <v>10</v>
      </c>
      <c r="GA230" t="s">
        <v>3</v>
      </c>
      <c r="GD230">
        <v>0</v>
      </c>
      <c r="GF230">
        <v>-800209048</v>
      </c>
      <c r="GG230">
        <v>2</v>
      </c>
      <c r="GH230">
        <v>1</v>
      </c>
      <c r="GI230">
        <v>-2</v>
      </c>
      <c r="GJ230">
        <v>0</v>
      </c>
      <c r="GK230">
        <f>ROUND(R230*(R12)/100,2)</f>
        <v>0</v>
      </c>
      <c r="GL230">
        <f>ROUND(IF(AND(BH230=3,BI230=3,FS230&lt;&gt;0),P230,0),2)</f>
        <v>0</v>
      </c>
      <c r="GM230">
        <f>ROUND(O230+X230+Y230+GK230,2)+GX230</f>
        <v>51789.599999999999</v>
      </c>
      <c r="GN230">
        <f>IF(OR(BI230=0,BI230=1),ROUND(O230+X230+Y230+GK230,2),0)</f>
        <v>0</v>
      </c>
      <c r="GO230">
        <f>IF(BI230=2,ROUND(O230+X230+Y230+GK230,2),0)</f>
        <v>0</v>
      </c>
      <c r="GP230">
        <f>IF(BI230=4,ROUND(O230+X230+Y230+GK230,2)+GX230,0)</f>
        <v>51789.599999999999</v>
      </c>
      <c r="GR230">
        <v>0</v>
      </c>
      <c r="GS230">
        <v>3</v>
      </c>
      <c r="GT230">
        <v>0</v>
      </c>
      <c r="GU230" t="s">
        <v>3</v>
      </c>
      <c r="GV230">
        <f>ROUND((GT230),6)</f>
        <v>0</v>
      </c>
      <c r="GW230">
        <v>1</v>
      </c>
      <c r="GX230">
        <f>ROUND(HC230*I230,2)</f>
        <v>0</v>
      </c>
      <c r="HA230">
        <v>0</v>
      </c>
      <c r="HB230">
        <v>0</v>
      </c>
      <c r="HC230">
        <f>GV230*GW230</f>
        <v>0</v>
      </c>
      <c r="IK230">
        <v>0</v>
      </c>
    </row>
    <row r="232" spans="1:245" x14ac:dyDescent="0.2">
      <c r="A232" s="2">
        <v>51</v>
      </c>
      <c r="B232" s="2">
        <f>B222</f>
        <v>1</v>
      </c>
      <c r="C232" s="2">
        <f>A222</f>
        <v>5</v>
      </c>
      <c r="D232" s="2">
        <f>ROW(A222)</f>
        <v>222</v>
      </c>
      <c r="E232" s="2"/>
      <c r="F232" s="2" t="str">
        <f>IF(F222&lt;&gt;"",F222,"")</f>
        <v>Новый подраздел</v>
      </c>
      <c r="G232" s="2" t="str">
        <f>IF(G222&lt;&gt;"",G222,"")</f>
        <v>Восстановление отпада деревьев 5%</v>
      </c>
      <c r="H232" s="2">
        <v>0</v>
      </c>
      <c r="I232" s="2"/>
      <c r="J232" s="2"/>
      <c r="K232" s="2"/>
      <c r="L232" s="2"/>
      <c r="M232" s="2"/>
      <c r="N232" s="2"/>
      <c r="O232" s="2">
        <f t="shared" ref="O232:T232" si="147">ROUND(AB232,2)</f>
        <v>110335.6</v>
      </c>
      <c r="P232" s="2">
        <f t="shared" si="147"/>
        <v>63943.71</v>
      </c>
      <c r="Q232" s="2">
        <f t="shared" si="147"/>
        <v>3466.56</v>
      </c>
      <c r="R232" s="2">
        <f t="shared" si="147"/>
        <v>961.57</v>
      </c>
      <c r="S232" s="2">
        <f t="shared" si="147"/>
        <v>42925.33</v>
      </c>
      <c r="T232" s="2">
        <f t="shared" si="147"/>
        <v>0</v>
      </c>
      <c r="U232" s="2">
        <f>AH232</f>
        <v>200.48250000000002</v>
      </c>
      <c r="V232" s="2">
        <f>AI232</f>
        <v>0</v>
      </c>
      <c r="W232" s="2">
        <f>ROUND(AJ232,2)</f>
        <v>0</v>
      </c>
      <c r="X232" s="2">
        <f>ROUND(AK232,2)</f>
        <v>30047.74</v>
      </c>
      <c r="Y232" s="2">
        <f>ROUND(AL232,2)</f>
        <v>0</v>
      </c>
      <c r="Z232" s="2"/>
      <c r="AA232" s="2"/>
      <c r="AB232" s="2">
        <f>ROUND(SUMIF(AA226:AA230,"=53202630",O226:O230),2)</f>
        <v>110335.6</v>
      </c>
      <c r="AC232" s="2">
        <f>ROUND(SUMIF(AA226:AA230,"=53202630",P226:P230),2)</f>
        <v>63943.71</v>
      </c>
      <c r="AD232" s="2">
        <f>ROUND(SUMIF(AA226:AA230,"=53202630",Q226:Q230),2)</f>
        <v>3466.56</v>
      </c>
      <c r="AE232" s="2">
        <f>ROUND(SUMIF(AA226:AA230,"=53202630",R226:R230),2)</f>
        <v>961.57</v>
      </c>
      <c r="AF232" s="2">
        <f>ROUND(SUMIF(AA226:AA230,"=53202630",S226:S230),2)</f>
        <v>42925.33</v>
      </c>
      <c r="AG232" s="2">
        <f>ROUND(SUMIF(AA226:AA230,"=53202630",T226:T230),2)</f>
        <v>0</v>
      </c>
      <c r="AH232" s="2">
        <f>SUMIF(AA226:AA230,"=53202630",U226:U230)</f>
        <v>200.48250000000002</v>
      </c>
      <c r="AI232" s="2">
        <f>SUMIF(AA226:AA230,"=53202630",V226:V230)</f>
        <v>0</v>
      </c>
      <c r="AJ232" s="2">
        <f>ROUND(SUMIF(AA226:AA230,"=53202630",W226:W230),2)</f>
        <v>0</v>
      </c>
      <c r="AK232" s="2">
        <f>ROUND(SUMIF(AA226:AA230,"=53202630",X226:X230),2)</f>
        <v>30047.74</v>
      </c>
      <c r="AL232" s="2">
        <f>ROUND(SUMIF(AA226:AA230,"=53202630",Y226:Y230),2)</f>
        <v>0</v>
      </c>
      <c r="AM232" s="2"/>
      <c r="AN232" s="2"/>
      <c r="AO232" s="2">
        <f t="shared" ref="AO232:BC232" si="148">ROUND(BX232,2)</f>
        <v>0</v>
      </c>
      <c r="AP232" s="2">
        <f t="shared" si="148"/>
        <v>0</v>
      </c>
      <c r="AQ232" s="2">
        <f t="shared" si="148"/>
        <v>0</v>
      </c>
      <c r="AR232" s="2">
        <f t="shared" si="148"/>
        <v>141133.37</v>
      </c>
      <c r="AS232" s="2">
        <f t="shared" si="148"/>
        <v>0</v>
      </c>
      <c r="AT232" s="2">
        <f t="shared" si="148"/>
        <v>0</v>
      </c>
      <c r="AU232" s="2">
        <f t="shared" si="148"/>
        <v>141133.37</v>
      </c>
      <c r="AV232" s="2">
        <f t="shared" si="148"/>
        <v>63943.71</v>
      </c>
      <c r="AW232" s="2">
        <f t="shared" si="148"/>
        <v>63943.71</v>
      </c>
      <c r="AX232" s="2">
        <f t="shared" si="148"/>
        <v>0</v>
      </c>
      <c r="AY232" s="2">
        <f t="shared" si="148"/>
        <v>63943.71</v>
      </c>
      <c r="AZ232" s="2">
        <f t="shared" si="148"/>
        <v>0</v>
      </c>
      <c r="BA232" s="2">
        <f t="shared" si="148"/>
        <v>0</v>
      </c>
      <c r="BB232" s="2">
        <f t="shared" si="148"/>
        <v>0</v>
      </c>
      <c r="BC232" s="2">
        <f t="shared" si="148"/>
        <v>0</v>
      </c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>
        <f>ROUND(SUMIF(AA226:AA230,"=53202630",FQ226:FQ230),2)</f>
        <v>0</v>
      </c>
      <c r="BY232" s="2">
        <f>ROUND(SUMIF(AA226:AA230,"=53202630",FR226:FR230),2)</f>
        <v>0</v>
      </c>
      <c r="BZ232" s="2">
        <f>ROUND(SUMIF(AA226:AA230,"=53202630",GL226:GL230),2)</f>
        <v>0</v>
      </c>
      <c r="CA232" s="2">
        <f>ROUND(SUMIF(AA226:AA230,"=53202630",GM226:GM230),2)</f>
        <v>141133.37</v>
      </c>
      <c r="CB232" s="2">
        <f>ROUND(SUMIF(AA226:AA230,"=53202630",GN226:GN230),2)</f>
        <v>0</v>
      </c>
      <c r="CC232" s="2">
        <f>ROUND(SUMIF(AA226:AA230,"=53202630",GO226:GO230),2)</f>
        <v>0</v>
      </c>
      <c r="CD232" s="2">
        <f>ROUND(SUMIF(AA226:AA230,"=53202630",GP226:GP230),2)</f>
        <v>141133.37</v>
      </c>
      <c r="CE232" s="2">
        <f>AC232-BX232</f>
        <v>63943.71</v>
      </c>
      <c r="CF232" s="2">
        <f>AC232-BY232</f>
        <v>63943.71</v>
      </c>
      <c r="CG232" s="2">
        <f>BX232-BZ232</f>
        <v>0</v>
      </c>
      <c r="CH232" s="2">
        <f>AC232-BX232-BY232+BZ232</f>
        <v>63943.71</v>
      </c>
      <c r="CI232" s="2">
        <f>BY232-BZ232</f>
        <v>0</v>
      </c>
      <c r="CJ232" s="2">
        <f>ROUND(SUMIF(AA226:AA230,"=53202630",GX226:GX230),2)</f>
        <v>0</v>
      </c>
      <c r="CK232" s="2">
        <f>ROUND(SUMIF(AA226:AA230,"=53202630",GY226:GY230),2)</f>
        <v>0</v>
      </c>
      <c r="CL232" s="2">
        <f>ROUND(SUMIF(AA226:AA230,"=53202630",GZ226:GZ230),2)</f>
        <v>0</v>
      </c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>
        <v>0</v>
      </c>
    </row>
    <row r="234" spans="1:245" x14ac:dyDescent="0.2">
      <c r="A234" s="4">
        <v>50</v>
      </c>
      <c r="B234" s="4">
        <v>0</v>
      </c>
      <c r="C234" s="4">
        <v>0</v>
      </c>
      <c r="D234" s="4">
        <v>1</v>
      </c>
      <c r="E234" s="4">
        <v>201</v>
      </c>
      <c r="F234" s="4">
        <f>ROUND(Source!O232,O234)</f>
        <v>110335.6</v>
      </c>
      <c r="G234" s="4" t="s">
        <v>72</v>
      </c>
      <c r="H234" s="4" t="s">
        <v>73</v>
      </c>
      <c r="I234" s="4"/>
      <c r="J234" s="4"/>
      <c r="K234" s="4">
        <v>201</v>
      </c>
      <c r="L234" s="4">
        <v>1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45" x14ac:dyDescent="0.2">
      <c r="A235" s="4">
        <v>50</v>
      </c>
      <c r="B235" s="4">
        <v>0</v>
      </c>
      <c r="C235" s="4">
        <v>0</v>
      </c>
      <c r="D235" s="4">
        <v>1</v>
      </c>
      <c r="E235" s="4">
        <v>202</v>
      </c>
      <c r="F235" s="4">
        <f>ROUND(Source!P232,O235)</f>
        <v>63943.71</v>
      </c>
      <c r="G235" s="4" t="s">
        <v>74</v>
      </c>
      <c r="H235" s="4" t="s">
        <v>75</v>
      </c>
      <c r="I235" s="4"/>
      <c r="J235" s="4"/>
      <c r="K235" s="4">
        <v>202</v>
      </c>
      <c r="L235" s="4">
        <v>2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45" x14ac:dyDescent="0.2">
      <c r="A236" s="4">
        <v>50</v>
      </c>
      <c r="B236" s="4">
        <v>0</v>
      </c>
      <c r="C236" s="4">
        <v>0</v>
      </c>
      <c r="D236" s="4">
        <v>1</v>
      </c>
      <c r="E236" s="4">
        <v>222</v>
      </c>
      <c r="F236" s="4">
        <f>ROUND(Source!AO232,O236)</f>
        <v>0</v>
      </c>
      <c r="G236" s="4" t="s">
        <v>76</v>
      </c>
      <c r="H236" s="4" t="s">
        <v>77</v>
      </c>
      <c r="I236" s="4"/>
      <c r="J236" s="4"/>
      <c r="K236" s="4">
        <v>222</v>
      </c>
      <c r="L236" s="4">
        <v>3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45" x14ac:dyDescent="0.2">
      <c r="A237" s="4">
        <v>50</v>
      </c>
      <c r="B237" s="4">
        <v>0</v>
      </c>
      <c r="C237" s="4">
        <v>0</v>
      </c>
      <c r="D237" s="4">
        <v>1</v>
      </c>
      <c r="E237" s="4">
        <v>225</v>
      </c>
      <c r="F237" s="4">
        <f>ROUND(Source!AV232,O237)</f>
        <v>63943.71</v>
      </c>
      <c r="G237" s="4" t="s">
        <v>78</v>
      </c>
      <c r="H237" s="4" t="s">
        <v>79</v>
      </c>
      <c r="I237" s="4"/>
      <c r="J237" s="4"/>
      <c r="K237" s="4">
        <v>225</v>
      </c>
      <c r="L237" s="4">
        <v>4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45" x14ac:dyDescent="0.2">
      <c r="A238" s="4">
        <v>50</v>
      </c>
      <c r="B238" s="4">
        <v>0</v>
      </c>
      <c r="C238" s="4">
        <v>0</v>
      </c>
      <c r="D238" s="4">
        <v>1</v>
      </c>
      <c r="E238" s="4">
        <v>226</v>
      </c>
      <c r="F238" s="4">
        <f>ROUND(Source!AW232,O238)</f>
        <v>63943.71</v>
      </c>
      <c r="G238" s="4" t="s">
        <v>80</v>
      </c>
      <c r="H238" s="4" t="s">
        <v>81</v>
      </c>
      <c r="I238" s="4"/>
      <c r="J238" s="4"/>
      <c r="K238" s="4">
        <v>226</v>
      </c>
      <c r="L238" s="4">
        <v>5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45" x14ac:dyDescent="0.2">
      <c r="A239" s="4">
        <v>50</v>
      </c>
      <c r="B239" s="4">
        <v>0</v>
      </c>
      <c r="C239" s="4">
        <v>0</v>
      </c>
      <c r="D239" s="4">
        <v>1</v>
      </c>
      <c r="E239" s="4">
        <v>227</v>
      </c>
      <c r="F239" s="4">
        <f>ROUND(Source!AX232,O239)</f>
        <v>0</v>
      </c>
      <c r="G239" s="4" t="s">
        <v>82</v>
      </c>
      <c r="H239" s="4" t="s">
        <v>83</v>
      </c>
      <c r="I239" s="4"/>
      <c r="J239" s="4"/>
      <c r="K239" s="4">
        <v>227</v>
      </c>
      <c r="L239" s="4">
        <v>6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45" x14ac:dyDescent="0.2">
      <c r="A240" s="4">
        <v>50</v>
      </c>
      <c r="B240" s="4">
        <v>0</v>
      </c>
      <c r="C240" s="4">
        <v>0</v>
      </c>
      <c r="D240" s="4">
        <v>1</v>
      </c>
      <c r="E240" s="4">
        <v>228</v>
      </c>
      <c r="F240" s="4">
        <f>ROUND(Source!AY232,O240)</f>
        <v>63943.71</v>
      </c>
      <c r="G240" s="4" t="s">
        <v>84</v>
      </c>
      <c r="H240" s="4" t="s">
        <v>85</v>
      </c>
      <c r="I240" s="4"/>
      <c r="J240" s="4"/>
      <c r="K240" s="4">
        <v>228</v>
      </c>
      <c r="L240" s="4">
        <v>7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>
        <v>50</v>
      </c>
      <c r="B241" s="4">
        <v>0</v>
      </c>
      <c r="C241" s="4">
        <v>0</v>
      </c>
      <c r="D241" s="4">
        <v>1</v>
      </c>
      <c r="E241" s="4">
        <v>216</v>
      </c>
      <c r="F241" s="4">
        <f>ROUND(Source!AP232,O241)</f>
        <v>0</v>
      </c>
      <c r="G241" s="4" t="s">
        <v>86</v>
      </c>
      <c r="H241" s="4" t="s">
        <v>87</v>
      </c>
      <c r="I241" s="4"/>
      <c r="J241" s="4"/>
      <c r="K241" s="4">
        <v>216</v>
      </c>
      <c r="L241" s="4">
        <v>8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>
        <v>50</v>
      </c>
      <c r="B242" s="4">
        <v>0</v>
      </c>
      <c r="C242" s="4">
        <v>0</v>
      </c>
      <c r="D242" s="4">
        <v>1</v>
      </c>
      <c r="E242" s="4">
        <v>223</v>
      </c>
      <c r="F242" s="4">
        <f>ROUND(Source!AQ232,O242)</f>
        <v>0</v>
      </c>
      <c r="G242" s="4" t="s">
        <v>88</v>
      </c>
      <c r="H242" s="4" t="s">
        <v>89</v>
      </c>
      <c r="I242" s="4"/>
      <c r="J242" s="4"/>
      <c r="K242" s="4">
        <v>223</v>
      </c>
      <c r="L242" s="4">
        <v>9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>
        <v>50</v>
      </c>
      <c r="B243" s="4">
        <v>0</v>
      </c>
      <c r="C243" s="4">
        <v>0</v>
      </c>
      <c r="D243" s="4">
        <v>1</v>
      </c>
      <c r="E243" s="4">
        <v>229</v>
      </c>
      <c r="F243" s="4">
        <f>ROUND(Source!AZ232,O243)</f>
        <v>0</v>
      </c>
      <c r="G243" s="4" t="s">
        <v>90</v>
      </c>
      <c r="H243" s="4" t="s">
        <v>91</v>
      </c>
      <c r="I243" s="4"/>
      <c r="J243" s="4"/>
      <c r="K243" s="4">
        <v>229</v>
      </c>
      <c r="L243" s="4">
        <v>10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>
        <v>50</v>
      </c>
      <c r="B244" s="4">
        <v>0</v>
      </c>
      <c r="C244" s="4">
        <v>0</v>
      </c>
      <c r="D244" s="4">
        <v>1</v>
      </c>
      <c r="E244" s="4">
        <v>203</v>
      </c>
      <c r="F244" s="4">
        <f>ROUND(Source!Q232,O244)</f>
        <v>3466.56</v>
      </c>
      <c r="G244" s="4" t="s">
        <v>92</v>
      </c>
      <c r="H244" s="4" t="s">
        <v>93</v>
      </c>
      <c r="I244" s="4"/>
      <c r="J244" s="4"/>
      <c r="K244" s="4">
        <v>203</v>
      </c>
      <c r="L244" s="4">
        <v>11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>
        <v>50</v>
      </c>
      <c r="B245" s="4">
        <v>0</v>
      </c>
      <c r="C245" s="4">
        <v>0</v>
      </c>
      <c r="D245" s="4">
        <v>1</v>
      </c>
      <c r="E245" s="4">
        <v>231</v>
      </c>
      <c r="F245" s="4">
        <f>ROUND(Source!BB232,O245)</f>
        <v>0</v>
      </c>
      <c r="G245" s="4" t="s">
        <v>94</v>
      </c>
      <c r="H245" s="4" t="s">
        <v>95</v>
      </c>
      <c r="I245" s="4"/>
      <c r="J245" s="4"/>
      <c r="K245" s="4">
        <v>231</v>
      </c>
      <c r="L245" s="4">
        <v>12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>
        <v>50</v>
      </c>
      <c r="B246" s="4">
        <v>0</v>
      </c>
      <c r="C246" s="4">
        <v>0</v>
      </c>
      <c r="D246" s="4">
        <v>1</v>
      </c>
      <c r="E246" s="4">
        <v>204</v>
      </c>
      <c r="F246" s="4">
        <f>ROUND(Source!R232,O246)</f>
        <v>961.57</v>
      </c>
      <c r="G246" s="4" t="s">
        <v>96</v>
      </c>
      <c r="H246" s="4" t="s">
        <v>97</v>
      </c>
      <c r="I246" s="4"/>
      <c r="J246" s="4"/>
      <c r="K246" s="4">
        <v>204</v>
      </c>
      <c r="L246" s="4">
        <v>13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>
        <v>50</v>
      </c>
      <c r="B247" s="4">
        <v>0</v>
      </c>
      <c r="C247" s="4">
        <v>0</v>
      </c>
      <c r="D247" s="4">
        <v>1</v>
      </c>
      <c r="E247" s="4">
        <v>205</v>
      </c>
      <c r="F247" s="4">
        <f>ROUND(Source!S232,O247)</f>
        <v>42925.33</v>
      </c>
      <c r="G247" s="4" t="s">
        <v>98</v>
      </c>
      <c r="H247" s="4" t="s">
        <v>99</v>
      </c>
      <c r="I247" s="4"/>
      <c r="J247" s="4"/>
      <c r="K247" s="4">
        <v>205</v>
      </c>
      <c r="L247" s="4">
        <v>14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>
        <v>50</v>
      </c>
      <c r="B248" s="4">
        <v>0</v>
      </c>
      <c r="C248" s="4">
        <v>0</v>
      </c>
      <c r="D248" s="4">
        <v>1</v>
      </c>
      <c r="E248" s="4">
        <v>232</v>
      </c>
      <c r="F248" s="4">
        <f>ROUND(Source!BC232,O248)</f>
        <v>0</v>
      </c>
      <c r="G248" s="4" t="s">
        <v>100</v>
      </c>
      <c r="H248" s="4" t="s">
        <v>101</v>
      </c>
      <c r="I248" s="4"/>
      <c r="J248" s="4"/>
      <c r="K248" s="4">
        <v>232</v>
      </c>
      <c r="L248" s="4">
        <v>15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>
        <v>50</v>
      </c>
      <c r="B249" s="4">
        <v>0</v>
      </c>
      <c r="C249" s="4">
        <v>0</v>
      </c>
      <c r="D249" s="4">
        <v>1</v>
      </c>
      <c r="E249" s="4">
        <v>214</v>
      </c>
      <c r="F249" s="4">
        <f>ROUND(Source!AS232,O249)</f>
        <v>0</v>
      </c>
      <c r="G249" s="4" t="s">
        <v>102</v>
      </c>
      <c r="H249" s="4" t="s">
        <v>103</v>
      </c>
      <c r="I249" s="4"/>
      <c r="J249" s="4"/>
      <c r="K249" s="4">
        <v>214</v>
      </c>
      <c r="L249" s="4">
        <v>16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>
        <v>50</v>
      </c>
      <c r="B250" s="4">
        <v>0</v>
      </c>
      <c r="C250" s="4">
        <v>0</v>
      </c>
      <c r="D250" s="4">
        <v>1</v>
      </c>
      <c r="E250" s="4">
        <v>215</v>
      </c>
      <c r="F250" s="4">
        <f>ROUND(Source!AT232,O250)</f>
        <v>0</v>
      </c>
      <c r="G250" s="4" t="s">
        <v>104</v>
      </c>
      <c r="H250" s="4" t="s">
        <v>105</v>
      </c>
      <c r="I250" s="4"/>
      <c r="J250" s="4"/>
      <c r="K250" s="4">
        <v>215</v>
      </c>
      <c r="L250" s="4">
        <v>17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>
        <v>50</v>
      </c>
      <c r="B251" s="4">
        <v>0</v>
      </c>
      <c r="C251" s="4">
        <v>0</v>
      </c>
      <c r="D251" s="4">
        <v>1</v>
      </c>
      <c r="E251" s="4">
        <v>217</v>
      </c>
      <c r="F251" s="4">
        <f>ROUND(Source!AU232,O251)</f>
        <v>141133.37</v>
      </c>
      <c r="G251" s="4" t="s">
        <v>106</v>
      </c>
      <c r="H251" s="4" t="s">
        <v>107</v>
      </c>
      <c r="I251" s="4"/>
      <c r="J251" s="4"/>
      <c r="K251" s="4">
        <v>217</v>
      </c>
      <c r="L251" s="4">
        <v>18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>
        <v>50</v>
      </c>
      <c r="B252" s="4">
        <v>0</v>
      </c>
      <c r="C252" s="4">
        <v>0</v>
      </c>
      <c r="D252" s="4">
        <v>1</v>
      </c>
      <c r="E252" s="4">
        <v>230</v>
      </c>
      <c r="F252" s="4">
        <f>ROUND(Source!BA232,O252)</f>
        <v>0</v>
      </c>
      <c r="G252" s="4" t="s">
        <v>108</v>
      </c>
      <c r="H252" s="4" t="s">
        <v>109</v>
      </c>
      <c r="I252" s="4"/>
      <c r="J252" s="4"/>
      <c r="K252" s="4">
        <v>230</v>
      </c>
      <c r="L252" s="4">
        <v>19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>
        <v>50</v>
      </c>
      <c r="B253" s="4">
        <v>0</v>
      </c>
      <c r="C253" s="4">
        <v>0</v>
      </c>
      <c r="D253" s="4">
        <v>1</v>
      </c>
      <c r="E253" s="4">
        <v>206</v>
      </c>
      <c r="F253" s="4">
        <f>ROUND(Source!T232,O253)</f>
        <v>0</v>
      </c>
      <c r="G253" s="4" t="s">
        <v>110</v>
      </c>
      <c r="H253" s="4" t="s">
        <v>111</v>
      </c>
      <c r="I253" s="4"/>
      <c r="J253" s="4"/>
      <c r="K253" s="4">
        <v>206</v>
      </c>
      <c r="L253" s="4">
        <v>20</v>
      </c>
      <c r="M253" s="4">
        <v>3</v>
      </c>
      <c r="N253" s="4" t="s">
        <v>3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>
        <v>50</v>
      </c>
      <c r="B254" s="4">
        <v>0</v>
      </c>
      <c r="C254" s="4">
        <v>0</v>
      </c>
      <c r="D254" s="4">
        <v>1</v>
      </c>
      <c r="E254" s="4">
        <v>207</v>
      </c>
      <c r="F254" s="4">
        <f>Source!U232</f>
        <v>200.48250000000002</v>
      </c>
      <c r="G254" s="4" t="s">
        <v>112</v>
      </c>
      <c r="H254" s="4" t="s">
        <v>113</v>
      </c>
      <c r="I254" s="4"/>
      <c r="J254" s="4"/>
      <c r="K254" s="4">
        <v>207</v>
      </c>
      <c r="L254" s="4">
        <v>21</v>
      </c>
      <c r="M254" s="4">
        <v>3</v>
      </c>
      <c r="N254" s="4" t="s">
        <v>3</v>
      </c>
      <c r="O254" s="4">
        <v>-1</v>
      </c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>
        <v>50</v>
      </c>
      <c r="B255" s="4">
        <v>0</v>
      </c>
      <c r="C255" s="4">
        <v>0</v>
      </c>
      <c r="D255" s="4">
        <v>1</v>
      </c>
      <c r="E255" s="4">
        <v>208</v>
      </c>
      <c r="F255" s="4">
        <f>Source!V232</f>
        <v>0</v>
      </c>
      <c r="G255" s="4" t="s">
        <v>114</v>
      </c>
      <c r="H255" s="4" t="s">
        <v>115</v>
      </c>
      <c r="I255" s="4"/>
      <c r="J255" s="4"/>
      <c r="K255" s="4">
        <v>208</v>
      </c>
      <c r="L255" s="4">
        <v>22</v>
      </c>
      <c r="M255" s="4">
        <v>3</v>
      </c>
      <c r="N255" s="4" t="s">
        <v>3</v>
      </c>
      <c r="O255" s="4">
        <v>-1</v>
      </c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>
        <v>50</v>
      </c>
      <c r="B256" s="4">
        <v>0</v>
      </c>
      <c r="C256" s="4">
        <v>0</v>
      </c>
      <c r="D256" s="4">
        <v>1</v>
      </c>
      <c r="E256" s="4">
        <v>209</v>
      </c>
      <c r="F256" s="4">
        <f>ROUND(Source!W232,O256)</f>
        <v>0</v>
      </c>
      <c r="G256" s="4" t="s">
        <v>116</v>
      </c>
      <c r="H256" s="4" t="s">
        <v>117</v>
      </c>
      <c r="I256" s="4"/>
      <c r="J256" s="4"/>
      <c r="K256" s="4">
        <v>209</v>
      </c>
      <c r="L256" s="4">
        <v>23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45" x14ac:dyDescent="0.2">
      <c r="A257" s="4">
        <v>50</v>
      </c>
      <c r="B257" s="4">
        <v>0</v>
      </c>
      <c r="C257" s="4">
        <v>0</v>
      </c>
      <c r="D257" s="4">
        <v>1</v>
      </c>
      <c r="E257" s="4">
        <v>210</v>
      </c>
      <c r="F257" s="4">
        <f>ROUND(Source!X232,O257)</f>
        <v>30047.74</v>
      </c>
      <c r="G257" s="4" t="s">
        <v>118</v>
      </c>
      <c r="H257" s="4" t="s">
        <v>119</v>
      </c>
      <c r="I257" s="4"/>
      <c r="J257" s="4"/>
      <c r="K257" s="4">
        <v>210</v>
      </c>
      <c r="L257" s="4">
        <v>24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8" spans="1:245" x14ac:dyDescent="0.2">
      <c r="A258" s="4">
        <v>50</v>
      </c>
      <c r="B258" s="4">
        <v>0</v>
      </c>
      <c r="C258" s="4">
        <v>0</v>
      </c>
      <c r="D258" s="4">
        <v>1</v>
      </c>
      <c r="E258" s="4">
        <v>211</v>
      </c>
      <c r="F258" s="4">
        <f>ROUND(Source!Y232,O258)</f>
        <v>0</v>
      </c>
      <c r="G258" s="4" t="s">
        <v>120</v>
      </c>
      <c r="H258" s="4" t="s">
        <v>121</v>
      </c>
      <c r="I258" s="4"/>
      <c r="J258" s="4"/>
      <c r="K258" s="4">
        <v>211</v>
      </c>
      <c r="L258" s="4">
        <v>25</v>
      </c>
      <c r="M258" s="4">
        <v>3</v>
      </c>
      <c r="N258" s="4" t="s">
        <v>3</v>
      </c>
      <c r="O258" s="4">
        <v>2</v>
      </c>
      <c r="P258" s="4"/>
      <c r="Q258" s="4"/>
      <c r="R258" s="4"/>
      <c r="S258" s="4"/>
      <c r="T258" s="4"/>
      <c r="U258" s="4"/>
      <c r="V258" s="4"/>
      <c r="W258" s="4"/>
    </row>
    <row r="259" spans="1:245" x14ac:dyDescent="0.2">
      <c r="A259" s="4">
        <v>50</v>
      </c>
      <c r="B259" s="4">
        <v>0</v>
      </c>
      <c r="C259" s="4">
        <v>0</v>
      </c>
      <c r="D259" s="4">
        <v>1</v>
      </c>
      <c r="E259" s="4">
        <v>224</v>
      </c>
      <c r="F259" s="4">
        <f>ROUND(Source!AR232,O259)</f>
        <v>141133.37</v>
      </c>
      <c r="G259" s="4" t="s">
        <v>122</v>
      </c>
      <c r="H259" s="4" t="s">
        <v>123</v>
      </c>
      <c r="I259" s="4"/>
      <c r="J259" s="4"/>
      <c r="K259" s="4">
        <v>224</v>
      </c>
      <c r="L259" s="4">
        <v>26</v>
      </c>
      <c r="M259" s="4">
        <v>3</v>
      </c>
      <c r="N259" s="4" t="s">
        <v>3</v>
      </c>
      <c r="O259" s="4">
        <v>2</v>
      </c>
      <c r="P259" s="4"/>
      <c r="Q259" s="4"/>
      <c r="R259" s="4"/>
      <c r="S259" s="4"/>
      <c r="T259" s="4"/>
      <c r="U259" s="4"/>
      <c r="V259" s="4"/>
      <c r="W259" s="4"/>
    </row>
    <row r="261" spans="1:245" x14ac:dyDescent="0.2">
      <c r="A261" s="1">
        <v>5</v>
      </c>
      <c r="B261" s="1">
        <v>1</v>
      </c>
      <c r="C261" s="1"/>
      <c r="D261" s="1">
        <f>ROW(A268)</f>
        <v>268</v>
      </c>
      <c r="E261" s="1"/>
      <c r="F261" s="1" t="s">
        <v>23</v>
      </c>
      <c r="G261" s="1" t="s">
        <v>188</v>
      </c>
      <c r="H261" s="1" t="s">
        <v>3</v>
      </c>
      <c r="I261" s="1">
        <v>0</v>
      </c>
      <c r="J261" s="1"/>
      <c r="K261" s="1"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 t="s">
        <v>3</v>
      </c>
      <c r="V261" s="1">
        <v>0</v>
      </c>
      <c r="W261" s="1"/>
      <c r="X261" s="1"/>
      <c r="Y261" s="1"/>
      <c r="Z261" s="1"/>
      <c r="AA261" s="1"/>
      <c r="AB261" s="1" t="s">
        <v>3</v>
      </c>
      <c r="AC261" s="1" t="s">
        <v>3</v>
      </c>
      <c r="AD261" s="1" t="s">
        <v>3</v>
      </c>
      <c r="AE261" s="1" t="s">
        <v>3</v>
      </c>
      <c r="AF261" s="1" t="s">
        <v>3</v>
      </c>
      <c r="AG261" s="1" t="s">
        <v>3</v>
      </c>
      <c r="AH261" s="1"/>
      <c r="AI261" s="1"/>
      <c r="AJ261" s="1"/>
      <c r="AK261" s="1"/>
      <c r="AL261" s="1"/>
      <c r="AM261" s="1"/>
      <c r="AN261" s="1"/>
      <c r="AO261" s="1"/>
      <c r="AP261" s="1" t="s">
        <v>3</v>
      </c>
      <c r="AQ261" s="1" t="s">
        <v>3</v>
      </c>
      <c r="AR261" s="1" t="s">
        <v>3</v>
      </c>
      <c r="AS261" s="1"/>
      <c r="AT261" s="1"/>
      <c r="AU261" s="1"/>
      <c r="AV261" s="1"/>
      <c r="AW261" s="1"/>
      <c r="AX261" s="1"/>
      <c r="AY261" s="1"/>
      <c r="AZ261" s="1" t="s">
        <v>3</v>
      </c>
      <c r="BA261" s="1"/>
      <c r="BB261" s="1" t="s">
        <v>3</v>
      </c>
      <c r="BC261" s="1" t="s">
        <v>3</v>
      </c>
      <c r="BD261" s="1" t="s">
        <v>3</v>
      </c>
      <c r="BE261" s="1" t="s">
        <v>3</v>
      </c>
      <c r="BF261" s="1" t="s">
        <v>3</v>
      </c>
      <c r="BG261" s="1" t="s">
        <v>3</v>
      </c>
      <c r="BH261" s="1" t="s">
        <v>3</v>
      </c>
      <c r="BI261" s="1" t="s">
        <v>3</v>
      </c>
      <c r="BJ261" s="1" t="s">
        <v>3</v>
      </c>
      <c r="BK261" s="1" t="s">
        <v>3</v>
      </c>
      <c r="BL261" s="1" t="s">
        <v>3</v>
      </c>
      <c r="BM261" s="1" t="s">
        <v>3</v>
      </c>
      <c r="BN261" s="1" t="s">
        <v>3</v>
      </c>
      <c r="BO261" s="1" t="s">
        <v>3</v>
      </c>
      <c r="BP261" s="1" t="s">
        <v>3</v>
      </c>
      <c r="BQ261" s="1"/>
      <c r="BR261" s="1"/>
      <c r="BS261" s="1"/>
      <c r="BT261" s="1"/>
      <c r="BU261" s="1"/>
      <c r="BV261" s="1"/>
      <c r="BW261" s="1"/>
      <c r="BX261" s="1">
        <v>0</v>
      </c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>
        <v>0</v>
      </c>
    </row>
    <row r="263" spans="1:245" x14ac:dyDescent="0.2">
      <c r="A263" s="2">
        <v>52</v>
      </c>
      <c r="B263" s="2">
        <f t="shared" ref="B263:G263" si="149">B268</f>
        <v>1</v>
      </c>
      <c r="C263" s="2">
        <f t="shared" si="149"/>
        <v>5</v>
      </c>
      <c r="D263" s="2">
        <f t="shared" si="149"/>
        <v>261</v>
      </c>
      <c r="E263" s="2">
        <f t="shared" si="149"/>
        <v>0</v>
      </c>
      <c r="F263" s="2" t="str">
        <f t="shared" si="149"/>
        <v>Новый подраздел</v>
      </c>
      <c r="G263" s="2" t="str">
        <f t="shared" si="149"/>
        <v>Уход за деревьями - внутридворовые территории</v>
      </c>
      <c r="H263" s="2"/>
      <c r="I263" s="2"/>
      <c r="J263" s="2"/>
      <c r="K263" s="2"/>
      <c r="L263" s="2"/>
      <c r="M263" s="2"/>
      <c r="N263" s="2"/>
      <c r="O263" s="2">
        <f t="shared" ref="O263:AT263" si="150">O268</f>
        <v>352401.15</v>
      </c>
      <c r="P263" s="2">
        <f t="shared" si="150"/>
        <v>60496.65</v>
      </c>
      <c r="Q263" s="2">
        <f t="shared" si="150"/>
        <v>119329.32</v>
      </c>
      <c r="R263" s="2">
        <f t="shared" si="150"/>
        <v>26811.84</v>
      </c>
      <c r="S263" s="2">
        <f t="shared" si="150"/>
        <v>172575.18</v>
      </c>
      <c r="T263" s="2">
        <f t="shared" si="150"/>
        <v>0</v>
      </c>
      <c r="U263" s="2">
        <f t="shared" si="150"/>
        <v>959.26679999999988</v>
      </c>
      <c r="V263" s="2">
        <f t="shared" si="150"/>
        <v>0</v>
      </c>
      <c r="W263" s="2">
        <f t="shared" si="150"/>
        <v>0</v>
      </c>
      <c r="X263" s="2">
        <f t="shared" si="150"/>
        <v>120802.62</v>
      </c>
      <c r="Y263" s="2">
        <f t="shared" si="150"/>
        <v>0</v>
      </c>
      <c r="Z263" s="2">
        <f t="shared" si="150"/>
        <v>0</v>
      </c>
      <c r="AA263" s="2">
        <f t="shared" si="150"/>
        <v>0</v>
      </c>
      <c r="AB263" s="2">
        <f t="shared" si="150"/>
        <v>352401.15</v>
      </c>
      <c r="AC263" s="2">
        <f t="shared" si="150"/>
        <v>60496.65</v>
      </c>
      <c r="AD263" s="2">
        <f t="shared" si="150"/>
        <v>119329.32</v>
      </c>
      <c r="AE263" s="2">
        <f t="shared" si="150"/>
        <v>26811.84</v>
      </c>
      <c r="AF263" s="2">
        <f t="shared" si="150"/>
        <v>172575.18</v>
      </c>
      <c r="AG263" s="2">
        <f t="shared" si="150"/>
        <v>0</v>
      </c>
      <c r="AH263" s="2">
        <f t="shared" si="150"/>
        <v>959.26679999999988</v>
      </c>
      <c r="AI263" s="2">
        <f t="shared" si="150"/>
        <v>0</v>
      </c>
      <c r="AJ263" s="2">
        <f t="shared" si="150"/>
        <v>0</v>
      </c>
      <c r="AK263" s="2">
        <f t="shared" si="150"/>
        <v>120802.62</v>
      </c>
      <c r="AL263" s="2">
        <f t="shared" si="150"/>
        <v>0</v>
      </c>
      <c r="AM263" s="2">
        <f t="shared" si="150"/>
        <v>0</v>
      </c>
      <c r="AN263" s="2">
        <f t="shared" si="150"/>
        <v>0</v>
      </c>
      <c r="AO263" s="2">
        <f t="shared" si="150"/>
        <v>0</v>
      </c>
      <c r="AP263" s="2">
        <f t="shared" si="150"/>
        <v>0</v>
      </c>
      <c r="AQ263" s="2">
        <f t="shared" si="150"/>
        <v>0</v>
      </c>
      <c r="AR263" s="2">
        <f t="shared" si="150"/>
        <v>494117.01</v>
      </c>
      <c r="AS263" s="2">
        <f t="shared" si="150"/>
        <v>0</v>
      </c>
      <c r="AT263" s="2">
        <f t="shared" si="150"/>
        <v>0</v>
      </c>
      <c r="AU263" s="2">
        <f t="shared" ref="AU263:BZ263" si="151">AU268</f>
        <v>494117.01</v>
      </c>
      <c r="AV263" s="2">
        <f t="shared" si="151"/>
        <v>60496.65</v>
      </c>
      <c r="AW263" s="2">
        <f t="shared" si="151"/>
        <v>60496.65</v>
      </c>
      <c r="AX263" s="2">
        <f t="shared" si="151"/>
        <v>0</v>
      </c>
      <c r="AY263" s="2">
        <f t="shared" si="151"/>
        <v>60496.65</v>
      </c>
      <c r="AZ263" s="2">
        <f t="shared" si="151"/>
        <v>0</v>
      </c>
      <c r="BA263" s="2">
        <f t="shared" si="151"/>
        <v>0</v>
      </c>
      <c r="BB263" s="2">
        <f t="shared" si="151"/>
        <v>0</v>
      </c>
      <c r="BC263" s="2">
        <f t="shared" si="151"/>
        <v>0</v>
      </c>
      <c r="BD263" s="2">
        <f t="shared" si="151"/>
        <v>0</v>
      </c>
      <c r="BE263" s="2">
        <f t="shared" si="151"/>
        <v>0</v>
      </c>
      <c r="BF263" s="2">
        <f t="shared" si="151"/>
        <v>0</v>
      </c>
      <c r="BG263" s="2">
        <f t="shared" si="151"/>
        <v>0</v>
      </c>
      <c r="BH263" s="2">
        <f t="shared" si="151"/>
        <v>0</v>
      </c>
      <c r="BI263" s="2">
        <f t="shared" si="151"/>
        <v>0</v>
      </c>
      <c r="BJ263" s="2">
        <f t="shared" si="151"/>
        <v>0</v>
      </c>
      <c r="BK263" s="2">
        <f t="shared" si="151"/>
        <v>0</v>
      </c>
      <c r="BL263" s="2">
        <f t="shared" si="151"/>
        <v>0</v>
      </c>
      <c r="BM263" s="2">
        <f t="shared" si="151"/>
        <v>0</v>
      </c>
      <c r="BN263" s="2">
        <f t="shared" si="151"/>
        <v>0</v>
      </c>
      <c r="BO263" s="2">
        <f t="shared" si="151"/>
        <v>0</v>
      </c>
      <c r="BP263" s="2">
        <f t="shared" si="151"/>
        <v>0</v>
      </c>
      <c r="BQ263" s="2">
        <f t="shared" si="151"/>
        <v>0</v>
      </c>
      <c r="BR263" s="2">
        <f t="shared" si="151"/>
        <v>0</v>
      </c>
      <c r="BS263" s="2">
        <f t="shared" si="151"/>
        <v>0</v>
      </c>
      <c r="BT263" s="2">
        <f t="shared" si="151"/>
        <v>0</v>
      </c>
      <c r="BU263" s="2">
        <f t="shared" si="151"/>
        <v>0</v>
      </c>
      <c r="BV263" s="2">
        <f t="shared" si="151"/>
        <v>0</v>
      </c>
      <c r="BW263" s="2">
        <f t="shared" si="151"/>
        <v>0</v>
      </c>
      <c r="BX263" s="2">
        <f t="shared" si="151"/>
        <v>0</v>
      </c>
      <c r="BY263" s="2">
        <f t="shared" si="151"/>
        <v>0</v>
      </c>
      <c r="BZ263" s="2">
        <f t="shared" si="151"/>
        <v>0</v>
      </c>
      <c r="CA263" s="2">
        <f t="shared" ref="CA263:DF263" si="152">CA268</f>
        <v>494117.01</v>
      </c>
      <c r="CB263" s="2">
        <f t="shared" si="152"/>
        <v>0</v>
      </c>
      <c r="CC263" s="2">
        <f t="shared" si="152"/>
        <v>0</v>
      </c>
      <c r="CD263" s="2">
        <f t="shared" si="152"/>
        <v>494117.01</v>
      </c>
      <c r="CE263" s="2">
        <f t="shared" si="152"/>
        <v>60496.65</v>
      </c>
      <c r="CF263" s="2">
        <f t="shared" si="152"/>
        <v>60496.65</v>
      </c>
      <c r="CG263" s="2">
        <f t="shared" si="152"/>
        <v>0</v>
      </c>
      <c r="CH263" s="2">
        <f t="shared" si="152"/>
        <v>60496.65</v>
      </c>
      <c r="CI263" s="2">
        <f t="shared" si="152"/>
        <v>0</v>
      </c>
      <c r="CJ263" s="2">
        <f t="shared" si="152"/>
        <v>0</v>
      </c>
      <c r="CK263" s="2">
        <f t="shared" si="152"/>
        <v>0</v>
      </c>
      <c r="CL263" s="2">
        <f t="shared" si="152"/>
        <v>0</v>
      </c>
      <c r="CM263" s="2">
        <f t="shared" si="152"/>
        <v>0</v>
      </c>
      <c r="CN263" s="2">
        <f t="shared" si="152"/>
        <v>0</v>
      </c>
      <c r="CO263" s="2">
        <f t="shared" si="152"/>
        <v>0</v>
      </c>
      <c r="CP263" s="2">
        <f t="shared" si="152"/>
        <v>0</v>
      </c>
      <c r="CQ263" s="2">
        <f t="shared" si="152"/>
        <v>0</v>
      </c>
      <c r="CR263" s="2">
        <f t="shared" si="152"/>
        <v>0</v>
      </c>
      <c r="CS263" s="2">
        <f t="shared" si="152"/>
        <v>0</v>
      </c>
      <c r="CT263" s="2">
        <f t="shared" si="152"/>
        <v>0</v>
      </c>
      <c r="CU263" s="2">
        <f t="shared" si="152"/>
        <v>0</v>
      </c>
      <c r="CV263" s="2">
        <f t="shared" si="152"/>
        <v>0</v>
      </c>
      <c r="CW263" s="2">
        <f t="shared" si="152"/>
        <v>0</v>
      </c>
      <c r="CX263" s="2">
        <f t="shared" si="152"/>
        <v>0</v>
      </c>
      <c r="CY263" s="2">
        <f t="shared" si="152"/>
        <v>0</v>
      </c>
      <c r="CZ263" s="2">
        <f t="shared" si="152"/>
        <v>0</v>
      </c>
      <c r="DA263" s="2">
        <f t="shared" si="152"/>
        <v>0</v>
      </c>
      <c r="DB263" s="2">
        <f t="shared" si="152"/>
        <v>0</v>
      </c>
      <c r="DC263" s="2">
        <f t="shared" si="152"/>
        <v>0</v>
      </c>
      <c r="DD263" s="2">
        <f t="shared" si="152"/>
        <v>0</v>
      </c>
      <c r="DE263" s="2">
        <f t="shared" si="152"/>
        <v>0</v>
      </c>
      <c r="DF263" s="2">
        <f t="shared" si="152"/>
        <v>0</v>
      </c>
      <c r="DG263" s="3">
        <f t="shared" ref="DG263:EL263" si="153">DG268</f>
        <v>0</v>
      </c>
      <c r="DH263" s="3">
        <f t="shared" si="153"/>
        <v>0</v>
      </c>
      <c r="DI263" s="3">
        <f t="shared" si="153"/>
        <v>0</v>
      </c>
      <c r="DJ263" s="3">
        <f t="shared" si="153"/>
        <v>0</v>
      </c>
      <c r="DK263" s="3">
        <f t="shared" si="153"/>
        <v>0</v>
      </c>
      <c r="DL263" s="3">
        <f t="shared" si="153"/>
        <v>0</v>
      </c>
      <c r="DM263" s="3">
        <f t="shared" si="153"/>
        <v>0</v>
      </c>
      <c r="DN263" s="3">
        <f t="shared" si="153"/>
        <v>0</v>
      </c>
      <c r="DO263" s="3">
        <f t="shared" si="153"/>
        <v>0</v>
      </c>
      <c r="DP263" s="3">
        <f t="shared" si="153"/>
        <v>0</v>
      </c>
      <c r="DQ263" s="3">
        <f t="shared" si="153"/>
        <v>0</v>
      </c>
      <c r="DR263" s="3">
        <f t="shared" si="153"/>
        <v>0</v>
      </c>
      <c r="DS263" s="3">
        <f t="shared" si="153"/>
        <v>0</v>
      </c>
      <c r="DT263" s="3">
        <f t="shared" si="153"/>
        <v>0</v>
      </c>
      <c r="DU263" s="3">
        <f t="shared" si="153"/>
        <v>0</v>
      </c>
      <c r="DV263" s="3">
        <f t="shared" si="153"/>
        <v>0</v>
      </c>
      <c r="DW263" s="3">
        <f t="shared" si="153"/>
        <v>0</v>
      </c>
      <c r="DX263" s="3">
        <f t="shared" si="153"/>
        <v>0</v>
      </c>
      <c r="DY263" s="3">
        <f t="shared" si="153"/>
        <v>0</v>
      </c>
      <c r="DZ263" s="3">
        <f t="shared" si="153"/>
        <v>0</v>
      </c>
      <c r="EA263" s="3">
        <f t="shared" si="153"/>
        <v>0</v>
      </c>
      <c r="EB263" s="3">
        <f t="shared" si="153"/>
        <v>0</v>
      </c>
      <c r="EC263" s="3">
        <f t="shared" si="153"/>
        <v>0</v>
      </c>
      <c r="ED263" s="3">
        <f t="shared" si="153"/>
        <v>0</v>
      </c>
      <c r="EE263" s="3">
        <f t="shared" si="153"/>
        <v>0</v>
      </c>
      <c r="EF263" s="3">
        <f t="shared" si="153"/>
        <v>0</v>
      </c>
      <c r="EG263" s="3">
        <f t="shared" si="153"/>
        <v>0</v>
      </c>
      <c r="EH263" s="3">
        <f t="shared" si="153"/>
        <v>0</v>
      </c>
      <c r="EI263" s="3">
        <f t="shared" si="153"/>
        <v>0</v>
      </c>
      <c r="EJ263" s="3">
        <f t="shared" si="153"/>
        <v>0</v>
      </c>
      <c r="EK263" s="3">
        <f t="shared" si="153"/>
        <v>0</v>
      </c>
      <c r="EL263" s="3">
        <f t="shared" si="153"/>
        <v>0</v>
      </c>
      <c r="EM263" s="3">
        <f t="shared" ref="EM263:FR263" si="154">EM268</f>
        <v>0</v>
      </c>
      <c r="EN263" s="3">
        <f t="shared" si="154"/>
        <v>0</v>
      </c>
      <c r="EO263" s="3">
        <f t="shared" si="154"/>
        <v>0</v>
      </c>
      <c r="EP263" s="3">
        <f t="shared" si="154"/>
        <v>0</v>
      </c>
      <c r="EQ263" s="3">
        <f t="shared" si="154"/>
        <v>0</v>
      </c>
      <c r="ER263" s="3">
        <f t="shared" si="154"/>
        <v>0</v>
      </c>
      <c r="ES263" s="3">
        <f t="shared" si="154"/>
        <v>0</v>
      </c>
      <c r="ET263" s="3">
        <f t="shared" si="154"/>
        <v>0</v>
      </c>
      <c r="EU263" s="3">
        <f t="shared" si="154"/>
        <v>0</v>
      </c>
      <c r="EV263" s="3">
        <f t="shared" si="154"/>
        <v>0</v>
      </c>
      <c r="EW263" s="3">
        <f t="shared" si="154"/>
        <v>0</v>
      </c>
      <c r="EX263" s="3">
        <f t="shared" si="154"/>
        <v>0</v>
      </c>
      <c r="EY263" s="3">
        <f t="shared" si="154"/>
        <v>0</v>
      </c>
      <c r="EZ263" s="3">
        <f t="shared" si="154"/>
        <v>0</v>
      </c>
      <c r="FA263" s="3">
        <f t="shared" si="154"/>
        <v>0</v>
      </c>
      <c r="FB263" s="3">
        <f t="shared" si="154"/>
        <v>0</v>
      </c>
      <c r="FC263" s="3">
        <f t="shared" si="154"/>
        <v>0</v>
      </c>
      <c r="FD263" s="3">
        <f t="shared" si="154"/>
        <v>0</v>
      </c>
      <c r="FE263" s="3">
        <f t="shared" si="154"/>
        <v>0</v>
      </c>
      <c r="FF263" s="3">
        <f t="shared" si="154"/>
        <v>0</v>
      </c>
      <c r="FG263" s="3">
        <f t="shared" si="154"/>
        <v>0</v>
      </c>
      <c r="FH263" s="3">
        <f t="shared" si="154"/>
        <v>0</v>
      </c>
      <c r="FI263" s="3">
        <f t="shared" si="154"/>
        <v>0</v>
      </c>
      <c r="FJ263" s="3">
        <f t="shared" si="154"/>
        <v>0</v>
      </c>
      <c r="FK263" s="3">
        <f t="shared" si="154"/>
        <v>0</v>
      </c>
      <c r="FL263" s="3">
        <f t="shared" si="154"/>
        <v>0</v>
      </c>
      <c r="FM263" s="3">
        <f t="shared" si="154"/>
        <v>0</v>
      </c>
      <c r="FN263" s="3">
        <f t="shared" si="154"/>
        <v>0</v>
      </c>
      <c r="FO263" s="3">
        <f t="shared" si="154"/>
        <v>0</v>
      </c>
      <c r="FP263" s="3">
        <f t="shared" si="154"/>
        <v>0</v>
      </c>
      <c r="FQ263" s="3">
        <f t="shared" si="154"/>
        <v>0</v>
      </c>
      <c r="FR263" s="3">
        <f t="shared" si="154"/>
        <v>0</v>
      </c>
      <c r="FS263" s="3">
        <f t="shared" ref="FS263:GX263" si="155">FS268</f>
        <v>0</v>
      </c>
      <c r="FT263" s="3">
        <f t="shared" si="155"/>
        <v>0</v>
      </c>
      <c r="FU263" s="3">
        <f t="shared" si="155"/>
        <v>0</v>
      </c>
      <c r="FV263" s="3">
        <f t="shared" si="155"/>
        <v>0</v>
      </c>
      <c r="FW263" s="3">
        <f t="shared" si="155"/>
        <v>0</v>
      </c>
      <c r="FX263" s="3">
        <f t="shared" si="155"/>
        <v>0</v>
      </c>
      <c r="FY263" s="3">
        <f t="shared" si="155"/>
        <v>0</v>
      </c>
      <c r="FZ263" s="3">
        <f t="shared" si="155"/>
        <v>0</v>
      </c>
      <c r="GA263" s="3">
        <f t="shared" si="155"/>
        <v>0</v>
      </c>
      <c r="GB263" s="3">
        <f t="shared" si="155"/>
        <v>0</v>
      </c>
      <c r="GC263" s="3">
        <f t="shared" si="155"/>
        <v>0</v>
      </c>
      <c r="GD263" s="3">
        <f t="shared" si="155"/>
        <v>0</v>
      </c>
      <c r="GE263" s="3">
        <f t="shared" si="155"/>
        <v>0</v>
      </c>
      <c r="GF263" s="3">
        <f t="shared" si="155"/>
        <v>0</v>
      </c>
      <c r="GG263" s="3">
        <f t="shared" si="155"/>
        <v>0</v>
      </c>
      <c r="GH263" s="3">
        <f t="shared" si="155"/>
        <v>0</v>
      </c>
      <c r="GI263" s="3">
        <f t="shared" si="155"/>
        <v>0</v>
      </c>
      <c r="GJ263" s="3">
        <f t="shared" si="155"/>
        <v>0</v>
      </c>
      <c r="GK263" s="3">
        <f t="shared" si="155"/>
        <v>0</v>
      </c>
      <c r="GL263" s="3">
        <f t="shared" si="155"/>
        <v>0</v>
      </c>
      <c r="GM263" s="3">
        <f t="shared" si="155"/>
        <v>0</v>
      </c>
      <c r="GN263" s="3">
        <f t="shared" si="155"/>
        <v>0</v>
      </c>
      <c r="GO263" s="3">
        <f t="shared" si="155"/>
        <v>0</v>
      </c>
      <c r="GP263" s="3">
        <f t="shared" si="155"/>
        <v>0</v>
      </c>
      <c r="GQ263" s="3">
        <f t="shared" si="155"/>
        <v>0</v>
      </c>
      <c r="GR263" s="3">
        <f t="shared" si="155"/>
        <v>0</v>
      </c>
      <c r="GS263" s="3">
        <f t="shared" si="155"/>
        <v>0</v>
      </c>
      <c r="GT263" s="3">
        <f t="shared" si="155"/>
        <v>0</v>
      </c>
      <c r="GU263" s="3">
        <f t="shared" si="155"/>
        <v>0</v>
      </c>
      <c r="GV263" s="3">
        <f t="shared" si="155"/>
        <v>0</v>
      </c>
      <c r="GW263" s="3">
        <f t="shared" si="155"/>
        <v>0</v>
      </c>
      <c r="GX263" s="3">
        <f t="shared" si="155"/>
        <v>0</v>
      </c>
    </row>
    <row r="265" spans="1:245" x14ac:dyDescent="0.2">
      <c r="A265">
        <v>17</v>
      </c>
      <c r="B265">
        <v>1</v>
      </c>
      <c r="C265">
        <f>ROW(SmtRes!A95)</f>
        <v>95</v>
      </c>
      <c r="D265">
        <f>ROW(EtalonRes!A95)</f>
        <v>95</v>
      </c>
      <c r="E265" t="s">
        <v>189</v>
      </c>
      <c r="F265" t="s">
        <v>190</v>
      </c>
      <c r="G265" t="s">
        <v>191</v>
      </c>
      <c r="H265" t="s">
        <v>61</v>
      </c>
      <c r="I265">
        <f>ROUND(120/10,9)</f>
        <v>12</v>
      </c>
      <c r="J265">
        <v>0</v>
      </c>
      <c r="O265">
        <f>ROUND(CP265,2)</f>
        <v>260709.48</v>
      </c>
      <c r="P265">
        <f>ROUND(CQ265*I265,2)</f>
        <v>8213.64</v>
      </c>
      <c r="Q265">
        <f>ROUND(CR265*I265,2)</f>
        <v>119329.32</v>
      </c>
      <c r="R265">
        <f>ROUND(CS265*I265,2)</f>
        <v>26811.84</v>
      </c>
      <c r="S265">
        <f>ROUND(CT265*I265,2)</f>
        <v>133166.51999999999</v>
      </c>
      <c r="T265">
        <f>ROUND(CU265*I265,2)</f>
        <v>0</v>
      </c>
      <c r="U265">
        <f>CV265*I265</f>
        <v>730.31999999999994</v>
      </c>
      <c r="V265">
        <f>CW265*I265</f>
        <v>0</v>
      </c>
      <c r="W265">
        <f>ROUND(CX265*I265,2)</f>
        <v>0</v>
      </c>
      <c r="X265">
        <f>ROUND(CY265,2)</f>
        <v>93216.56</v>
      </c>
      <c r="Y265">
        <f>ROUND(CZ265,2)</f>
        <v>0</v>
      </c>
      <c r="AA265">
        <v>53202630</v>
      </c>
      <c r="AB265">
        <f>ROUND((AC265+AD265+AF265),6)</f>
        <v>21725.79</v>
      </c>
      <c r="AC265">
        <f>ROUND((ES265),6)</f>
        <v>684.47</v>
      </c>
      <c r="AD265">
        <f>ROUND((((ET265)-(EU265))+AE265),6)</f>
        <v>9944.11</v>
      </c>
      <c r="AE265">
        <f>ROUND((EU265),6)</f>
        <v>2234.3200000000002</v>
      </c>
      <c r="AF265">
        <f>ROUND((EV265),6)</f>
        <v>11097.21</v>
      </c>
      <c r="AG265">
        <f>ROUND((AP265),6)</f>
        <v>0</v>
      </c>
      <c r="AH265">
        <f>(EW265)</f>
        <v>60.86</v>
      </c>
      <c r="AI265">
        <f>(EX265)</f>
        <v>0</v>
      </c>
      <c r="AJ265">
        <f>(AS265)</f>
        <v>0</v>
      </c>
      <c r="AK265">
        <v>21725.79</v>
      </c>
      <c r="AL265">
        <v>684.47</v>
      </c>
      <c r="AM265">
        <v>9944.11</v>
      </c>
      <c r="AN265">
        <v>2234.3200000000002</v>
      </c>
      <c r="AO265">
        <v>11097.21</v>
      </c>
      <c r="AP265">
        <v>0</v>
      </c>
      <c r="AQ265">
        <v>60.86</v>
      </c>
      <c r="AR265">
        <v>0</v>
      </c>
      <c r="AS265">
        <v>0</v>
      </c>
      <c r="AT265">
        <v>70</v>
      </c>
      <c r="AU265">
        <v>0</v>
      </c>
      <c r="AV265">
        <v>1</v>
      </c>
      <c r="AW265">
        <v>1</v>
      </c>
      <c r="AZ265">
        <v>1</v>
      </c>
      <c r="BA265">
        <v>1</v>
      </c>
      <c r="BB265">
        <v>1</v>
      </c>
      <c r="BC265">
        <v>1</v>
      </c>
      <c r="BD265" t="s">
        <v>3</v>
      </c>
      <c r="BE265" t="s">
        <v>3</v>
      </c>
      <c r="BF265" t="s">
        <v>3</v>
      </c>
      <c r="BG265" t="s">
        <v>3</v>
      </c>
      <c r="BH265">
        <v>0</v>
      </c>
      <c r="BI265">
        <v>4</v>
      </c>
      <c r="BJ265" t="s">
        <v>192</v>
      </c>
      <c r="BM265">
        <v>0</v>
      </c>
      <c r="BN265">
        <v>0</v>
      </c>
      <c r="BO265" t="s">
        <v>3</v>
      </c>
      <c r="BP265">
        <v>0</v>
      </c>
      <c r="BQ265">
        <v>1</v>
      </c>
      <c r="BR265">
        <v>0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 t="s">
        <v>3</v>
      </c>
      <c r="BZ265">
        <v>70</v>
      </c>
      <c r="CA265">
        <v>0</v>
      </c>
      <c r="CE265">
        <v>0</v>
      </c>
      <c r="CF265">
        <v>0</v>
      </c>
      <c r="CG265">
        <v>0</v>
      </c>
      <c r="CM265">
        <v>0</v>
      </c>
      <c r="CN265" t="s">
        <v>3</v>
      </c>
      <c r="CO265">
        <v>0</v>
      </c>
      <c r="CP265">
        <f>(P265+Q265+S265)</f>
        <v>260709.47999999998</v>
      </c>
      <c r="CQ265">
        <f>(AC265*BC265*AW265)</f>
        <v>684.47</v>
      </c>
      <c r="CR265">
        <f>((((ET265)*BB265-(EU265)*BS265)+AE265*BS265)*AV265)</f>
        <v>9944.11</v>
      </c>
      <c r="CS265">
        <f>(AE265*BS265*AV265)</f>
        <v>2234.3200000000002</v>
      </c>
      <c r="CT265">
        <f>(AF265*BA265*AV265)</f>
        <v>11097.21</v>
      </c>
      <c r="CU265">
        <f>AG265</f>
        <v>0</v>
      </c>
      <c r="CV265">
        <f>(AH265*AV265)</f>
        <v>60.86</v>
      </c>
      <c r="CW265">
        <f>AI265</f>
        <v>0</v>
      </c>
      <c r="CX265">
        <f>AJ265</f>
        <v>0</v>
      </c>
      <c r="CY265">
        <f>((S265*BZ265)/100)</f>
        <v>93216.563999999984</v>
      </c>
      <c r="CZ265">
        <f>((S265*CA265)/100)</f>
        <v>0</v>
      </c>
      <c r="DC265" t="s">
        <v>3</v>
      </c>
      <c r="DD265" t="s">
        <v>3</v>
      </c>
      <c r="DE265" t="s">
        <v>3</v>
      </c>
      <c r="DF265" t="s">
        <v>3</v>
      </c>
      <c r="DG265" t="s">
        <v>3</v>
      </c>
      <c r="DH265" t="s">
        <v>3</v>
      </c>
      <c r="DI265" t="s">
        <v>3</v>
      </c>
      <c r="DJ265" t="s">
        <v>3</v>
      </c>
      <c r="DK265" t="s">
        <v>3</v>
      </c>
      <c r="DL265" t="s">
        <v>3</v>
      </c>
      <c r="DM265" t="s">
        <v>3</v>
      </c>
      <c r="DN265">
        <v>0</v>
      </c>
      <c r="DO265">
        <v>0</v>
      </c>
      <c r="DP265">
        <v>1</v>
      </c>
      <c r="DQ265">
        <v>1</v>
      </c>
      <c r="DU265">
        <v>1010</v>
      </c>
      <c r="DV265" t="s">
        <v>61</v>
      </c>
      <c r="DW265" t="s">
        <v>61</v>
      </c>
      <c r="DX265">
        <v>10</v>
      </c>
      <c r="EE265">
        <v>48810626</v>
      </c>
      <c r="EF265">
        <v>1</v>
      </c>
      <c r="EG265" t="s">
        <v>30</v>
      </c>
      <c r="EH265">
        <v>0</v>
      </c>
      <c r="EI265" t="s">
        <v>3</v>
      </c>
      <c r="EJ265">
        <v>4</v>
      </c>
      <c r="EK265">
        <v>0</v>
      </c>
      <c r="EL265" t="s">
        <v>31</v>
      </c>
      <c r="EM265" t="s">
        <v>32</v>
      </c>
      <c r="EO265" t="s">
        <v>3</v>
      </c>
      <c r="EQ265">
        <v>131072</v>
      </c>
      <c r="ER265">
        <v>21725.79</v>
      </c>
      <c r="ES265">
        <v>684.47</v>
      </c>
      <c r="ET265">
        <v>9944.11</v>
      </c>
      <c r="EU265">
        <v>2234.3200000000002</v>
      </c>
      <c r="EV265">
        <v>11097.21</v>
      </c>
      <c r="EW265">
        <v>60.86</v>
      </c>
      <c r="EX265">
        <v>0</v>
      </c>
      <c r="EY265">
        <v>0</v>
      </c>
      <c r="FQ265">
        <v>0</v>
      </c>
      <c r="FR265">
        <f>ROUND(IF(AND(BH265=3,BI265=3),P265,0),2)</f>
        <v>0</v>
      </c>
      <c r="FS265">
        <v>0</v>
      </c>
      <c r="FX265">
        <v>70</v>
      </c>
      <c r="FY265">
        <v>0</v>
      </c>
      <c r="GA265" t="s">
        <v>3</v>
      </c>
      <c r="GD265">
        <v>0</v>
      </c>
      <c r="GF265">
        <v>543085074</v>
      </c>
      <c r="GG265">
        <v>2</v>
      </c>
      <c r="GH265">
        <v>1</v>
      </c>
      <c r="GI265">
        <v>-2</v>
      </c>
      <c r="GJ265">
        <v>0</v>
      </c>
      <c r="GK265">
        <f>ROUND(R265*(R12)/100,2)</f>
        <v>20913.240000000002</v>
      </c>
      <c r="GL265">
        <f>ROUND(IF(AND(BH265=3,BI265=3,FS265&lt;&gt;0),P265,0),2)</f>
        <v>0</v>
      </c>
      <c r="GM265">
        <f>ROUND(O265+X265+Y265+GK265,2)+GX265</f>
        <v>374839.28</v>
      </c>
      <c r="GN265">
        <f>IF(OR(BI265=0,BI265=1),ROUND(O265+X265+Y265+GK265,2),0)</f>
        <v>0</v>
      </c>
      <c r="GO265">
        <f>IF(BI265=2,ROUND(O265+X265+Y265+GK265,2),0)</f>
        <v>0</v>
      </c>
      <c r="GP265">
        <f>IF(BI265=4,ROUND(O265+X265+Y265+GK265,2)+GX265,0)</f>
        <v>374839.28</v>
      </c>
      <c r="GR265">
        <v>0</v>
      </c>
      <c r="GS265">
        <v>3</v>
      </c>
      <c r="GT265">
        <v>0</v>
      </c>
      <c r="GU265" t="s">
        <v>3</v>
      </c>
      <c r="GV265">
        <f>ROUND((GT265),6)</f>
        <v>0</v>
      </c>
      <c r="GW265">
        <v>1</v>
      </c>
      <c r="GX265">
        <f>ROUND(HC265*I265,2)</f>
        <v>0</v>
      </c>
      <c r="HA265">
        <v>0</v>
      </c>
      <c r="HB265">
        <v>0</v>
      </c>
      <c r="HC265">
        <f>GV265*GW265</f>
        <v>0</v>
      </c>
      <c r="IK265">
        <v>0</v>
      </c>
    </row>
    <row r="266" spans="1:245" x14ac:dyDescent="0.2">
      <c r="A266">
        <v>17</v>
      </c>
      <c r="B266">
        <v>1</v>
      </c>
      <c r="C266">
        <f>ROW(SmtRes!A98)</f>
        <v>98</v>
      </c>
      <c r="D266">
        <f>ROW(EtalonRes!A98)</f>
        <v>98</v>
      </c>
      <c r="E266" t="s">
        <v>193</v>
      </c>
      <c r="F266" t="s">
        <v>142</v>
      </c>
      <c r="G266" t="s">
        <v>194</v>
      </c>
      <c r="H266" t="s">
        <v>144</v>
      </c>
      <c r="I266">
        <f>ROUND(121.2/10,9)</f>
        <v>12.12</v>
      </c>
      <c r="J266">
        <v>0</v>
      </c>
      <c r="O266">
        <f>ROUND(CP266,2)</f>
        <v>91691.67</v>
      </c>
      <c r="P266">
        <f>ROUND(CQ266*I266,2)</f>
        <v>52283.01</v>
      </c>
      <c r="Q266">
        <f>ROUND(CR266*I266,2)</f>
        <v>0</v>
      </c>
      <c r="R266">
        <f>ROUND(CS266*I266,2)</f>
        <v>0</v>
      </c>
      <c r="S266">
        <f>ROUND(CT266*I266,2)</f>
        <v>39408.660000000003</v>
      </c>
      <c r="T266">
        <f>ROUND(CU266*I266,2)</f>
        <v>0</v>
      </c>
      <c r="U266">
        <f>CV266*I266</f>
        <v>228.9468</v>
      </c>
      <c r="V266">
        <f>CW266*I266</f>
        <v>0</v>
      </c>
      <c r="W266">
        <f>ROUND(CX266*I266,2)</f>
        <v>0</v>
      </c>
      <c r="X266">
        <f>ROUND(CY266,2)</f>
        <v>27586.06</v>
      </c>
      <c r="Y266">
        <f>ROUND(CZ266,2)</f>
        <v>0</v>
      </c>
      <c r="AA266">
        <v>53202630</v>
      </c>
      <c r="AB266">
        <f>ROUND((AC266+AD266+AF266),6)</f>
        <v>7565.32</v>
      </c>
      <c r="AC266">
        <f>ROUND((ES266),6)</f>
        <v>4313.78</v>
      </c>
      <c r="AD266">
        <f>ROUND((((ET266)-(EU266))+AE266),6)</f>
        <v>0</v>
      </c>
      <c r="AE266">
        <f>ROUND((EU266),6)</f>
        <v>0</v>
      </c>
      <c r="AF266">
        <f>ROUND((EV266),6)</f>
        <v>3251.54</v>
      </c>
      <c r="AG266">
        <f>ROUND((AP266),6)</f>
        <v>0</v>
      </c>
      <c r="AH266">
        <f>(EW266)</f>
        <v>18.89</v>
      </c>
      <c r="AI266">
        <f>(EX266)</f>
        <v>0</v>
      </c>
      <c r="AJ266">
        <f>(AS266)</f>
        <v>0</v>
      </c>
      <c r="AK266">
        <v>7565.32</v>
      </c>
      <c r="AL266">
        <v>4313.78</v>
      </c>
      <c r="AM266">
        <v>0</v>
      </c>
      <c r="AN266">
        <v>0</v>
      </c>
      <c r="AO266">
        <v>3251.54</v>
      </c>
      <c r="AP266">
        <v>0</v>
      </c>
      <c r="AQ266">
        <v>18.89</v>
      </c>
      <c r="AR266">
        <v>0</v>
      </c>
      <c r="AS266">
        <v>0</v>
      </c>
      <c r="AT266">
        <v>70</v>
      </c>
      <c r="AU266">
        <v>0</v>
      </c>
      <c r="AV266">
        <v>1</v>
      </c>
      <c r="AW266">
        <v>1</v>
      </c>
      <c r="AZ266">
        <v>1</v>
      </c>
      <c r="BA266">
        <v>1</v>
      </c>
      <c r="BB266">
        <v>1</v>
      </c>
      <c r="BC266">
        <v>1</v>
      </c>
      <c r="BD266" t="s">
        <v>3</v>
      </c>
      <c r="BE266" t="s">
        <v>3</v>
      </c>
      <c r="BF266" t="s">
        <v>3</v>
      </c>
      <c r="BG266" t="s">
        <v>3</v>
      </c>
      <c r="BH266">
        <v>0</v>
      </c>
      <c r="BI266">
        <v>4</v>
      </c>
      <c r="BJ266" t="s">
        <v>145</v>
      </c>
      <c r="BM266">
        <v>0</v>
      </c>
      <c r="BN266">
        <v>0</v>
      </c>
      <c r="BO266" t="s">
        <v>3</v>
      </c>
      <c r="BP266">
        <v>0</v>
      </c>
      <c r="BQ266">
        <v>1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 t="s">
        <v>3</v>
      </c>
      <c r="BZ266">
        <v>70</v>
      </c>
      <c r="CA266">
        <v>0</v>
      </c>
      <c r="CE266">
        <v>0</v>
      </c>
      <c r="CF266">
        <v>0</v>
      </c>
      <c r="CG266">
        <v>0</v>
      </c>
      <c r="CM266">
        <v>0</v>
      </c>
      <c r="CN266" t="s">
        <v>3</v>
      </c>
      <c r="CO266">
        <v>0</v>
      </c>
      <c r="CP266">
        <f>(P266+Q266+S266)</f>
        <v>91691.670000000013</v>
      </c>
      <c r="CQ266">
        <f>(AC266*BC266*AW266)</f>
        <v>4313.78</v>
      </c>
      <c r="CR266">
        <f>((((ET266)*BB266-(EU266)*BS266)+AE266*BS266)*AV266)</f>
        <v>0</v>
      </c>
      <c r="CS266">
        <f>(AE266*BS266*AV266)</f>
        <v>0</v>
      </c>
      <c r="CT266">
        <f>(AF266*BA266*AV266)</f>
        <v>3251.54</v>
      </c>
      <c r="CU266">
        <f>AG266</f>
        <v>0</v>
      </c>
      <c r="CV266">
        <f>(AH266*AV266)</f>
        <v>18.89</v>
      </c>
      <c r="CW266">
        <f>AI266</f>
        <v>0</v>
      </c>
      <c r="CX266">
        <f>AJ266</f>
        <v>0</v>
      </c>
      <c r="CY266">
        <f>((S266*BZ266)/100)</f>
        <v>27586.062000000002</v>
      </c>
      <c r="CZ266">
        <f>((S266*CA266)/100)</f>
        <v>0</v>
      </c>
      <c r="DC266" t="s">
        <v>3</v>
      </c>
      <c r="DD266" t="s">
        <v>3</v>
      </c>
      <c r="DE266" t="s">
        <v>3</v>
      </c>
      <c r="DF266" t="s">
        <v>3</v>
      </c>
      <c r="DG266" t="s">
        <v>3</v>
      </c>
      <c r="DH266" t="s">
        <v>3</v>
      </c>
      <c r="DI266" t="s">
        <v>3</v>
      </c>
      <c r="DJ266" t="s">
        <v>3</v>
      </c>
      <c r="DK266" t="s">
        <v>3</v>
      </c>
      <c r="DL266" t="s">
        <v>3</v>
      </c>
      <c r="DM266" t="s">
        <v>3</v>
      </c>
      <c r="DN266">
        <v>0</v>
      </c>
      <c r="DO266">
        <v>0</v>
      </c>
      <c r="DP266">
        <v>1</v>
      </c>
      <c r="DQ266">
        <v>1</v>
      </c>
      <c r="DU266">
        <v>1007</v>
      </c>
      <c r="DV266" t="s">
        <v>144</v>
      </c>
      <c r="DW266" t="s">
        <v>144</v>
      </c>
      <c r="DX266">
        <v>10</v>
      </c>
      <c r="EE266">
        <v>48810626</v>
      </c>
      <c r="EF266">
        <v>1</v>
      </c>
      <c r="EG266" t="s">
        <v>30</v>
      </c>
      <c r="EH266">
        <v>0</v>
      </c>
      <c r="EI266" t="s">
        <v>3</v>
      </c>
      <c r="EJ266">
        <v>4</v>
      </c>
      <c r="EK266">
        <v>0</v>
      </c>
      <c r="EL266" t="s">
        <v>31</v>
      </c>
      <c r="EM266" t="s">
        <v>32</v>
      </c>
      <c r="EO266" t="s">
        <v>3</v>
      </c>
      <c r="EQ266">
        <v>131072</v>
      </c>
      <c r="ER266">
        <v>7565.32</v>
      </c>
      <c r="ES266">
        <v>4313.78</v>
      </c>
      <c r="ET266">
        <v>0</v>
      </c>
      <c r="EU266">
        <v>0</v>
      </c>
      <c r="EV266">
        <v>3251.54</v>
      </c>
      <c r="EW266">
        <v>18.89</v>
      </c>
      <c r="EX266">
        <v>0</v>
      </c>
      <c r="EY266">
        <v>0</v>
      </c>
      <c r="FQ266">
        <v>0</v>
      </c>
      <c r="FR266">
        <f>ROUND(IF(AND(BH266=3,BI266=3),P266,0),2)</f>
        <v>0</v>
      </c>
      <c r="FS266">
        <v>0</v>
      </c>
      <c r="FX266">
        <v>70</v>
      </c>
      <c r="FY266">
        <v>0</v>
      </c>
      <c r="GA266" t="s">
        <v>3</v>
      </c>
      <c r="GD266">
        <v>0</v>
      </c>
      <c r="GF266">
        <v>699621454</v>
      </c>
      <c r="GG266">
        <v>2</v>
      </c>
      <c r="GH266">
        <v>1</v>
      </c>
      <c r="GI266">
        <v>-2</v>
      </c>
      <c r="GJ266">
        <v>0</v>
      </c>
      <c r="GK266">
        <f>ROUND(R266*(R12)/100,2)</f>
        <v>0</v>
      </c>
      <c r="GL266">
        <f>ROUND(IF(AND(BH266=3,BI266=3,FS266&lt;&gt;0),P266,0),2)</f>
        <v>0</v>
      </c>
      <c r="GM266">
        <f>ROUND(O266+X266+Y266+GK266,2)+GX266</f>
        <v>119277.73</v>
      </c>
      <c r="GN266">
        <f>IF(OR(BI266=0,BI266=1),ROUND(O266+X266+Y266+GK266,2),0)</f>
        <v>0</v>
      </c>
      <c r="GO266">
        <f>IF(BI266=2,ROUND(O266+X266+Y266+GK266,2),0)</f>
        <v>0</v>
      </c>
      <c r="GP266">
        <f>IF(BI266=4,ROUND(O266+X266+Y266+GK266,2)+GX266,0)</f>
        <v>119277.73</v>
      </c>
      <c r="GR266">
        <v>0</v>
      </c>
      <c r="GS266">
        <v>3</v>
      </c>
      <c r="GT266">
        <v>0</v>
      </c>
      <c r="GU266" t="s">
        <v>3</v>
      </c>
      <c r="GV266">
        <f>ROUND((GT266),6)</f>
        <v>0</v>
      </c>
      <c r="GW266">
        <v>1</v>
      </c>
      <c r="GX266">
        <f>ROUND(HC266*I266,2)</f>
        <v>0</v>
      </c>
      <c r="HA266">
        <v>0</v>
      </c>
      <c r="HB266">
        <v>0</v>
      </c>
      <c r="HC266">
        <f>GV266*GW266</f>
        <v>0</v>
      </c>
      <c r="IK266">
        <v>0</v>
      </c>
    </row>
    <row r="268" spans="1:245" x14ac:dyDescent="0.2">
      <c r="A268" s="2">
        <v>51</v>
      </c>
      <c r="B268" s="2">
        <f>B261</f>
        <v>1</v>
      </c>
      <c r="C268" s="2">
        <f>A261</f>
        <v>5</v>
      </c>
      <c r="D268" s="2">
        <f>ROW(A261)</f>
        <v>261</v>
      </c>
      <c r="E268" s="2"/>
      <c r="F268" s="2" t="str">
        <f>IF(F261&lt;&gt;"",F261,"")</f>
        <v>Новый подраздел</v>
      </c>
      <c r="G268" s="2" t="str">
        <f>IF(G261&lt;&gt;"",G261,"")</f>
        <v>Уход за деревьями - внутридворовые территории</v>
      </c>
      <c r="H268" s="2">
        <v>0</v>
      </c>
      <c r="I268" s="2"/>
      <c r="J268" s="2"/>
      <c r="K268" s="2"/>
      <c r="L268" s="2"/>
      <c r="M268" s="2"/>
      <c r="N268" s="2"/>
      <c r="O268" s="2">
        <f t="shared" ref="O268:T268" si="156">ROUND(AB268,2)</f>
        <v>352401.15</v>
      </c>
      <c r="P268" s="2">
        <f t="shared" si="156"/>
        <v>60496.65</v>
      </c>
      <c r="Q268" s="2">
        <f t="shared" si="156"/>
        <v>119329.32</v>
      </c>
      <c r="R268" s="2">
        <f t="shared" si="156"/>
        <v>26811.84</v>
      </c>
      <c r="S268" s="2">
        <f t="shared" si="156"/>
        <v>172575.18</v>
      </c>
      <c r="T268" s="2">
        <f t="shared" si="156"/>
        <v>0</v>
      </c>
      <c r="U268" s="2">
        <f>AH268</f>
        <v>959.26679999999988</v>
      </c>
      <c r="V268" s="2">
        <f>AI268</f>
        <v>0</v>
      </c>
      <c r="W268" s="2">
        <f>ROUND(AJ268,2)</f>
        <v>0</v>
      </c>
      <c r="X268" s="2">
        <f>ROUND(AK268,2)</f>
        <v>120802.62</v>
      </c>
      <c r="Y268" s="2">
        <f>ROUND(AL268,2)</f>
        <v>0</v>
      </c>
      <c r="Z268" s="2"/>
      <c r="AA268" s="2"/>
      <c r="AB268" s="2">
        <f>ROUND(SUMIF(AA265:AA266,"=53202630",O265:O266),2)</f>
        <v>352401.15</v>
      </c>
      <c r="AC268" s="2">
        <f>ROUND(SUMIF(AA265:AA266,"=53202630",P265:P266),2)</f>
        <v>60496.65</v>
      </c>
      <c r="AD268" s="2">
        <f>ROUND(SUMIF(AA265:AA266,"=53202630",Q265:Q266),2)</f>
        <v>119329.32</v>
      </c>
      <c r="AE268" s="2">
        <f>ROUND(SUMIF(AA265:AA266,"=53202630",R265:R266),2)</f>
        <v>26811.84</v>
      </c>
      <c r="AF268" s="2">
        <f>ROUND(SUMIF(AA265:AA266,"=53202630",S265:S266),2)</f>
        <v>172575.18</v>
      </c>
      <c r="AG268" s="2">
        <f>ROUND(SUMIF(AA265:AA266,"=53202630",T265:T266),2)</f>
        <v>0</v>
      </c>
      <c r="AH268" s="2">
        <f>SUMIF(AA265:AA266,"=53202630",U265:U266)</f>
        <v>959.26679999999988</v>
      </c>
      <c r="AI268" s="2">
        <f>SUMIF(AA265:AA266,"=53202630",V265:V266)</f>
        <v>0</v>
      </c>
      <c r="AJ268" s="2">
        <f>ROUND(SUMIF(AA265:AA266,"=53202630",W265:W266),2)</f>
        <v>0</v>
      </c>
      <c r="AK268" s="2">
        <f>ROUND(SUMIF(AA265:AA266,"=53202630",X265:X266),2)</f>
        <v>120802.62</v>
      </c>
      <c r="AL268" s="2">
        <f>ROUND(SUMIF(AA265:AA266,"=53202630",Y265:Y266),2)</f>
        <v>0</v>
      </c>
      <c r="AM268" s="2"/>
      <c r="AN268" s="2"/>
      <c r="AO268" s="2">
        <f t="shared" ref="AO268:BC268" si="157">ROUND(BX268,2)</f>
        <v>0</v>
      </c>
      <c r="AP268" s="2">
        <f t="shared" si="157"/>
        <v>0</v>
      </c>
      <c r="AQ268" s="2">
        <f t="shared" si="157"/>
        <v>0</v>
      </c>
      <c r="AR268" s="2">
        <f t="shared" si="157"/>
        <v>494117.01</v>
      </c>
      <c r="AS268" s="2">
        <f t="shared" si="157"/>
        <v>0</v>
      </c>
      <c r="AT268" s="2">
        <f t="shared" si="157"/>
        <v>0</v>
      </c>
      <c r="AU268" s="2">
        <f t="shared" si="157"/>
        <v>494117.01</v>
      </c>
      <c r="AV268" s="2">
        <f t="shared" si="157"/>
        <v>60496.65</v>
      </c>
      <c r="AW268" s="2">
        <f t="shared" si="157"/>
        <v>60496.65</v>
      </c>
      <c r="AX268" s="2">
        <f t="shared" si="157"/>
        <v>0</v>
      </c>
      <c r="AY268" s="2">
        <f t="shared" si="157"/>
        <v>60496.65</v>
      </c>
      <c r="AZ268" s="2">
        <f t="shared" si="157"/>
        <v>0</v>
      </c>
      <c r="BA268" s="2">
        <f t="shared" si="157"/>
        <v>0</v>
      </c>
      <c r="BB268" s="2">
        <f t="shared" si="157"/>
        <v>0</v>
      </c>
      <c r="BC268" s="2">
        <f t="shared" si="157"/>
        <v>0</v>
      </c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>
        <f>ROUND(SUMIF(AA265:AA266,"=53202630",FQ265:FQ266),2)</f>
        <v>0</v>
      </c>
      <c r="BY268" s="2">
        <f>ROUND(SUMIF(AA265:AA266,"=53202630",FR265:FR266),2)</f>
        <v>0</v>
      </c>
      <c r="BZ268" s="2">
        <f>ROUND(SUMIF(AA265:AA266,"=53202630",GL265:GL266),2)</f>
        <v>0</v>
      </c>
      <c r="CA268" s="2">
        <f>ROUND(SUMIF(AA265:AA266,"=53202630",GM265:GM266),2)</f>
        <v>494117.01</v>
      </c>
      <c r="CB268" s="2">
        <f>ROUND(SUMIF(AA265:AA266,"=53202630",GN265:GN266),2)</f>
        <v>0</v>
      </c>
      <c r="CC268" s="2">
        <f>ROUND(SUMIF(AA265:AA266,"=53202630",GO265:GO266),2)</f>
        <v>0</v>
      </c>
      <c r="CD268" s="2">
        <f>ROUND(SUMIF(AA265:AA266,"=53202630",GP265:GP266),2)</f>
        <v>494117.01</v>
      </c>
      <c r="CE268" s="2">
        <f>AC268-BX268</f>
        <v>60496.65</v>
      </c>
      <c r="CF268" s="2">
        <f>AC268-BY268</f>
        <v>60496.65</v>
      </c>
      <c r="CG268" s="2">
        <f>BX268-BZ268</f>
        <v>0</v>
      </c>
      <c r="CH268" s="2">
        <f>AC268-BX268-BY268+BZ268</f>
        <v>60496.65</v>
      </c>
      <c r="CI268" s="2">
        <f>BY268-BZ268</f>
        <v>0</v>
      </c>
      <c r="CJ268" s="2">
        <f>ROUND(SUMIF(AA265:AA266,"=53202630",GX265:GX266),2)</f>
        <v>0</v>
      </c>
      <c r="CK268" s="2">
        <f>ROUND(SUMIF(AA265:AA266,"=53202630",GY265:GY266),2)</f>
        <v>0</v>
      </c>
      <c r="CL268" s="2">
        <f>ROUND(SUMIF(AA265:AA266,"=53202630",GZ265:GZ266),2)</f>
        <v>0</v>
      </c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>
        <v>0</v>
      </c>
    </row>
    <row r="270" spans="1:245" x14ac:dyDescent="0.2">
      <c r="A270" s="4">
        <v>50</v>
      </c>
      <c r="B270" s="4">
        <v>0</v>
      </c>
      <c r="C270" s="4">
        <v>0</v>
      </c>
      <c r="D270" s="4">
        <v>1</v>
      </c>
      <c r="E270" s="4">
        <v>201</v>
      </c>
      <c r="F270" s="4">
        <f>ROUND(Source!O268,O270)</f>
        <v>352401.15</v>
      </c>
      <c r="G270" s="4" t="s">
        <v>72</v>
      </c>
      <c r="H270" s="4" t="s">
        <v>73</v>
      </c>
      <c r="I270" s="4"/>
      <c r="J270" s="4"/>
      <c r="K270" s="4">
        <v>201</v>
      </c>
      <c r="L270" s="4">
        <v>1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45" x14ac:dyDescent="0.2">
      <c r="A271" s="4">
        <v>50</v>
      </c>
      <c r="B271" s="4">
        <v>0</v>
      </c>
      <c r="C271" s="4">
        <v>0</v>
      </c>
      <c r="D271" s="4">
        <v>1</v>
      </c>
      <c r="E271" s="4">
        <v>202</v>
      </c>
      <c r="F271" s="4">
        <f>ROUND(Source!P268,O271)</f>
        <v>60496.65</v>
      </c>
      <c r="G271" s="4" t="s">
        <v>74</v>
      </c>
      <c r="H271" s="4" t="s">
        <v>75</v>
      </c>
      <c r="I271" s="4"/>
      <c r="J271" s="4"/>
      <c r="K271" s="4">
        <v>202</v>
      </c>
      <c r="L271" s="4">
        <v>2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45" x14ac:dyDescent="0.2">
      <c r="A272" s="4">
        <v>50</v>
      </c>
      <c r="B272" s="4">
        <v>0</v>
      </c>
      <c r="C272" s="4">
        <v>0</v>
      </c>
      <c r="D272" s="4">
        <v>1</v>
      </c>
      <c r="E272" s="4">
        <v>222</v>
      </c>
      <c r="F272" s="4">
        <f>ROUND(Source!AO268,O272)</f>
        <v>0</v>
      </c>
      <c r="G272" s="4" t="s">
        <v>76</v>
      </c>
      <c r="H272" s="4" t="s">
        <v>77</v>
      </c>
      <c r="I272" s="4"/>
      <c r="J272" s="4"/>
      <c r="K272" s="4">
        <v>222</v>
      </c>
      <c r="L272" s="4">
        <v>3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>
        <v>50</v>
      </c>
      <c r="B273" s="4">
        <v>0</v>
      </c>
      <c r="C273" s="4">
        <v>0</v>
      </c>
      <c r="D273" s="4">
        <v>1</v>
      </c>
      <c r="E273" s="4">
        <v>225</v>
      </c>
      <c r="F273" s="4">
        <f>ROUND(Source!AV268,O273)</f>
        <v>60496.65</v>
      </c>
      <c r="G273" s="4" t="s">
        <v>78</v>
      </c>
      <c r="H273" s="4" t="s">
        <v>79</v>
      </c>
      <c r="I273" s="4"/>
      <c r="J273" s="4"/>
      <c r="K273" s="4">
        <v>225</v>
      </c>
      <c r="L273" s="4">
        <v>4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>
        <v>50</v>
      </c>
      <c r="B274" s="4">
        <v>0</v>
      </c>
      <c r="C274" s="4">
        <v>0</v>
      </c>
      <c r="D274" s="4">
        <v>1</v>
      </c>
      <c r="E274" s="4">
        <v>226</v>
      </c>
      <c r="F274" s="4">
        <f>ROUND(Source!AW268,O274)</f>
        <v>60496.65</v>
      </c>
      <c r="G274" s="4" t="s">
        <v>80</v>
      </c>
      <c r="H274" s="4" t="s">
        <v>81</v>
      </c>
      <c r="I274" s="4"/>
      <c r="J274" s="4"/>
      <c r="K274" s="4">
        <v>226</v>
      </c>
      <c r="L274" s="4">
        <v>5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>
        <v>50</v>
      </c>
      <c r="B275" s="4">
        <v>0</v>
      </c>
      <c r="C275" s="4">
        <v>0</v>
      </c>
      <c r="D275" s="4">
        <v>1</v>
      </c>
      <c r="E275" s="4">
        <v>227</v>
      </c>
      <c r="F275" s="4">
        <f>ROUND(Source!AX268,O275)</f>
        <v>0</v>
      </c>
      <c r="G275" s="4" t="s">
        <v>82</v>
      </c>
      <c r="H275" s="4" t="s">
        <v>83</v>
      </c>
      <c r="I275" s="4"/>
      <c r="J275" s="4"/>
      <c r="K275" s="4">
        <v>227</v>
      </c>
      <c r="L275" s="4">
        <v>6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>
        <v>50</v>
      </c>
      <c r="B276" s="4">
        <v>0</v>
      </c>
      <c r="C276" s="4">
        <v>0</v>
      </c>
      <c r="D276" s="4">
        <v>1</v>
      </c>
      <c r="E276" s="4">
        <v>228</v>
      </c>
      <c r="F276" s="4">
        <f>ROUND(Source!AY268,O276)</f>
        <v>60496.65</v>
      </c>
      <c r="G276" s="4" t="s">
        <v>84</v>
      </c>
      <c r="H276" s="4" t="s">
        <v>85</v>
      </c>
      <c r="I276" s="4"/>
      <c r="J276" s="4"/>
      <c r="K276" s="4">
        <v>228</v>
      </c>
      <c r="L276" s="4">
        <v>7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>
        <v>50</v>
      </c>
      <c r="B277" s="4">
        <v>0</v>
      </c>
      <c r="C277" s="4">
        <v>0</v>
      </c>
      <c r="D277" s="4">
        <v>1</v>
      </c>
      <c r="E277" s="4">
        <v>216</v>
      </c>
      <c r="F277" s="4">
        <f>ROUND(Source!AP268,O277)</f>
        <v>0</v>
      </c>
      <c r="G277" s="4" t="s">
        <v>86</v>
      </c>
      <c r="H277" s="4" t="s">
        <v>87</v>
      </c>
      <c r="I277" s="4"/>
      <c r="J277" s="4"/>
      <c r="K277" s="4">
        <v>216</v>
      </c>
      <c r="L277" s="4">
        <v>8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>
        <v>50</v>
      </c>
      <c r="B278" s="4">
        <v>0</v>
      </c>
      <c r="C278" s="4">
        <v>0</v>
      </c>
      <c r="D278" s="4">
        <v>1</v>
      </c>
      <c r="E278" s="4">
        <v>223</v>
      </c>
      <c r="F278" s="4">
        <f>ROUND(Source!AQ268,O278)</f>
        <v>0</v>
      </c>
      <c r="G278" s="4" t="s">
        <v>88</v>
      </c>
      <c r="H278" s="4" t="s">
        <v>89</v>
      </c>
      <c r="I278" s="4"/>
      <c r="J278" s="4"/>
      <c r="K278" s="4">
        <v>223</v>
      </c>
      <c r="L278" s="4">
        <v>9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>
        <v>50</v>
      </c>
      <c r="B279" s="4">
        <v>0</v>
      </c>
      <c r="C279" s="4">
        <v>0</v>
      </c>
      <c r="D279" s="4">
        <v>1</v>
      </c>
      <c r="E279" s="4">
        <v>229</v>
      </c>
      <c r="F279" s="4">
        <f>ROUND(Source!AZ268,O279)</f>
        <v>0</v>
      </c>
      <c r="G279" s="4" t="s">
        <v>90</v>
      </c>
      <c r="H279" s="4" t="s">
        <v>91</v>
      </c>
      <c r="I279" s="4"/>
      <c r="J279" s="4"/>
      <c r="K279" s="4">
        <v>229</v>
      </c>
      <c r="L279" s="4">
        <v>10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>
        <v>50</v>
      </c>
      <c r="B280" s="4">
        <v>0</v>
      </c>
      <c r="C280" s="4">
        <v>0</v>
      </c>
      <c r="D280" s="4">
        <v>1</v>
      </c>
      <c r="E280" s="4">
        <v>203</v>
      </c>
      <c r="F280" s="4">
        <f>ROUND(Source!Q268,O280)</f>
        <v>119329.32</v>
      </c>
      <c r="G280" s="4" t="s">
        <v>92</v>
      </c>
      <c r="H280" s="4" t="s">
        <v>93</v>
      </c>
      <c r="I280" s="4"/>
      <c r="J280" s="4"/>
      <c r="K280" s="4">
        <v>203</v>
      </c>
      <c r="L280" s="4">
        <v>11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>
        <v>50</v>
      </c>
      <c r="B281" s="4">
        <v>0</v>
      </c>
      <c r="C281" s="4">
        <v>0</v>
      </c>
      <c r="D281" s="4">
        <v>1</v>
      </c>
      <c r="E281" s="4">
        <v>231</v>
      </c>
      <c r="F281" s="4">
        <f>ROUND(Source!BB268,O281)</f>
        <v>0</v>
      </c>
      <c r="G281" s="4" t="s">
        <v>94</v>
      </c>
      <c r="H281" s="4" t="s">
        <v>95</v>
      </c>
      <c r="I281" s="4"/>
      <c r="J281" s="4"/>
      <c r="K281" s="4">
        <v>231</v>
      </c>
      <c r="L281" s="4">
        <v>12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>
        <v>50</v>
      </c>
      <c r="B282" s="4">
        <v>0</v>
      </c>
      <c r="C282" s="4">
        <v>0</v>
      </c>
      <c r="D282" s="4">
        <v>1</v>
      </c>
      <c r="E282" s="4">
        <v>204</v>
      </c>
      <c r="F282" s="4">
        <f>ROUND(Source!R268,O282)</f>
        <v>26811.84</v>
      </c>
      <c r="G282" s="4" t="s">
        <v>96</v>
      </c>
      <c r="H282" s="4" t="s">
        <v>97</v>
      </c>
      <c r="I282" s="4"/>
      <c r="J282" s="4"/>
      <c r="K282" s="4">
        <v>204</v>
      </c>
      <c r="L282" s="4">
        <v>13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>
        <v>50</v>
      </c>
      <c r="B283" s="4">
        <v>0</v>
      </c>
      <c r="C283" s="4">
        <v>0</v>
      </c>
      <c r="D283" s="4">
        <v>1</v>
      </c>
      <c r="E283" s="4">
        <v>205</v>
      </c>
      <c r="F283" s="4">
        <f>ROUND(Source!S268,O283)</f>
        <v>172575.18</v>
      </c>
      <c r="G283" s="4" t="s">
        <v>98</v>
      </c>
      <c r="H283" s="4" t="s">
        <v>99</v>
      </c>
      <c r="I283" s="4"/>
      <c r="J283" s="4"/>
      <c r="K283" s="4">
        <v>205</v>
      </c>
      <c r="L283" s="4">
        <v>14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>
        <v>50</v>
      </c>
      <c r="B284" s="4">
        <v>0</v>
      </c>
      <c r="C284" s="4">
        <v>0</v>
      </c>
      <c r="D284" s="4">
        <v>1</v>
      </c>
      <c r="E284" s="4">
        <v>232</v>
      </c>
      <c r="F284" s="4">
        <f>ROUND(Source!BC268,O284)</f>
        <v>0</v>
      </c>
      <c r="G284" s="4" t="s">
        <v>100</v>
      </c>
      <c r="H284" s="4" t="s">
        <v>101</v>
      </c>
      <c r="I284" s="4"/>
      <c r="J284" s="4"/>
      <c r="K284" s="4">
        <v>232</v>
      </c>
      <c r="L284" s="4">
        <v>15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>
        <v>50</v>
      </c>
      <c r="B285" s="4">
        <v>0</v>
      </c>
      <c r="C285" s="4">
        <v>0</v>
      </c>
      <c r="D285" s="4">
        <v>1</v>
      </c>
      <c r="E285" s="4">
        <v>214</v>
      </c>
      <c r="F285" s="4">
        <f>ROUND(Source!AS268,O285)</f>
        <v>0</v>
      </c>
      <c r="G285" s="4" t="s">
        <v>102</v>
      </c>
      <c r="H285" s="4" t="s">
        <v>103</v>
      </c>
      <c r="I285" s="4"/>
      <c r="J285" s="4"/>
      <c r="K285" s="4">
        <v>214</v>
      </c>
      <c r="L285" s="4">
        <v>16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>
        <v>50</v>
      </c>
      <c r="B286" s="4">
        <v>0</v>
      </c>
      <c r="C286" s="4">
        <v>0</v>
      </c>
      <c r="D286" s="4">
        <v>1</v>
      </c>
      <c r="E286" s="4">
        <v>215</v>
      </c>
      <c r="F286" s="4">
        <f>ROUND(Source!AT268,O286)</f>
        <v>0</v>
      </c>
      <c r="G286" s="4" t="s">
        <v>104</v>
      </c>
      <c r="H286" s="4" t="s">
        <v>105</v>
      </c>
      <c r="I286" s="4"/>
      <c r="J286" s="4"/>
      <c r="K286" s="4">
        <v>215</v>
      </c>
      <c r="L286" s="4">
        <v>17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>
        <v>50</v>
      </c>
      <c r="B287" s="4">
        <v>0</v>
      </c>
      <c r="C287" s="4">
        <v>0</v>
      </c>
      <c r="D287" s="4">
        <v>1</v>
      </c>
      <c r="E287" s="4">
        <v>217</v>
      </c>
      <c r="F287" s="4">
        <f>ROUND(Source!AU268,O287)</f>
        <v>494117.01</v>
      </c>
      <c r="G287" s="4" t="s">
        <v>106</v>
      </c>
      <c r="H287" s="4" t="s">
        <v>107</v>
      </c>
      <c r="I287" s="4"/>
      <c r="J287" s="4"/>
      <c r="K287" s="4">
        <v>217</v>
      </c>
      <c r="L287" s="4">
        <v>18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>
        <v>50</v>
      </c>
      <c r="B288" s="4">
        <v>0</v>
      </c>
      <c r="C288" s="4">
        <v>0</v>
      </c>
      <c r="D288" s="4">
        <v>1</v>
      </c>
      <c r="E288" s="4">
        <v>230</v>
      </c>
      <c r="F288" s="4">
        <f>ROUND(Source!BA268,O288)</f>
        <v>0</v>
      </c>
      <c r="G288" s="4" t="s">
        <v>108</v>
      </c>
      <c r="H288" s="4" t="s">
        <v>109</v>
      </c>
      <c r="I288" s="4"/>
      <c r="J288" s="4"/>
      <c r="K288" s="4">
        <v>230</v>
      </c>
      <c r="L288" s="4">
        <v>19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06" x14ac:dyDescent="0.2">
      <c r="A289" s="4">
        <v>50</v>
      </c>
      <c r="B289" s="4">
        <v>0</v>
      </c>
      <c r="C289" s="4">
        <v>0</v>
      </c>
      <c r="D289" s="4">
        <v>1</v>
      </c>
      <c r="E289" s="4">
        <v>206</v>
      </c>
      <c r="F289" s="4">
        <f>ROUND(Source!T268,O289)</f>
        <v>0</v>
      </c>
      <c r="G289" s="4" t="s">
        <v>110</v>
      </c>
      <c r="H289" s="4" t="s">
        <v>111</v>
      </c>
      <c r="I289" s="4"/>
      <c r="J289" s="4"/>
      <c r="K289" s="4">
        <v>206</v>
      </c>
      <c r="L289" s="4">
        <v>20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0" spans="1:206" x14ac:dyDescent="0.2">
      <c r="A290" s="4">
        <v>50</v>
      </c>
      <c r="B290" s="4">
        <v>0</v>
      </c>
      <c r="C290" s="4">
        <v>0</v>
      </c>
      <c r="D290" s="4">
        <v>1</v>
      </c>
      <c r="E290" s="4">
        <v>207</v>
      </c>
      <c r="F290" s="4">
        <f>Source!U268</f>
        <v>959.26679999999988</v>
      </c>
      <c r="G290" s="4" t="s">
        <v>112</v>
      </c>
      <c r="H290" s="4" t="s">
        <v>113</v>
      </c>
      <c r="I290" s="4"/>
      <c r="J290" s="4"/>
      <c r="K290" s="4">
        <v>207</v>
      </c>
      <c r="L290" s="4">
        <v>21</v>
      </c>
      <c r="M290" s="4">
        <v>3</v>
      </c>
      <c r="N290" s="4" t="s">
        <v>3</v>
      </c>
      <c r="O290" s="4">
        <v>-1</v>
      </c>
      <c r="P290" s="4"/>
      <c r="Q290" s="4"/>
      <c r="R290" s="4"/>
      <c r="S290" s="4"/>
      <c r="T290" s="4"/>
      <c r="U290" s="4"/>
      <c r="V290" s="4"/>
      <c r="W290" s="4"/>
    </row>
    <row r="291" spans="1:206" x14ac:dyDescent="0.2">
      <c r="A291" s="4">
        <v>50</v>
      </c>
      <c r="B291" s="4">
        <v>0</v>
      </c>
      <c r="C291" s="4">
        <v>0</v>
      </c>
      <c r="D291" s="4">
        <v>1</v>
      </c>
      <c r="E291" s="4">
        <v>208</v>
      </c>
      <c r="F291" s="4">
        <f>Source!V268</f>
        <v>0</v>
      </c>
      <c r="G291" s="4" t="s">
        <v>114</v>
      </c>
      <c r="H291" s="4" t="s">
        <v>115</v>
      </c>
      <c r="I291" s="4"/>
      <c r="J291" s="4"/>
      <c r="K291" s="4">
        <v>208</v>
      </c>
      <c r="L291" s="4">
        <v>22</v>
      </c>
      <c r="M291" s="4">
        <v>3</v>
      </c>
      <c r="N291" s="4" t="s">
        <v>3</v>
      </c>
      <c r="O291" s="4">
        <v>-1</v>
      </c>
      <c r="P291" s="4"/>
      <c r="Q291" s="4"/>
      <c r="R291" s="4"/>
      <c r="S291" s="4"/>
      <c r="T291" s="4"/>
      <c r="U291" s="4"/>
      <c r="V291" s="4"/>
      <c r="W291" s="4"/>
    </row>
    <row r="292" spans="1:206" x14ac:dyDescent="0.2">
      <c r="A292" s="4">
        <v>50</v>
      </c>
      <c r="B292" s="4">
        <v>0</v>
      </c>
      <c r="C292" s="4">
        <v>0</v>
      </c>
      <c r="D292" s="4">
        <v>1</v>
      </c>
      <c r="E292" s="4">
        <v>209</v>
      </c>
      <c r="F292" s="4">
        <f>ROUND(Source!W268,O292)</f>
        <v>0</v>
      </c>
      <c r="G292" s="4" t="s">
        <v>116</v>
      </c>
      <c r="H292" s="4" t="s">
        <v>117</v>
      </c>
      <c r="I292" s="4"/>
      <c r="J292" s="4"/>
      <c r="K292" s="4">
        <v>209</v>
      </c>
      <c r="L292" s="4">
        <v>23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3" spans="1:206" x14ac:dyDescent="0.2">
      <c r="A293" s="4">
        <v>50</v>
      </c>
      <c r="B293" s="4">
        <v>0</v>
      </c>
      <c r="C293" s="4">
        <v>0</v>
      </c>
      <c r="D293" s="4">
        <v>1</v>
      </c>
      <c r="E293" s="4">
        <v>210</v>
      </c>
      <c r="F293" s="4">
        <f>ROUND(Source!X268,O293)</f>
        <v>120802.62</v>
      </c>
      <c r="G293" s="4" t="s">
        <v>118</v>
      </c>
      <c r="H293" s="4" t="s">
        <v>119</v>
      </c>
      <c r="I293" s="4"/>
      <c r="J293" s="4"/>
      <c r="K293" s="4">
        <v>210</v>
      </c>
      <c r="L293" s="4">
        <v>24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06" x14ac:dyDescent="0.2">
      <c r="A294" s="4">
        <v>50</v>
      </c>
      <c r="B294" s="4">
        <v>0</v>
      </c>
      <c r="C294" s="4">
        <v>0</v>
      </c>
      <c r="D294" s="4">
        <v>1</v>
      </c>
      <c r="E294" s="4">
        <v>211</v>
      </c>
      <c r="F294" s="4">
        <f>ROUND(Source!Y268,O294)</f>
        <v>0</v>
      </c>
      <c r="G294" s="4" t="s">
        <v>120</v>
      </c>
      <c r="H294" s="4" t="s">
        <v>121</v>
      </c>
      <c r="I294" s="4"/>
      <c r="J294" s="4"/>
      <c r="K294" s="4">
        <v>211</v>
      </c>
      <c r="L294" s="4">
        <v>25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06" x14ac:dyDescent="0.2">
      <c r="A295" s="4">
        <v>50</v>
      </c>
      <c r="B295" s="4">
        <v>0</v>
      </c>
      <c r="C295" s="4">
        <v>0</v>
      </c>
      <c r="D295" s="4">
        <v>1</v>
      </c>
      <c r="E295" s="4">
        <v>224</v>
      </c>
      <c r="F295" s="4">
        <f>ROUND(Source!AR268,O295)</f>
        <v>494117.01</v>
      </c>
      <c r="G295" s="4" t="s">
        <v>122</v>
      </c>
      <c r="H295" s="4" t="s">
        <v>123</v>
      </c>
      <c r="I295" s="4"/>
      <c r="J295" s="4"/>
      <c r="K295" s="4">
        <v>224</v>
      </c>
      <c r="L295" s="4">
        <v>26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7" spans="1:206" x14ac:dyDescent="0.2">
      <c r="A297" s="2">
        <v>51</v>
      </c>
      <c r="B297" s="2">
        <f>B175</f>
        <v>1</v>
      </c>
      <c r="C297" s="2">
        <f>A175</f>
        <v>4</v>
      </c>
      <c r="D297" s="2">
        <f>ROW(A175)</f>
        <v>175</v>
      </c>
      <c r="E297" s="2"/>
      <c r="F297" s="2" t="str">
        <f>IF(F175&lt;&gt;"",F175,"")</f>
        <v>Новый раздел</v>
      </c>
      <c r="G297" s="2" t="str">
        <f>IF(G175&lt;&gt;"",G175,"")</f>
        <v>Посадка на внутридворовых территориях деревьев IV группы, ком 1,3*1,3*0,6, 75% замена земли</v>
      </c>
      <c r="H297" s="2">
        <v>0</v>
      </c>
      <c r="I297" s="2"/>
      <c r="J297" s="2"/>
      <c r="K297" s="2"/>
      <c r="L297" s="2"/>
      <c r="M297" s="2"/>
      <c r="N297" s="2"/>
      <c r="O297" s="2">
        <f t="shared" ref="O297:T297" si="158">ROUND(O193+O232+O268+AB297,2)</f>
        <v>3161618.4</v>
      </c>
      <c r="P297" s="2">
        <f t="shared" si="158"/>
        <v>1528146.99</v>
      </c>
      <c r="Q297" s="2">
        <f t="shared" si="158"/>
        <v>498612.05</v>
      </c>
      <c r="R297" s="2">
        <f t="shared" si="158"/>
        <v>219136.13</v>
      </c>
      <c r="S297" s="2">
        <f t="shared" si="158"/>
        <v>1134859.3600000001</v>
      </c>
      <c r="T297" s="2">
        <f t="shared" si="158"/>
        <v>0</v>
      </c>
      <c r="U297" s="2">
        <f>U193+U232+U268+AH297</f>
        <v>5551.9143000000004</v>
      </c>
      <c r="V297" s="2">
        <f>V193+V232+V268+AI297</f>
        <v>0</v>
      </c>
      <c r="W297" s="2">
        <f>ROUND(W193+W232+W268+AJ297,2)</f>
        <v>0</v>
      </c>
      <c r="X297" s="2">
        <f>ROUND(X193+X232+X268+AK297,2)</f>
        <v>794401.57</v>
      </c>
      <c r="Y297" s="2">
        <f>ROUND(Y193+Y232+Y268+AL297,2)</f>
        <v>0</v>
      </c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>
        <f t="shared" ref="AO297:BC297" si="159">ROUND(AO193+AO232+AO268+BX297,2)</f>
        <v>0</v>
      </c>
      <c r="AP297" s="2">
        <f t="shared" si="159"/>
        <v>0</v>
      </c>
      <c r="AQ297" s="2">
        <f t="shared" si="159"/>
        <v>0</v>
      </c>
      <c r="AR297" s="2">
        <f t="shared" si="159"/>
        <v>4002186.06</v>
      </c>
      <c r="AS297" s="2">
        <f t="shared" si="159"/>
        <v>0</v>
      </c>
      <c r="AT297" s="2">
        <f t="shared" si="159"/>
        <v>0</v>
      </c>
      <c r="AU297" s="2">
        <f t="shared" si="159"/>
        <v>4002186.06</v>
      </c>
      <c r="AV297" s="2">
        <f t="shared" si="159"/>
        <v>1528146.99</v>
      </c>
      <c r="AW297" s="2">
        <f t="shared" si="159"/>
        <v>1528146.99</v>
      </c>
      <c r="AX297" s="2">
        <f t="shared" si="159"/>
        <v>0</v>
      </c>
      <c r="AY297" s="2">
        <f t="shared" si="159"/>
        <v>1528146.99</v>
      </c>
      <c r="AZ297" s="2">
        <f t="shared" si="159"/>
        <v>0</v>
      </c>
      <c r="BA297" s="2">
        <f t="shared" si="159"/>
        <v>0</v>
      </c>
      <c r="BB297" s="2">
        <f t="shared" si="159"/>
        <v>0</v>
      </c>
      <c r="BC297" s="2">
        <f t="shared" si="159"/>
        <v>0</v>
      </c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>
        <v>0</v>
      </c>
    </row>
    <row r="299" spans="1:206" x14ac:dyDescent="0.2">
      <c r="A299" s="4">
        <v>50</v>
      </c>
      <c r="B299" s="4">
        <v>0</v>
      </c>
      <c r="C299" s="4">
        <v>0</v>
      </c>
      <c r="D299" s="4">
        <v>1</v>
      </c>
      <c r="E299" s="4">
        <v>201</v>
      </c>
      <c r="F299" s="4">
        <f>ROUND(Source!O297,O299)</f>
        <v>3161618.4</v>
      </c>
      <c r="G299" s="4" t="s">
        <v>72</v>
      </c>
      <c r="H299" s="4" t="s">
        <v>73</v>
      </c>
      <c r="I299" s="4"/>
      <c r="J299" s="4"/>
      <c r="K299" s="4">
        <v>201</v>
      </c>
      <c r="L299" s="4">
        <v>1</v>
      </c>
      <c r="M299" s="4">
        <v>3</v>
      </c>
      <c r="N299" s="4" t="s">
        <v>3</v>
      </c>
      <c r="O299" s="4">
        <v>2</v>
      </c>
      <c r="P299" s="4"/>
      <c r="Q299" s="4"/>
      <c r="R299" s="4"/>
      <c r="S299" s="4"/>
      <c r="T299" s="4"/>
      <c r="U299" s="4"/>
      <c r="V299" s="4"/>
      <c r="W299" s="4"/>
    </row>
    <row r="300" spans="1:206" x14ac:dyDescent="0.2">
      <c r="A300" s="4">
        <v>50</v>
      </c>
      <c r="B300" s="4">
        <v>0</v>
      </c>
      <c r="C300" s="4">
        <v>0</v>
      </c>
      <c r="D300" s="4">
        <v>1</v>
      </c>
      <c r="E300" s="4">
        <v>202</v>
      </c>
      <c r="F300" s="4">
        <f>ROUND(Source!P297,O300)</f>
        <v>1528146.99</v>
      </c>
      <c r="G300" s="4" t="s">
        <v>74</v>
      </c>
      <c r="H300" s="4" t="s">
        <v>75</v>
      </c>
      <c r="I300" s="4"/>
      <c r="J300" s="4"/>
      <c r="K300" s="4">
        <v>202</v>
      </c>
      <c r="L300" s="4">
        <v>2</v>
      </c>
      <c r="M300" s="4">
        <v>3</v>
      </c>
      <c r="N300" s="4" t="s">
        <v>3</v>
      </c>
      <c r="O300" s="4">
        <v>2</v>
      </c>
      <c r="P300" s="4"/>
      <c r="Q300" s="4"/>
      <c r="R300" s="4"/>
      <c r="S300" s="4"/>
      <c r="T300" s="4"/>
      <c r="U300" s="4"/>
      <c r="V300" s="4"/>
      <c r="W300" s="4"/>
    </row>
    <row r="301" spans="1:206" x14ac:dyDescent="0.2">
      <c r="A301" s="4">
        <v>50</v>
      </c>
      <c r="B301" s="4">
        <v>0</v>
      </c>
      <c r="C301" s="4">
        <v>0</v>
      </c>
      <c r="D301" s="4">
        <v>1</v>
      </c>
      <c r="E301" s="4">
        <v>222</v>
      </c>
      <c r="F301" s="4">
        <f>ROUND(Source!AO297,O301)</f>
        <v>0</v>
      </c>
      <c r="G301" s="4" t="s">
        <v>76</v>
      </c>
      <c r="H301" s="4" t="s">
        <v>77</v>
      </c>
      <c r="I301" s="4"/>
      <c r="J301" s="4"/>
      <c r="K301" s="4">
        <v>222</v>
      </c>
      <c r="L301" s="4">
        <v>3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06" x14ac:dyDescent="0.2">
      <c r="A302" s="4">
        <v>50</v>
      </c>
      <c r="B302" s="4">
        <v>0</v>
      </c>
      <c r="C302" s="4">
        <v>0</v>
      </c>
      <c r="D302" s="4">
        <v>1</v>
      </c>
      <c r="E302" s="4">
        <v>225</v>
      </c>
      <c r="F302" s="4">
        <f>ROUND(Source!AV297,O302)</f>
        <v>1528146.99</v>
      </c>
      <c r="G302" s="4" t="s">
        <v>78</v>
      </c>
      <c r="H302" s="4" t="s">
        <v>79</v>
      </c>
      <c r="I302" s="4"/>
      <c r="J302" s="4"/>
      <c r="K302" s="4">
        <v>225</v>
      </c>
      <c r="L302" s="4">
        <v>4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06" x14ac:dyDescent="0.2">
      <c r="A303" s="4">
        <v>50</v>
      </c>
      <c r="B303" s="4">
        <v>0</v>
      </c>
      <c r="C303" s="4">
        <v>0</v>
      </c>
      <c r="D303" s="4">
        <v>1</v>
      </c>
      <c r="E303" s="4">
        <v>226</v>
      </c>
      <c r="F303" s="4">
        <f>ROUND(Source!AW297,O303)</f>
        <v>1528146.99</v>
      </c>
      <c r="G303" s="4" t="s">
        <v>80</v>
      </c>
      <c r="H303" s="4" t="s">
        <v>81</v>
      </c>
      <c r="I303" s="4"/>
      <c r="J303" s="4"/>
      <c r="K303" s="4">
        <v>226</v>
      </c>
      <c r="L303" s="4">
        <v>5</v>
      </c>
      <c r="M303" s="4">
        <v>3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06" x14ac:dyDescent="0.2">
      <c r="A304" s="4">
        <v>50</v>
      </c>
      <c r="B304" s="4">
        <v>0</v>
      </c>
      <c r="C304" s="4">
        <v>0</v>
      </c>
      <c r="D304" s="4">
        <v>1</v>
      </c>
      <c r="E304" s="4">
        <v>227</v>
      </c>
      <c r="F304" s="4">
        <f>ROUND(Source!AX297,O304)</f>
        <v>0</v>
      </c>
      <c r="G304" s="4" t="s">
        <v>82</v>
      </c>
      <c r="H304" s="4" t="s">
        <v>83</v>
      </c>
      <c r="I304" s="4"/>
      <c r="J304" s="4"/>
      <c r="K304" s="4">
        <v>227</v>
      </c>
      <c r="L304" s="4">
        <v>6</v>
      </c>
      <c r="M304" s="4">
        <v>3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>
        <v>50</v>
      </c>
      <c r="B305" s="4">
        <v>0</v>
      </c>
      <c r="C305" s="4">
        <v>0</v>
      </c>
      <c r="D305" s="4">
        <v>1</v>
      </c>
      <c r="E305" s="4">
        <v>228</v>
      </c>
      <c r="F305" s="4">
        <f>ROUND(Source!AY297,O305)</f>
        <v>1528146.99</v>
      </c>
      <c r="G305" s="4" t="s">
        <v>84</v>
      </c>
      <c r="H305" s="4" t="s">
        <v>85</v>
      </c>
      <c r="I305" s="4"/>
      <c r="J305" s="4"/>
      <c r="K305" s="4">
        <v>228</v>
      </c>
      <c r="L305" s="4">
        <v>7</v>
      </c>
      <c r="M305" s="4">
        <v>3</v>
      </c>
      <c r="N305" s="4" t="s">
        <v>3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>
        <v>50</v>
      </c>
      <c r="B306" s="4">
        <v>0</v>
      </c>
      <c r="C306" s="4">
        <v>0</v>
      </c>
      <c r="D306" s="4">
        <v>1</v>
      </c>
      <c r="E306" s="4">
        <v>216</v>
      </c>
      <c r="F306" s="4">
        <f>ROUND(Source!AP297,O306)</f>
        <v>0</v>
      </c>
      <c r="G306" s="4" t="s">
        <v>86</v>
      </c>
      <c r="H306" s="4" t="s">
        <v>87</v>
      </c>
      <c r="I306" s="4"/>
      <c r="J306" s="4"/>
      <c r="K306" s="4">
        <v>216</v>
      </c>
      <c r="L306" s="4">
        <v>8</v>
      </c>
      <c r="M306" s="4">
        <v>3</v>
      </c>
      <c r="N306" s="4" t="s">
        <v>3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>
        <v>50</v>
      </c>
      <c r="B307" s="4">
        <v>0</v>
      </c>
      <c r="C307" s="4">
        <v>0</v>
      </c>
      <c r="D307" s="4">
        <v>1</v>
      </c>
      <c r="E307" s="4">
        <v>223</v>
      </c>
      <c r="F307" s="4">
        <f>ROUND(Source!AQ297,O307)</f>
        <v>0</v>
      </c>
      <c r="G307" s="4" t="s">
        <v>88</v>
      </c>
      <c r="H307" s="4" t="s">
        <v>89</v>
      </c>
      <c r="I307" s="4"/>
      <c r="J307" s="4"/>
      <c r="K307" s="4">
        <v>223</v>
      </c>
      <c r="L307" s="4">
        <v>9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>
        <v>50</v>
      </c>
      <c r="B308" s="4">
        <v>0</v>
      </c>
      <c r="C308" s="4">
        <v>0</v>
      </c>
      <c r="D308" s="4">
        <v>1</v>
      </c>
      <c r="E308" s="4">
        <v>229</v>
      </c>
      <c r="F308" s="4">
        <f>ROUND(Source!AZ297,O308)</f>
        <v>0</v>
      </c>
      <c r="G308" s="4" t="s">
        <v>90</v>
      </c>
      <c r="H308" s="4" t="s">
        <v>91</v>
      </c>
      <c r="I308" s="4"/>
      <c r="J308" s="4"/>
      <c r="K308" s="4">
        <v>229</v>
      </c>
      <c r="L308" s="4">
        <v>10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>
        <v>50</v>
      </c>
      <c r="B309" s="4">
        <v>0</v>
      </c>
      <c r="C309" s="4">
        <v>0</v>
      </c>
      <c r="D309" s="4">
        <v>1</v>
      </c>
      <c r="E309" s="4">
        <v>203</v>
      </c>
      <c r="F309" s="4">
        <f>ROUND(Source!Q297,O309)</f>
        <v>498612.05</v>
      </c>
      <c r="G309" s="4" t="s">
        <v>92</v>
      </c>
      <c r="H309" s="4" t="s">
        <v>93</v>
      </c>
      <c r="I309" s="4"/>
      <c r="J309" s="4"/>
      <c r="K309" s="4">
        <v>203</v>
      </c>
      <c r="L309" s="4">
        <v>11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>
        <v>50</v>
      </c>
      <c r="B310" s="4">
        <v>0</v>
      </c>
      <c r="C310" s="4">
        <v>0</v>
      </c>
      <c r="D310" s="4">
        <v>1</v>
      </c>
      <c r="E310" s="4">
        <v>231</v>
      </c>
      <c r="F310" s="4">
        <f>ROUND(Source!BB297,O310)</f>
        <v>0</v>
      </c>
      <c r="G310" s="4" t="s">
        <v>94</v>
      </c>
      <c r="H310" s="4" t="s">
        <v>95</v>
      </c>
      <c r="I310" s="4"/>
      <c r="J310" s="4"/>
      <c r="K310" s="4">
        <v>231</v>
      </c>
      <c r="L310" s="4">
        <v>12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>
        <v>50</v>
      </c>
      <c r="B311" s="4">
        <v>0</v>
      </c>
      <c r="C311" s="4">
        <v>0</v>
      </c>
      <c r="D311" s="4">
        <v>1</v>
      </c>
      <c r="E311" s="4">
        <v>204</v>
      </c>
      <c r="F311" s="4">
        <f>ROUND(Source!R297,O311)</f>
        <v>219136.13</v>
      </c>
      <c r="G311" s="4" t="s">
        <v>96</v>
      </c>
      <c r="H311" s="4" t="s">
        <v>97</v>
      </c>
      <c r="I311" s="4"/>
      <c r="J311" s="4"/>
      <c r="K311" s="4">
        <v>204</v>
      </c>
      <c r="L311" s="4">
        <v>13</v>
      </c>
      <c r="M311" s="4">
        <v>3</v>
      </c>
      <c r="N311" s="4" t="s">
        <v>3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>
        <v>50</v>
      </c>
      <c r="B312" s="4">
        <v>0</v>
      </c>
      <c r="C312" s="4">
        <v>0</v>
      </c>
      <c r="D312" s="4">
        <v>1</v>
      </c>
      <c r="E312" s="4">
        <v>205</v>
      </c>
      <c r="F312" s="4">
        <f>ROUND(Source!S297,O312)</f>
        <v>1134859.3600000001</v>
      </c>
      <c r="G312" s="4" t="s">
        <v>98</v>
      </c>
      <c r="H312" s="4" t="s">
        <v>99</v>
      </c>
      <c r="I312" s="4"/>
      <c r="J312" s="4"/>
      <c r="K312" s="4">
        <v>205</v>
      </c>
      <c r="L312" s="4">
        <v>14</v>
      </c>
      <c r="M312" s="4">
        <v>3</v>
      </c>
      <c r="N312" s="4" t="s">
        <v>3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>
        <v>50</v>
      </c>
      <c r="B313" s="4">
        <v>0</v>
      </c>
      <c r="C313" s="4">
        <v>0</v>
      </c>
      <c r="D313" s="4">
        <v>1</v>
      </c>
      <c r="E313" s="4">
        <v>232</v>
      </c>
      <c r="F313" s="4">
        <f>ROUND(Source!BC297,O313)</f>
        <v>0</v>
      </c>
      <c r="G313" s="4" t="s">
        <v>100</v>
      </c>
      <c r="H313" s="4" t="s">
        <v>101</v>
      </c>
      <c r="I313" s="4"/>
      <c r="J313" s="4"/>
      <c r="K313" s="4">
        <v>232</v>
      </c>
      <c r="L313" s="4">
        <v>15</v>
      </c>
      <c r="M313" s="4">
        <v>3</v>
      </c>
      <c r="N313" s="4" t="s">
        <v>3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>
        <v>50</v>
      </c>
      <c r="B314" s="4">
        <v>0</v>
      </c>
      <c r="C314" s="4">
        <v>0</v>
      </c>
      <c r="D314" s="4">
        <v>1</v>
      </c>
      <c r="E314" s="4">
        <v>214</v>
      </c>
      <c r="F314" s="4">
        <f>ROUND(Source!AS297,O314)</f>
        <v>0</v>
      </c>
      <c r="G314" s="4" t="s">
        <v>102</v>
      </c>
      <c r="H314" s="4" t="s">
        <v>103</v>
      </c>
      <c r="I314" s="4"/>
      <c r="J314" s="4"/>
      <c r="K314" s="4">
        <v>214</v>
      </c>
      <c r="L314" s="4">
        <v>16</v>
      </c>
      <c r="M314" s="4">
        <v>3</v>
      </c>
      <c r="N314" s="4" t="s">
        <v>3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>
        <v>50</v>
      </c>
      <c r="B315" s="4">
        <v>0</v>
      </c>
      <c r="C315" s="4">
        <v>0</v>
      </c>
      <c r="D315" s="4">
        <v>1</v>
      </c>
      <c r="E315" s="4">
        <v>215</v>
      </c>
      <c r="F315" s="4">
        <f>ROUND(Source!AT297,O315)</f>
        <v>0</v>
      </c>
      <c r="G315" s="4" t="s">
        <v>104</v>
      </c>
      <c r="H315" s="4" t="s">
        <v>105</v>
      </c>
      <c r="I315" s="4"/>
      <c r="J315" s="4"/>
      <c r="K315" s="4">
        <v>215</v>
      </c>
      <c r="L315" s="4">
        <v>17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>
        <v>50</v>
      </c>
      <c r="B316" s="4">
        <v>0</v>
      </c>
      <c r="C316" s="4">
        <v>0</v>
      </c>
      <c r="D316" s="4">
        <v>1</v>
      </c>
      <c r="E316" s="4">
        <v>217</v>
      </c>
      <c r="F316" s="4">
        <f>ROUND(Source!AU297,O316)</f>
        <v>4002186.06</v>
      </c>
      <c r="G316" s="4" t="s">
        <v>106</v>
      </c>
      <c r="H316" s="4" t="s">
        <v>107</v>
      </c>
      <c r="I316" s="4"/>
      <c r="J316" s="4"/>
      <c r="K316" s="4">
        <v>217</v>
      </c>
      <c r="L316" s="4">
        <v>18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>
        <v>50</v>
      </c>
      <c r="B317" s="4">
        <v>0</v>
      </c>
      <c r="C317" s="4">
        <v>0</v>
      </c>
      <c r="D317" s="4">
        <v>1</v>
      </c>
      <c r="E317" s="4">
        <v>230</v>
      </c>
      <c r="F317" s="4">
        <f>ROUND(Source!BA297,O317)</f>
        <v>0</v>
      </c>
      <c r="G317" s="4" t="s">
        <v>108</v>
      </c>
      <c r="H317" s="4" t="s">
        <v>109</v>
      </c>
      <c r="I317" s="4"/>
      <c r="J317" s="4"/>
      <c r="K317" s="4">
        <v>230</v>
      </c>
      <c r="L317" s="4">
        <v>19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>
        <v>50</v>
      </c>
      <c r="B318" s="4">
        <v>0</v>
      </c>
      <c r="C318" s="4">
        <v>0</v>
      </c>
      <c r="D318" s="4">
        <v>1</v>
      </c>
      <c r="E318" s="4">
        <v>206</v>
      </c>
      <c r="F318" s="4">
        <f>ROUND(Source!T297,O318)</f>
        <v>0</v>
      </c>
      <c r="G318" s="4" t="s">
        <v>110</v>
      </c>
      <c r="H318" s="4" t="s">
        <v>111</v>
      </c>
      <c r="I318" s="4"/>
      <c r="J318" s="4"/>
      <c r="K318" s="4">
        <v>206</v>
      </c>
      <c r="L318" s="4">
        <v>20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>
        <v>50</v>
      </c>
      <c r="B319" s="4">
        <v>0</v>
      </c>
      <c r="C319" s="4">
        <v>0</v>
      </c>
      <c r="D319" s="4">
        <v>1</v>
      </c>
      <c r="E319" s="4">
        <v>207</v>
      </c>
      <c r="F319" s="4">
        <f>Source!U297</f>
        <v>5551.9143000000004</v>
      </c>
      <c r="G319" s="4" t="s">
        <v>112</v>
      </c>
      <c r="H319" s="4" t="s">
        <v>113</v>
      </c>
      <c r="I319" s="4"/>
      <c r="J319" s="4"/>
      <c r="K319" s="4">
        <v>207</v>
      </c>
      <c r="L319" s="4">
        <v>21</v>
      </c>
      <c r="M319" s="4">
        <v>3</v>
      </c>
      <c r="N319" s="4" t="s">
        <v>3</v>
      </c>
      <c r="O319" s="4">
        <v>-1</v>
      </c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>
        <v>50</v>
      </c>
      <c r="B320" s="4">
        <v>0</v>
      </c>
      <c r="C320" s="4">
        <v>0</v>
      </c>
      <c r="D320" s="4">
        <v>1</v>
      </c>
      <c r="E320" s="4">
        <v>208</v>
      </c>
      <c r="F320" s="4">
        <f>Source!V297</f>
        <v>0</v>
      </c>
      <c r="G320" s="4" t="s">
        <v>114</v>
      </c>
      <c r="H320" s="4" t="s">
        <v>115</v>
      </c>
      <c r="I320" s="4"/>
      <c r="J320" s="4"/>
      <c r="K320" s="4">
        <v>208</v>
      </c>
      <c r="L320" s="4">
        <v>22</v>
      </c>
      <c r="M320" s="4">
        <v>3</v>
      </c>
      <c r="N320" s="4" t="s">
        <v>3</v>
      </c>
      <c r="O320" s="4">
        <v>-1</v>
      </c>
      <c r="P320" s="4"/>
      <c r="Q320" s="4"/>
      <c r="R320" s="4"/>
      <c r="S320" s="4"/>
      <c r="T320" s="4"/>
      <c r="U320" s="4"/>
      <c r="V320" s="4"/>
      <c r="W320" s="4"/>
    </row>
    <row r="321" spans="1:206" x14ac:dyDescent="0.2">
      <c r="A321" s="4">
        <v>50</v>
      </c>
      <c r="B321" s="4">
        <v>0</v>
      </c>
      <c r="C321" s="4">
        <v>0</v>
      </c>
      <c r="D321" s="4">
        <v>1</v>
      </c>
      <c r="E321" s="4">
        <v>209</v>
      </c>
      <c r="F321" s="4">
        <f>ROUND(Source!W297,O321)</f>
        <v>0</v>
      </c>
      <c r="G321" s="4" t="s">
        <v>116</v>
      </c>
      <c r="H321" s="4" t="s">
        <v>117</v>
      </c>
      <c r="I321" s="4"/>
      <c r="J321" s="4"/>
      <c r="K321" s="4">
        <v>209</v>
      </c>
      <c r="L321" s="4">
        <v>23</v>
      </c>
      <c r="M321" s="4">
        <v>3</v>
      </c>
      <c r="N321" s="4" t="s">
        <v>3</v>
      </c>
      <c r="O321" s="4">
        <v>2</v>
      </c>
      <c r="P321" s="4"/>
      <c r="Q321" s="4"/>
      <c r="R321" s="4"/>
      <c r="S321" s="4"/>
      <c r="T321" s="4"/>
      <c r="U321" s="4"/>
      <c r="V321" s="4"/>
      <c r="W321" s="4"/>
    </row>
    <row r="322" spans="1:206" x14ac:dyDescent="0.2">
      <c r="A322" s="4">
        <v>50</v>
      </c>
      <c r="B322" s="4">
        <v>0</v>
      </c>
      <c r="C322" s="4">
        <v>0</v>
      </c>
      <c r="D322" s="4">
        <v>1</v>
      </c>
      <c r="E322" s="4">
        <v>210</v>
      </c>
      <c r="F322" s="4">
        <f>ROUND(Source!X297,O322)</f>
        <v>794401.57</v>
      </c>
      <c r="G322" s="4" t="s">
        <v>118</v>
      </c>
      <c r="H322" s="4" t="s">
        <v>119</v>
      </c>
      <c r="I322" s="4"/>
      <c r="J322" s="4"/>
      <c r="K322" s="4">
        <v>210</v>
      </c>
      <c r="L322" s="4">
        <v>24</v>
      </c>
      <c r="M322" s="4">
        <v>3</v>
      </c>
      <c r="N322" s="4" t="s">
        <v>3</v>
      </c>
      <c r="O322" s="4">
        <v>2</v>
      </c>
      <c r="P322" s="4"/>
      <c r="Q322" s="4"/>
      <c r="R322" s="4"/>
      <c r="S322" s="4"/>
      <c r="T322" s="4"/>
      <c r="U322" s="4"/>
      <c r="V322" s="4"/>
      <c r="W322" s="4"/>
    </row>
    <row r="323" spans="1:206" x14ac:dyDescent="0.2">
      <c r="A323" s="4">
        <v>50</v>
      </c>
      <c r="B323" s="4">
        <v>0</v>
      </c>
      <c r="C323" s="4">
        <v>0</v>
      </c>
      <c r="D323" s="4">
        <v>1</v>
      </c>
      <c r="E323" s="4">
        <v>211</v>
      </c>
      <c r="F323" s="4">
        <f>ROUND(Source!Y297,O323)</f>
        <v>0</v>
      </c>
      <c r="G323" s="4" t="s">
        <v>120</v>
      </c>
      <c r="H323" s="4" t="s">
        <v>121</v>
      </c>
      <c r="I323" s="4"/>
      <c r="J323" s="4"/>
      <c r="K323" s="4">
        <v>211</v>
      </c>
      <c r="L323" s="4">
        <v>25</v>
      </c>
      <c r="M323" s="4">
        <v>3</v>
      </c>
      <c r="N323" s="4" t="s">
        <v>3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206" x14ac:dyDescent="0.2">
      <c r="A324" s="4">
        <v>50</v>
      </c>
      <c r="B324" s="4">
        <v>0</v>
      </c>
      <c r="C324" s="4">
        <v>0</v>
      </c>
      <c r="D324" s="4">
        <v>1</v>
      </c>
      <c r="E324" s="4">
        <v>224</v>
      </c>
      <c r="F324" s="4">
        <f>ROUND(Source!AR297,O324)</f>
        <v>4002186.06</v>
      </c>
      <c r="G324" s="4" t="s">
        <v>122</v>
      </c>
      <c r="H324" s="4" t="s">
        <v>123</v>
      </c>
      <c r="I324" s="4"/>
      <c r="J324" s="4"/>
      <c r="K324" s="4">
        <v>224</v>
      </c>
      <c r="L324" s="4">
        <v>26</v>
      </c>
      <c r="M324" s="4">
        <v>3</v>
      </c>
      <c r="N324" s="4" t="s">
        <v>3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6" spans="1:206" x14ac:dyDescent="0.2">
      <c r="A326" s="2">
        <v>51</v>
      </c>
      <c r="B326" s="2">
        <f>B20</f>
        <v>1</v>
      </c>
      <c r="C326" s="2">
        <f>A20</f>
        <v>3</v>
      </c>
      <c r="D326" s="2">
        <f>ROW(A20)</f>
        <v>20</v>
      </c>
      <c r="E326" s="2"/>
      <c r="F326" s="2" t="str">
        <f>IF(F20&lt;&gt;"",F20,"")</f>
        <v>Новая локальная смета</v>
      </c>
      <c r="G326" s="2" t="str">
        <f>IF(G20&lt;&gt;"",G20,"")</f>
        <v>Новая локальная смета</v>
      </c>
      <c r="H326" s="2">
        <v>0</v>
      </c>
      <c r="I326" s="2"/>
      <c r="J326" s="2"/>
      <c r="K326" s="2"/>
      <c r="L326" s="2"/>
      <c r="M326" s="2"/>
      <c r="N326" s="2"/>
      <c r="O326" s="2">
        <f t="shared" ref="O326:T326" si="160">ROUND(O146+O297+AB326,2)</f>
        <v>5167647.33</v>
      </c>
      <c r="P326" s="2">
        <f t="shared" si="160"/>
        <v>2492267.6800000002</v>
      </c>
      <c r="Q326" s="2">
        <f t="shared" si="160"/>
        <v>809914.07</v>
      </c>
      <c r="R326" s="2">
        <f t="shared" si="160"/>
        <v>348650.64</v>
      </c>
      <c r="S326" s="2">
        <f t="shared" si="160"/>
        <v>1865465.58</v>
      </c>
      <c r="T326" s="2">
        <f t="shared" si="160"/>
        <v>0</v>
      </c>
      <c r="U326" s="2">
        <f>U146+U297+AH326</f>
        <v>9259.7402300000012</v>
      </c>
      <c r="V326" s="2">
        <f>V146+V297+AI326</f>
        <v>0</v>
      </c>
      <c r="W326" s="2">
        <f>ROUND(W146+W297+AJ326,2)</f>
        <v>0</v>
      </c>
      <c r="X326" s="2">
        <f>ROUND(X146+X297+AK326,2)</f>
        <v>1305825.93</v>
      </c>
      <c r="Y326" s="2">
        <f>ROUND(Y146+Y297+AL326,2)</f>
        <v>0</v>
      </c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>
        <f t="shared" ref="AO326:BC326" si="161">ROUND(AO146+AO297+BX326,2)</f>
        <v>0</v>
      </c>
      <c r="AP326" s="2">
        <f t="shared" si="161"/>
        <v>0</v>
      </c>
      <c r="AQ326" s="2">
        <f t="shared" si="161"/>
        <v>0</v>
      </c>
      <c r="AR326" s="2">
        <f t="shared" si="161"/>
        <v>6551640.1699999999</v>
      </c>
      <c r="AS326" s="2">
        <f t="shared" si="161"/>
        <v>0</v>
      </c>
      <c r="AT326" s="2">
        <f t="shared" si="161"/>
        <v>0</v>
      </c>
      <c r="AU326" s="2">
        <f t="shared" si="161"/>
        <v>6551640.1699999999</v>
      </c>
      <c r="AV326" s="2">
        <f t="shared" si="161"/>
        <v>2492267.6800000002</v>
      </c>
      <c r="AW326" s="2">
        <f t="shared" si="161"/>
        <v>2492267.6800000002</v>
      </c>
      <c r="AX326" s="2">
        <f t="shared" si="161"/>
        <v>0</v>
      </c>
      <c r="AY326" s="2">
        <f t="shared" si="161"/>
        <v>2492267.6800000002</v>
      </c>
      <c r="AZ326" s="2">
        <f t="shared" si="161"/>
        <v>0</v>
      </c>
      <c r="BA326" s="2">
        <f t="shared" si="161"/>
        <v>0</v>
      </c>
      <c r="BB326" s="2">
        <f t="shared" si="161"/>
        <v>0</v>
      </c>
      <c r="BC326" s="2">
        <f t="shared" si="161"/>
        <v>0</v>
      </c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>
        <v>0</v>
      </c>
    </row>
    <row r="328" spans="1:206" x14ac:dyDescent="0.2">
      <c r="A328" s="4">
        <v>50</v>
      </c>
      <c r="B328" s="4">
        <v>0</v>
      </c>
      <c r="C328" s="4">
        <v>0</v>
      </c>
      <c r="D328" s="4">
        <v>1</v>
      </c>
      <c r="E328" s="4">
        <v>201</v>
      </c>
      <c r="F328" s="4">
        <f>ROUND(Source!O326,O328)</f>
        <v>5167647.33</v>
      </c>
      <c r="G328" s="4" t="s">
        <v>72</v>
      </c>
      <c r="H328" s="4" t="s">
        <v>73</v>
      </c>
      <c r="I328" s="4"/>
      <c r="J328" s="4"/>
      <c r="K328" s="4">
        <v>201</v>
      </c>
      <c r="L328" s="4">
        <v>1</v>
      </c>
      <c r="M328" s="4">
        <v>3</v>
      </c>
      <c r="N328" s="4" t="s">
        <v>3</v>
      </c>
      <c r="O328" s="4">
        <v>2</v>
      </c>
      <c r="P328" s="4"/>
      <c r="Q328" s="4"/>
      <c r="R328" s="4"/>
      <c r="S328" s="4"/>
      <c r="T328" s="4"/>
      <c r="U328" s="4"/>
      <c r="V328" s="4"/>
      <c r="W328" s="4"/>
    </row>
    <row r="329" spans="1:206" x14ac:dyDescent="0.2">
      <c r="A329" s="4">
        <v>50</v>
      </c>
      <c r="B329" s="4">
        <v>0</v>
      </c>
      <c r="C329" s="4">
        <v>0</v>
      </c>
      <c r="D329" s="4">
        <v>1</v>
      </c>
      <c r="E329" s="4">
        <v>202</v>
      </c>
      <c r="F329" s="4">
        <f>ROUND(Source!P326,O329)</f>
        <v>2492267.6800000002</v>
      </c>
      <c r="G329" s="4" t="s">
        <v>74</v>
      </c>
      <c r="H329" s="4" t="s">
        <v>75</v>
      </c>
      <c r="I329" s="4"/>
      <c r="J329" s="4"/>
      <c r="K329" s="4">
        <v>202</v>
      </c>
      <c r="L329" s="4">
        <v>2</v>
      </c>
      <c r="M329" s="4">
        <v>3</v>
      </c>
      <c r="N329" s="4" t="s">
        <v>3</v>
      </c>
      <c r="O329" s="4">
        <v>2</v>
      </c>
      <c r="P329" s="4"/>
      <c r="Q329" s="4"/>
      <c r="R329" s="4"/>
      <c r="S329" s="4"/>
      <c r="T329" s="4"/>
      <c r="U329" s="4"/>
      <c r="V329" s="4"/>
      <c r="W329" s="4"/>
    </row>
    <row r="330" spans="1:206" x14ac:dyDescent="0.2">
      <c r="A330" s="4">
        <v>50</v>
      </c>
      <c r="B330" s="4">
        <v>0</v>
      </c>
      <c r="C330" s="4">
        <v>0</v>
      </c>
      <c r="D330" s="4">
        <v>1</v>
      </c>
      <c r="E330" s="4">
        <v>222</v>
      </c>
      <c r="F330" s="4">
        <f>ROUND(Source!AO326,O330)</f>
        <v>0</v>
      </c>
      <c r="G330" s="4" t="s">
        <v>76</v>
      </c>
      <c r="H330" s="4" t="s">
        <v>77</v>
      </c>
      <c r="I330" s="4"/>
      <c r="J330" s="4"/>
      <c r="K330" s="4">
        <v>222</v>
      </c>
      <c r="L330" s="4">
        <v>3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206" x14ac:dyDescent="0.2">
      <c r="A331" s="4">
        <v>50</v>
      </c>
      <c r="B331" s="4">
        <v>0</v>
      </c>
      <c r="C331" s="4">
        <v>0</v>
      </c>
      <c r="D331" s="4">
        <v>1</v>
      </c>
      <c r="E331" s="4">
        <v>225</v>
      </c>
      <c r="F331" s="4">
        <f>ROUND(Source!AV326,O331)</f>
        <v>2492267.6800000002</v>
      </c>
      <c r="G331" s="4" t="s">
        <v>78</v>
      </c>
      <c r="H331" s="4" t="s">
        <v>79</v>
      </c>
      <c r="I331" s="4"/>
      <c r="J331" s="4"/>
      <c r="K331" s="4">
        <v>225</v>
      </c>
      <c r="L331" s="4">
        <v>4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06" x14ac:dyDescent="0.2">
      <c r="A332" s="4">
        <v>50</v>
      </c>
      <c r="B332" s="4">
        <v>0</v>
      </c>
      <c r="C332" s="4">
        <v>0</v>
      </c>
      <c r="D332" s="4">
        <v>1</v>
      </c>
      <c r="E332" s="4">
        <v>226</v>
      </c>
      <c r="F332" s="4">
        <f>ROUND(Source!AW326,O332)</f>
        <v>2492267.6800000002</v>
      </c>
      <c r="G332" s="4" t="s">
        <v>80</v>
      </c>
      <c r="H332" s="4" t="s">
        <v>81</v>
      </c>
      <c r="I332" s="4"/>
      <c r="J332" s="4"/>
      <c r="K332" s="4">
        <v>226</v>
      </c>
      <c r="L332" s="4">
        <v>5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06" x14ac:dyDescent="0.2">
      <c r="A333" s="4">
        <v>50</v>
      </c>
      <c r="B333" s="4">
        <v>0</v>
      </c>
      <c r="C333" s="4">
        <v>0</v>
      </c>
      <c r="D333" s="4">
        <v>1</v>
      </c>
      <c r="E333" s="4">
        <v>227</v>
      </c>
      <c r="F333" s="4">
        <f>ROUND(Source!AX326,O333)</f>
        <v>0</v>
      </c>
      <c r="G333" s="4" t="s">
        <v>82</v>
      </c>
      <c r="H333" s="4" t="s">
        <v>83</v>
      </c>
      <c r="I333" s="4"/>
      <c r="J333" s="4"/>
      <c r="K333" s="4">
        <v>227</v>
      </c>
      <c r="L333" s="4">
        <v>6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06" x14ac:dyDescent="0.2">
      <c r="A334" s="4">
        <v>50</v>
      </c>
      <c r="B334" s="4">
        <v>0</v>
      </c>
      <c r="C334" s="4">
        <v>0</v>
      </c>
      <c r="D334" s="4">
        <v>1</v>
      </c>
      <c r="E334" s="4">
        <v>228</v>
      </c>
      <c r="F334" s="4">
        <f>ROUND(Source!AY326,O334)</f>
        <v>2492267.6800000002</v>
      </c>
      <c r="G334" s="4" t="s">
        <v>84</v>
      </c>
      <c r="H334" s="4" t="s">
        <v>85</v>
      </c>
      <c r="I334" s="4"/>
      <c r="J334" s="4"/>
      <c r="K334" s="4">
        <v>228</v>
      </c>
      <c r="L334" s="4">
        <v>7</v>
      </c>
      <c r="M334" s="4">
        <v>3</v>
      </c>
      <c r="N334" s="4" t="s">
        <v>3</v>
      </c>
      <c r="O334" s="4">
        <v>2</v>
      </c>
      <c r="P334" s="4"/>
      <c r="Q334" s="4"/>
      <c r="R334" s="4"/>
      <c r="S334" s="4"/>
      <c r="T334" s="4"/>
      <c r="U334" s="4"/>
      <c r="V334" s="4"/>
      <c r="W334" s="4"/>
    </row>
    <row r="335" spans="1:206" x14ac:dyDescent="0.2">
      <c r="A335" s="4">
        <v>50</v>
      </c>
      <c r="B335" s="4">
        <v>0</v>
      </c>
      <c r="C335" s="4">
        <v>0</v>
      </c>
      <c r="D335" s="4">
        <v>1</v>
      </c>
      <c r="E335" s="4">
        <v>216</v>
      </c>
      <c r="F335" s="4">
        <f>ROUND(Source!AP326,O335)</f>
        <v>0</v>
      </c>
      <c r="G335" s="4" t="s">
        <v>86</v>
      </c>
      <c r="H335" s="4" t="s">
        <v>87</v>
      </c>
      <c r="I335" s="4"/>
      <c r="J335" s="4"/>
      <c r="K335" s="4">
        <v>216</v>
      </c>
      <c r="L335" s="4">
        <v>8</v>
      </c>
      <c r="M335" s="4">
        <v>3</v>
      </c>
      <c r="N335" s="4" t="s">
        <v>3</v>
      </c>
      <c r="O335" s="4">
        <v>2</v>
      </c>
      <c r="P335" s="4"/>
      <c r="Q335" s="4"/>
      <c r="R335" s="4"/>
      <c r="S335" s="4"/>
      <c r="T335" s="4"/>
      <c r="U335" s="4"/>
      <c r="V335" s="4"/>
      <c r="W335" s="4"/>
    </row>
    <row r="336" spans="1:206" x14ac:dyDescent="0.2">
      <c r="A336" s="4">
        <v>50</v>
      </c>
      <c r="B336" s="4">
        <v>0</v>
      </c>
      <c r="C336" s="4">
        <v>0</v>
      </c>
      <c r="D336" s="4">
        <v>1</v>
      </c>
      <c r="E336" s="4">
        <v>223</v>
      </c>
      <c r="F336" s="4">
        <f>ROUND(Source!AQ326,O336)</f>
        <v>0</v>
      </c>
      <c r="G336" s="4" t="s">
        <v>88</v>
      </c>
      <c r="H336" s="4" t="s">
        <v>89</v>
      </c>
      <c r="I336" s="4"/>
      <c r="J336" s="4"/>
      <c r="K336" s="4">
        <v>223</v>
      </c>
      <c r="L336" s="4">
        <v>9</v>
      </c>
      <c r="M336" s="4">
        <v>3</v>
      </c>
      <c r="N336" s="4" t="s">
        <v>3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>
        <v>50</v>
      </c>
      <c r="B337" s="4">
        <v>0</v>
      </c>
      <c r="C337" s="4">
        <v>0</v>
      </c>
      <c r="D337" s="4">
        <v>1</v>
      </c>
      <c r="E337" s="4">
        <v>229</v>
      </c>
      <c r="F337" s="4">
        <f>ROUND(Source!AZ326,O337)</f>
        <v>0</v>
      </c>
      <c r="G337" s="4" t="s">
        <v>90</v>
      </c>
      <c r="H337" s="4" t="s">
        <v>91</v>
      </c>
      <c r="I337" s="4"/>
      <c r="J337" s="4"/>
      <c r="K337" s="4">
        <v>229</v>
      </c>
      <c r="L337" s="4">
        <v>10</v>
      </c>
      <c r="M337" s="4">
        <v>3</v>
      </c>
      <c r="N337" s="4" t="s">
        <v>3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>
        <v>50</v>
      </c>
      <c r="B338" s="4">
        <v>0</v>
      </c>
      <c r="C338" s="4">
        <v>0</v>
      </c>
      <c r="D338" s="4">
        <v>1</v>
      </c>
      <c r="E338" s="4">
        <v>203</v>
      </c>
      <c r="F338" s="4">
        <f>ROUND(Source!Q326,O338)</f>
        <v>809914.07</v>
      </c>
      <c r="G338" s="4" t="s">
        <v>92</v>
      </c>
      <c r="H338" s="4" t="s">
        <v>93</v>
      </c>
      <c r="I338" s="4"/>
      <c r="J338" s="4"/>
      <c r="K338" s="4">
        <v>203</v>
      </c>
      <c r="L338" s="4">
        <v>11</v>
      </c>
      <c r="M338" s="4">
        <v>3</v>
      </c>
      <c r="N338" s="4" t="s">
        <v>3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>
        <v>50</v>
      </c>
      <c r="B339" s="4">
        <v>0</v>
      </c>
      <c r="C339" s="4">
        <v>0</v>
      </c>
      <c r="D339" s="4">
        <v>1</v>
      </c>
      <c r="E339" s="4">
        <v>231</v>
      </c>
      <c r="F339" s="4">
        <f>ROUND(Source!BB326,O339)</f>
        <v>0</v>
      </c>
      <c r="G339" s="4" t="s">
        <v>94</v>
      </c>
      <c r="H339" s="4" t="s">
        <v>95</v>
      </c>
      <c r="I339" s="4"/>
      <c r="J339" s="4"/>
      <c r="K339" s="4">
        <v>231</v>
      </c>
      <c r="L339" s="4">
        <v>12</v>
      </c>
      <c r="M339" s="4">
        <v>3</v>
      </c>
      <c r="N339" s="4" t="s">
        <v>3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>
        <v>50</v>
      </c>
      <c r="B340" s="4">
        <v>0</v>
      </c>
      <c r="C340" s="4">
        <v>0</v>
      </c>
      <c r="D340" s="4">
        <v>1</v>
      </c>
      <c r="E340" s="4">
        <v>204</v>
      </c>
      <c r="F340" s="4">
        <f>ROUND(Source!R326,O340)</f>
        <v>348650.64</v>
      </c>
      <c r="G340" s="4" t="s">
        <v>96</v>
      </c>
      <c r="H340" s="4" t="s">
        <v>97</v>
      </c>
      <c r="I340" s="4"/>
      <c r="J340" s="4"/>
      <c r="K340" s="4">
        <v>204</v>
      </c>
      <c r="L340" s="4">
        <v>13</v>
      </c>
      <c r="M340" s="4">
        <v>3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>
        <v>50</v>
      </c>
      <c r="B341" s="4">
        <v>0</v>
      </c>
      <c r="C341" s="4">
        <v>0</v>
      </c>
      <c r="D341" s="4">
        <v>1</v>
      </c>
      <c r="E341" s="4">
        <v>205</v>
      </c>
      <c r="F341" s="4">
        <f>ROUND(Source!S326,O341)</f>
        <v>1865465.58</v>
      </c>
      <c r="G341" s="4" t="s">
        <v>98</v>
      </c>
      <c r="H341" s="4" t="s">
        <v>99</v>
      </c>
      <c r="I341" s="4"/>
      <c r="J341" s="4"/>
      <c r="K341" s="4">
        <v>205</v>
      </c>
      <c r="L341" s="4">
        <v>14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>
        <v>50</v>
      </c>
      <c r="B342" s="4">
        <v>0</v>
      </c>
      <c r="C342" s="4">
        <v>0</v>
      </c>
      <c r="D342" s="4">
        <v>1</v>
      </c>
      <c r="E342" s="4">
        <v>232</v>
      </c>
      <c r="F342" s="4">
        <f>ROUND(Source!BC326,O342)</f>
        <v>0</v>
      </c>
      <c r="G342" s="4" t="s">
        <v>100</v>
      </c>
      <c r="H342" s="4" t="s">
        <v>101</v>
      </c>
      <c r="I342" s="4"/>
      <c r="J342" s="4"/>
      <c r="K342" s="4">
        <v>232</v>
      </c>
      <c r="L342" s="4">
        <v>15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>
        <v>50</v>
      </c>
      <c r="B343" s="4">
        <v>0</v>
      </c>
      <c r="C343" s="4">
        <v>0</v>
      </c>
      <c r="D343" s="4">
        <v>1</v>
      </c>
      <c r="E343" s="4">
        <v>214</v>
      </c>
      <c r="F343" s="4">
        <f>ROUND(Source!AS326,O343)</f>
        <v>0</v>
      </c>
      <c r="G343" s="4" t="s">
        <v>102</v>
      </c>
      <c r="H343" s="4" t="s">
        <v>103</v>
      </c>
      <c r="I343" s="4"/>
      <c r="J343" s="4"/>
      <c r="K343" s="4">
        <v>214</v>
      </c>
      <c r="L343" s="4">
        <v>16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>
        <v>50</v>
      </c>
      <c r="B344" s="4">
        <v>0</v>
      </c>
      <c r="C344" s="4">
        <v>0</v>
      </c>
      <c r="D344" s="4">
        <v>1</v>
      </c>
      <c r="E344" s="4">
        <v>215</v>
      </c>
      <c r="F344" s="4">
        <f>ROUND(Source!AT326,O344)</f>
        <v>0</v>
      </c>
      <c r="G344" s="4" t="s">
        <v>104</v>
      </c>
      <c r="H344" s="4" t="s">
        <v>105</v>
      </c>
      <c r="I344" s="4"/>
      <c r="J344" s="4"/>
      <c r="K344" s="4">
        <v>215</v>
      </c>
      <c r="L344" s="4">
        <v>17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>
        <v>50</v>
      </c>
      <c r="B345" s="4">
        <v>0</v>
      </c>
      <c r="C345" s="4">
        <v>0</v>
      </c>
      <c r="D345" s="4">
        <v>1</v>
      </c>
      <c r="E345" s="4">
        <v>217</v>
      </c>
      <c r="F345" s="4">
        <f>ROUND(Source!AU326,O345)</f>
        <v>6551640.1699999999</v>
      </c>
      <c r="G345" s="4" t="s">
        <v>106</v>
      </c>
      <c r="H345" s="4" t="s">
        <v>107</v>
      </c>
      <c r="I345" s="4"/>
      <c r="J345" s="4"/>
      <c r="K345" s="4">
        <v>217</v>
      </c>
      <c r="L345" s="4">
        <v>18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>
        <v>50</v>
      </c>
      <c r="B346" s="4">
        <v>0</v>
      </c>
      <c r="C346" s="4">
        <v>0</v>
      </c>
      <c r="D346" s="4">
        <v>1</v>
      </c>
      <c r="E346" s="4">
        <v>230</v>
      </c>
      <c r="F346" s="4">
        <f>ROUND(Source!BA326,O346)</f>
        <v>0</v>
      </c>
      <c r="G346" s="4" t="s">
        <v>108</v>
      </c>
      <c r="H346" s="4" t="s">
        <v>109</v>
      </c>
      <c r="I346" s="4"/>
      <c r="J346" s="4"/>
      <c r="K346" s="4">
        <v>230</v>
      </c>
      <c r="L346" s="4">
        <v>19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>
        <v>50</v>
      </c>
      <c r="B347" s="4">
        <v>0</v>
      </c>
      <c r="C347" s="4">
        <v>0</v>
      </c>
      <c r="D347" s="4">
        <v>1</v>
      </c>
      <c r="E347" s="4">
        <v>206</v>
      </c>
      <c r="F347" s="4">
        <f>ROUND(Source!T326,O347)</f>
        <v>0</v>
      </c>
      <c r="G347" s="4" t="s">
        <v>110</v>
      </c>
      <c r="H347" s="4" t="s">
        <v>111</v>
      </c>
      <c r="I347" s="4"/>
      <c r="J347" s="4"/>
      <c r="K347" s="4">
        <v>206</v>
      </c>
      <c r="L347" s="4">
        <v>20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>
        <v>50</v>
      </c>
      <c r="B348" s="4">
        <v>0</v>
      </c>
      <c r="C348" s="4">
        <v>0</v>
      </c>
      <c r="D348" s="4">
        <v>1</v>
      </c>
      <c r="E348" s="4">
        <v>207</v>
      </c>
      <c r="F348" s="4">
        <f>Source!U326</f>
        <v>9259.7402300000012</v>
      </c>
      <c r="G348" s="4" t="s">
        <v>112</v>
      </c>
      <c r="H348" s="4" t="s">
        <v>113</v>
      </c>
      <c r="I348" s="4"/>
      <c r="J348" s="4"/>
      <c r="K348" s="4">
        <v>207</v>
      </c>
      <c r="L348" s="4">
        <v>21</v>
      </c>
      <c r="M348" s="4">
        <v>3</v>
      </c>
      <c r="N348" s="4" t="s">
        <v>3</v>
      </c>
      <c r="O348" s="4">
        <v>-1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>
        <v>50</v>
      </c>
      <c r="B349" s="4">
        <v>0</v>
      </c>
      <c r="C349" s="4">
        <v>0</v>
      </c>
      <c r="D349" s="4">
        <v>1</v>
      </c>
      <c r="E349" s="4">
        <v>208</v>
      </c>
      <c r="F349" s="4">
        <f>Source!V326</f>
        <v>0</v>
      </c>
      <c r="G349" s="4" t="s">
        <v>114</v>
      </c>
      <c r="H349" s="4" t="s">
        <v>115</v>
      </c>
      <c r="I349" s="4"/>
      <c r="J349" s="4"/>
      <c r="K349" s="4">
        <v>208</v>
      </c>
      <c r="L349" s="4">
        <v>22</v>
      </c>
      <c r="M349" s="4">
        <v>3</v>
      </c>
      <c r="N349" s="4" t="s">
        <v>3</v>
      </c>
      <c r="O349" s="4">
        <v>-1</v>
      </c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>
        <v>50</v>
      </c>
      <c r="B350" s="4">
        <v>0</v>
      </c>
      <c r="C350" s="4">
        <v>0</v>
      </c>
      <c r="D350" s="4">
        <v>1</v>
      </c>
      <c r="E350" s="4">
        <v>209</v>
      </c>
      <c r="F350" s="4">
        <f>ROUND(Source!W326,O350)</f>
        <v>0</v>
      </c>
      <c r="G350" s="4" t="s">
        <v>116</v>
      </c>
      <c r="H350" s="4" t="s">
        <v>117</v>
      </c>
      <c r="I350" s="4"/>
      <c r="J350" s="4"/>
      <c r="K350" s="4">
        <v>209</v>
      </c>
      <c r="L350" s="4">
        <v>23</v>
      </c>
      <c r="M350" s="4">
        <v>3</v>
      </c>
      <c r="N350" s="4" t="s">
        <v>3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>
        <v>50</v>
      </c>
      <c r="B351" s="4">
        <v>0</v>
      </c>
      <c r="C351" s="4">
        <v>0</v>
      </c>
      <c r="D351" s="4">
        <v>1</v>
      </c>
      <c r="E351" s="4">
        <v>210</v>
      </c>
      <c r="F351" s="4">
        <f>ROUND(Source!X326,O351)</f>
        <v>1305825.93</v>
      </c>
      <c r="G351" s="4" t="s">
        <v>118</v>
      </c>
      <c r="H351" s="4" t="s">
        <v>119</v>
      </c>
      <c r="I351" s="4"/>
      <c r="J351" s="4"/>
      <c r="K351" s="4">
        <v>210</v>
      </c>
      <c r="L351" s="4">
        <v>24</v>
      </c>
      <c r="M351" s="4">
        <v>3</v>
      </c>
      <c r="N351" s="4" t="s">
        <v>3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>
        <v>50</v>
      </c>
      <c r="B352" s="4">
        <v>0</v>
      </c>
      <c r="C352" s="4">
        <v>0</v>
      </c>
      <c r="D352" s="4">
        <v>1</v>
      </c>
      <c r="E352" s="4">
        <v>211</v>
      </c>
      <c r="F352" s="4">
        <f>ROUND(Source!Y326,O352)</f>
        <v>0</v>
      </c>
      <c r="G352" s="4" t="s">
        <v>120</v>
      </c>
      <c r="H352" s="4" t="s">
        <v>121</v>
      </c>
      <c r="I352" s="4"/>
      <c r="J352" s="4"/>
      <c r="K352" s="4">
        <v>211</v>
      </c>
      <c r="L352" s="4">
        <v>25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06" x14ac:dyDescent="0.2">
      <c r="A353" s="4">
        <v>50</v>
      </c>
      <c r="B353" s="4">
        <v>0</v>
      </c>
      <c r="C353" s="4">
        <v>0</v>
      </c>
      <c r="D353" s="4">
        <v>1</v>
      </c>
      <c r="E353" s="4">
        <v>224</v>
      </c>
      <c r="F353" s="4">
        <f>ROUND(Source!AR326,O353)</f>
        <v>6551640.1699999999</v>
      </c>
      <c r="G353" s="4" t="s">
        <v>122</v>
      </c>
      <c r="H353" s="4" t="s">
        <v>123</v>
      </c>
      <c r="I353" s="4"/>
      <c r="J353" s="4"/>
      <c r="K353" s="4">
        <v>224</v>
      </c>
      <c r="L353" s="4">
        <v>26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5" spans="1:206" x14ac:dyDescent="0.2">
      <c r="A355" s="2">
        <v>51</v>
      </c>
      <c r="B355" s="2">
        <f>B12</f>
        <v>392</v>
      </c>
      <c r="C355" s="2">
        <f>A12</f>
        <v>1</v>
      </c>
      <c r="D355" s="2">
        <f>ROW(A12)</f>
        <v>12</v>
      </c>
      <c r="E355" s="2"/>
      <c r="F355" s="2" t="str">
        <f>IF(F12&lt;&gt;"",F12,"")</f>
        <v>Новый объект_(Копия)_(Копия)</v>
      </c>
      <c r="G355" s="2" t="str">
        <f>IF(G12&lt;&gt;"",G12,"")</f>
        <v>Реализация Программы восстановительных посадок деревьев и кустарников, взамен утраченных в результате неблагоприятных погодных явлений 29.05.2017 и 30.06.2017_(Вариант 2-1)</v>
      </c>
      <c r="H355" s="2">
        <v>0</v>
      </c>
      <c r="I355" s="2"/>
      <c r="J355" s="2"/>
      <c r="K355" s="2"/>
      <c r="L355" s="2"/>
      <c r="M355" s="2"/>
      <c r="N355" s="2"/>
      <c r="O355" s="2">
        <f t="shared" ref="O355:T355" si="162">ROUND(O326,2)</f>
        <v>5167647.33</v>
      </c>
      <c r="P355" s="2">
        <f t="shared" si="162"/>
        <v>2492267.6800000002</v>
      </c>
      <c r="Q355" s="2">
        <f t="shared" si="162"/>
        <v>809914.07</v>
      </c>
      <c r="R355" s="2">
        <f t="shared" si="162"/>
        <v>348650.64</v>
      </c>
      <c r="S355" s="2">
        <f t="shared" si="162"/>
        <v>1865465.58</v>
      </c>
      <c r="T355" s="2">
        <f t="shared" si="162"/>
        <v>0</v>
      </c>
      <c r="U355" s="2">
        <f>U326</f>
        <v>9259.7402300000012</v>
      </c>
      <c r="V355" s="2">
        <f>V326</f>
        <v>0</v>
      </c>
      <c r="W355" s="2">
        <f>ROUND(W326,2)</f>
        <v>0</v>
      </c>
      <c r="X355" s="2">
        <f>ROUND(X326,2)</f>
        <v>1305825.93</v>
      </c>
      <c r="Y355" s="2">
        <f>ROUND(Y326,2)</f>
        <v>0</v>
      </c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>
        <f t="shared" ref="AO355:BC355" si="163">ROUND(AO326,2)</f>
        <v>0</v>
      </c>
      <c r="AP355" s="2">
        <f t="shared" si="163"/>
        <v>0</v>
      </c>
      <c r="AQ355" s="2">
        <f t="shared" si="163"/>
        <v>0</v>
      </c>
      <c r="AR355" s="2">
        <f t="shared" si="163"/>
        <v>6551640.1699999999</v>
      </c>
      <c r="AS355" s="2">
        <f t="shared" si="163"/>
        <v>0</v>
      </c>
      <c r="AT355" s="2">
        <f t="shared" si="163"/>
        <v>0</v>
      </c>
      <c r="AU355" s="2">
        <f t="shared" si="163"/>
        <v>6551640.1699999999</v>
      </c>
      <c r="AV355" s="2">
        <f t="shared" si="163"/>
        <v>2492267.6800000002</v>
      </c>
      <c r="AW355" s="2">
        <f t="shared" si="163"/>
        <v>2492267.6800000002</v>
      </c>
      <c r="AX355" s="2">
        <f t="shared" si="163"/>
        <v>0</v>
      </c>
      <c r="AY355" s="2">
        <f t="shared" si="163"/>
        <v>2492267.6800000002</v>
      </c>
      <c r="AZ355" s="2">
        <f t="shared" si="163"/>
        <v>0</v>
      </c>
      <c r="BA355" s="2">
        <f t="shared" si="163"/>
        <v>0</v>
      </c>
      <c r="BB355" s="2">
        <f t="shared" si="163"/>
        <v>0</v>
      </c>
      <c r="BC355" s="2">
        <f t="shared" si="163"/>
        <v>0</v>
      </c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>
        <v>0</v>
      </c>
    </row>
    <row r="357" spans="1:206" x14ac:dyDescent="0.2">
      <c r="A357" s="4">
        <v>50</v>
      </c>
      <c r="B357" s="4">
        <v>0</v>
      </c>
      <c r="C357" s="4">
        <v>0</v>
      </c>
      <c r="D357" s="4">
        <v>1</v>
      </c>
      <c r="E357" s="4">
        <v>201</v>
      </c>
      <c r="F357" s="4">
        <f>ROUND(Source!O355,O357)</f>
        <v>5167647.33</v>
      </c>
      <c r="G357" s="4" t="s">
        <v>72</v>
      </c>
      <c r="H357" s="4" t="s">
        <v>73</v>
      </c>
      <c r="I357" s="4"/>
      <c r="J357" s="4"/>
      <c r="K357" s="4">
        <v>201</v>
      </c>
      <c r="L357" s="4">
        <v>1</v>
      </c>
      <c r="M357" s="4">
        <v>3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06" x14ac:dyDescent="0.2">
      <c r="A358" s="4">
        <v>50</v>
      </c>
      <c r="B358" s="4">
        <v>0</v>
      </c>
      <c r="C358" s="4">
        <v>0</v>
      </c>
      <c r="D358" s="4">
        <v>1</v>
      </c>
      <c r="E358" s="4">
        <v>202</v>
      </c>
      <c r="F358" s="4">
        <f>ROUND(Source!P355,O358)</f>
        <v>2492267.6800000002</v>
      </c>
      <c r="G358" s="4" t="s">
        <v>74</v>
      </c>
      <c r="H358" s="4" t="s">
        <v>75</v>
      </c>
      <c r="I358" s="4"/>
      <c r="J358" s="4"/>
      <c r="K358" s="4">
        <v>202</v>
      </c>
      <c r="L358" s="4">
        <v>2</v>
      </c>
      <c r="M358" s="4">
        <v>3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206" x14ac:dyDescent="0.2">
      <c r="A359" s="4">
        <v>50</v>
      </c>
      <c r="B359" s="4">
        <v>0</v>
      </c>
      <c r="C359" s="4">
        <v>0</v>
      </c>
      <c r="D359" s="4">
        <v>1</v>
      </c>
      <c r="E359" s="4">
        <v>222</v>
      </c>
      <c r="F359" s="4">
        <f>ROUND(Source!AO355,O359)</f>
        <v>0</v>
      </c>
      <c r="G359" s="4" t="s">
        <v>76</v>
      </c>
      <c r="H359" s="4" t="s">
        <v>77</v>
      </c>
      <c r="I359" s="4"/>
      <c r="J359" s="4"/>
      <c r="K359" s="4">
        <v>222</v>
      </c>
      <c r="L359" s="4">
        <v>3</v>
      </c>
      <c r="M359" s="4">
        <v>3</v>
      </c>
      <c r="N359" s="4" t="s">
        <v>3</v>
      </c>
      <c r="O359" s="4">
        <v>2</v>
      </c>
      <c r="P359" s="4"/>
      <c r="Q359" s="4"/>
      <c r="R359" s="4"/>
      <c r="S359" s="4"/>
      <c r="T359" s="4"/>
      <c r="U359" s="4"/>
      <c r="V359" s="4"/>
      <c r="W359" s="4"/>
    </row>
    <row r="360" spans="1:206" x14ac:dyDescent="0.2">
      <c r="A360" s="4">
        <v>50</v>
      </c>
      <c r="B360" s="4">
        <v>0</v>
      </c>
      <c r="C360" s="4">
        <v>0</v>
      </c>
      <c r="D360" s="4">
        <v>1</v>
      </c>
      <c r="E360" s="4">
        <v>225</v>
      </c>
      <c r="F360" s="4">
        <f>ROUND(Source!AV355,O360)</f>
        <v>2492267.6800000002</v>
      </c>
      <c r="G360" s="4" t="s">
        <v>78</v>
      </c>
      <c r="H360" s="4" t="s">
        <v>79</v>
      </c>
      <c r="I360" s="4"/>
      <c r="J360" s="4"/>
      <c r="K360" s="4">
        <v>225</v>
      </c>
      <c r="L360" s="4">
        <v>4</v>
      </c>
      <c r="M360" s="4">
        <v>3</v>
      </c>
      <c r="N360" s="4" t="s">
        <v>3</v>
      </c>
      <c r="O360" s="4">
        <v>2</v>
      </c>
      <c r="P360" s="4"/>
      <c r="Q360" s="4"/>
      <c r="R360" s="4"/>
      <c r="S360" s="4"/>
      <c r="T360" s="4"/>
      <c r="U360" s="4"/>
      <c r="V360" s="4"/>
      <c r="W360" s="4"/>
    </row>
    <row r="361" spans="1:206" x14ac:dyDescent="0.2">
      <c r="A361" s="4">
        <v>50</v>
      </c>
      <c r="B361" s="4">
        <v>0</v>
      </c>
      <c r="C361" s="4">
        <v>0</v>
      </c>
      <c r="D361" s="4">
        <v>1</v>
      </c>
      <c r="E361" s="4">
        <v>226</v>
      </c>
      <c r="F361" s="4">
        <f>ROUND(Source!AW355,O361)</f>
        <v>2492267.6800000002</v>
      </c>
      <c r="G361" s="4" t="s">
        <v>80</v>
      </c>
      <c r="H361" s="4" t="s">
        <v>81</v>
      </c>
      <c r="I361" s="4"/>
      <c r="J361" s="4"/>
      <c r="K361" s="4">
        <v>226</v>
      </c>
      <c r="L361" s="4">
        <v>5</v>
      </c>
      <c r="M361" s="4">
        <v>3</v>
      </c>
      <c r="N361" s="4" t="s">
        <v>3</v>
      </c>
      <c r="O361" s="4">
        <v>2</v>
      </c>
      <c r="P361" s="4"/>
      <c r="Q361" s="4"/>
      <c r="R361" s="4"/>
      <c r="S361" s="4"/>
      <c r="T361" s="4"/>
      <c r="U361" s="4"/>
      <c r="V361" s="4"/>
      <c r="W361" s="4"/>
    </row>
    <row r="362" spans="1:206" x14ac:dyDescent="0.2">
      <c r="A362" s="4">
        <v>50</v>
      </c>
      <c r="B362" s="4">
        <v>0</v>
      </c>
      <c r="C362" s="4">
        <v>0</v>
      </c>
      <c r="D362" s="4">
        <v>1</v>
      </c>
      <c r="E362" s="4">
        <v>227</v>
      </c>
      <c r="F362" s="4">
        <f>ROUND(Source!AX355,O362)</f>
        <v>0</v>
      </c>
      <c r="G362" s="4" t="s">
        <v>82</v>
      </c>
      <c r="H362" s="4" t="s">
        <v>83</v>
      </c>
      <c r="I362" s="4"/>
      <c r="J362" s="4"/>
      <c r="K362" s="4">
        <v>227</v>
      </c>
      <c r="L362" s="4">
        <v>6</v>
      </c>
      <c r="M362" s="4">
        <v>3</v>
      </c>
      <c r="N362" s="4" t="s">
        <v>3</v>
      </c>
      <c r="O362" s="4">
        <v>2</v>
      </c>
      <c r="P362" s="4"/>
      <c r="Q362" s="4"/>
      <c r="R362" s="4"/>
      <c r="S362" s="4"/>
      <c r="T362" s="4"/>
      <c r="U362" s="4"/>
      <c r="V362" s="4"/>
      <c r="W362" s="4"/>
    </row>
    <row r="363" spans="1:206" x14ac:dyDescent="0.2">
      <c r="A363" s="4">
        <v>50</v>
      </c>
      <c r="B363" s="4">
        <v>0</v>
      </c>
      <c r="C363" s="4">
        <v>0</v>
      </c>
      <c r="D363" s="4">
        <v>1</v>
      </c>
      <c r="E363" s="4">
        <v>228</v>
      </c>
      <c r="F363" s="4">
        <f>ROUND(Source!AY355,O363)</f>
        <v>2492267.6800000002</v>
      </c>
      <c r="G363" s="4" t="s">
        <v>84</v>
      </c>
      <c r="H363" s="4" t="s">
        <v>85</v>
      </c>
      <c r="I363" s="4"/>
      <c r="J363" s="4"/>
      <c r="K363" s="4">
        <v>228</v>
      </c>
      <c r="L363" s="4">
        <v>7</v>
      </c>
      <c r="M363" s="4">
        <v>3</v>
      </c>
      <c r="N363" s="4" t="s">
        <v>3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06" x14ac:dyDescent="0.2">
      <c r="A364" s="4">
        <v>50</v>
      </c>
      <c r="B364" s="4">
        <v>0</v>
      </c>
      <c r="C364" s="4">
        <v>0</v>
      </c>
      <c r="D364" s="4">
        <v>1</v>
      </c>
      <c r="E364" s="4">
        <v>216</v>
      </c>
      <c r="F364" s="4">
        <f>ROUND(Source!AP355,O364)</f>
        <v>0</v>
      </c>
      <c r="G364" s="4" t="s">
        <v>86</v>
      </c>
      <c r="H364" s="4" t="s">
        <v>87</v>
      </c>
      <c r="I364" s="4"/>
      <c r="J364" s="4"/>
      <c r="K364" s="4">
        <v>216</v>
      </c>
      <c r="L364" s="4">
        <v>8</v>
      </c>
      <c r="M364" s="4">
        <v>3</v>
      </c>
      <c r="N364" s="4" t="s">
        <v>3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5" spans="1:206" x14ac:dyDescent="0.2">
      <c r="A365" s="4">
        <v>50</v>
      </c>
      <c r="B365" s="4">
        <v>0</v>
      </c>
      <c r="C365" s="4">
        <v>0</v>
      </c>
      <c r="D365" s="4">
        <v>1</v>
      </c>
      <c r="E365" s="4">
        <v>223</v>
      </c>
      <c r="F365" s="4">
        <f>ROUND(Source!AQ355,O365)</f>
        <v>0</v>
      </c>
      <c r="G365" s="4" t="s">
        <v>88</v>
      </c>
      <c r="H365" s="4" t="s">
        <v>89</v>
      </c>
      <c r="I365" s="4"/>
      <c r="J365" s="4"/>
      <c r="K365" s="4">
        <v>223</v>
      </c>
      <c r="L365" s="4">
        <v>9</v>
      </c>
      <c r="M365" s="4">
        <v>3</v>
      </c>
      <c r="N365" s="4" t="s">
        <v>3</v>
      </c>
      <c r="O365" s="4">
        <v>2</v>
      </c>
      <c r="P365" s="4"/>
      <c r="Q365" s="4"/>
      <c r="R365" s="4"/>
      <c r="S365" s="4"/>
      <c r="T365" s="4"/>
      <c r="U365" s="4"/>
      <c r="V365" s="4"/>
      <c r="W365" s="4"/>
    </row>
    <row r="366" spans="1:206" x14ac:dyDescent="0.2">
      <c r="A366" s="4">
        <v>50</v>
      </c>
      <c r="B366" s="4">
        <v>0</v>
      </c>
      <c r="C366" s="4">
        <v>0</v>
      </c>
      <c r="D366" s="4">
        <v>1</v>
      </c>
      <c r="E366" s="4">
        <v>229</v>
      </c>
      <c r="F366" s="4">
        <f>ROUND(Source!AZ355,O366)</f>
        <v>0</v>
      </c>
      <c r="G366" s="4" t="s">
        <v>90</v>
      </c>
      <c r="H366" s="4" t="s">
        <v>91</v>
      </c>
      <c r="I366" s="4"/>
      <c r="J366" s="4"/>
      <c r="K366" s="4">
        <v>229</v>
      </c>
      <c r="L366" s="4">
        <v>10</v>
      </c>
      <c r="M366" s="4">
        <v>3</v>
      </c>
      <c r="N366" s="4" t="s">
        <v>3</v>
      </c>
      <c r="O366" s="4">
        <v>2</v>
      </c>
      <c r="P366" s="4"/>
      <c r="Q366" s="4"/>
      <c r="R366" s="4"/>
      <c r="S366" s="4"/>
      <c r="T366" s="4"/>
      <c r="U366" s="4"/>
      <c r="V366" s="4"/>
      <c r="W366" s="4"/>
    </row>
    <row r="367" spans="1:206" x14ac:dyDescent="0.2">
      <c r="A367" s="4">
        <v>50</v>
      </c>
      <c r="B367" s="4">
        <v>0</v>
      </c>
      <c r="C367" s="4">
        <v>0</v>
      </c>
      <c r="D367" s="4">
        <v>1</v>
      </c>
      <c r="E367" s="4">
        <v>203</v>
      </c>
      <c r="F367" s="4">
        <f>ROUND(Source!Q355,O367)</f>
        <v>809914.07</v>
      </c>
      <c r="G367" s="4" t="s">
        <v>92</v>
      </c>
      <c r="H367" s="4" t="s">
        <v>93</v>
      </c>
      <c r="I367" s="4"/>
      <c r="J367" s="4"/>
      <c r="K367" s="4">
        <v>203</v>
      </c>
      <c r="L367" s="4">
        <v>11</v>
      </c>
      <c r="M367" s="4">
        <v>3</v>
      </c>
      <c r="N367" s="4" t="s">
        <v>3</v>
      </c>
      <c r="O367" s="4">
        <v>2</v>
      </c>
      <c r="P367" s="4"/>
      <c r="Q367" s="4"/>
      <c r="R367" s="4"/>
      <c r="S367" s="4"/>
      <c r="T367" s="4"/>
      <c r="U367" s="4"/>
      <c r="V367" s="4"/>
      <c r="W367" s="4"/>
    </row>
    <row r="368" spans="1:206" x14ac:dyDescent="0.2">
      <c r="A368" s="4">
        <v>50</v>
      </c>
      <c r="B368" s="4">
        <v>0</v>
      </c>
      <c r="C368" s="4">
        <v>0</v>
      </c>
      <c r="D368" s="4">
        <v>1</v>
      </c>
      <c r="E368" s="4">
        <v>231</v>
      </c>
      <c r="F368" s="4">
        <f>ROUND(Source!BB355,O368)</f>
        <v>0</v>
      </c>
      <c r="G368" s="4" t="s">
        <v>94</v>
      </c>
      <c r="H368" s="4" t="s">
        <v>95</v>
      </c>
      <c r="I368" s="4"/>
      <c r="J368" s="4"/>
      <c r="K368" s="4">
        <v>231</v>
      </c>
      <c r="L368" s="4">
        <v>12</v>
      </c>
      <c r="M368" s="4">
        <v>3</v>
      </c>
      <c r="N368" s="4" t="s">
        <v>3</v>
      </c>
      <c r="O368" s="4">
        <v>2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4">
        <v>50</v>
      </c>
      <c r="B369" s="4">
        <v>0</v>
      </c>
      <c r="C369" s="4">
        <v>0</v>
      </c>
      <c r="D369" s="4">
        <v>1</v>
      </c>
      <c r="E369" s="4">
        <v>204</v>
      </c>
      <c r="F369" s="4">
        <f>ROUND(Source!R355,O369)</f>
        <v>348650.64</v>
      </c>
      <c r="G369" s="4" t="s">
        <v>96</v>
      </c>
      <c r="H369" s="4" t="s">
        <v>97</v>
      </c>
      <c r="I369" s="4"/>
      <c r="J369" s="4"/>
      <c r="K369" s="4">
        <v>204</v>
      </c>
      <c r="L369" s="4">
        <v>13</v>
      </c>
      <c r="M369" s="4">
        <v>3</v>
      </c>
      <c r="N369" s="4" t="s">
        <v>3</v>
      </c>
      <c r="O369" s="4">
        <v>2</v>
      </c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4">
        <v>50</v>
      </c>
      <c r="B370" s="4">
        <v>0</v>
      </c>
      <c r="C370" s="4">
        <v>0</v>
      </c>
      <c r="D370" s="4">
        <v>1</v>
      </c>
      <c r="E370" s="4">
        <v>205</v>
      </c>
      <c r="F370" s="4">
        <f>ROUND(Source!S355,O370)</f>
        <v>1865465.58</v>
      </c>
      <c r="G370" s="4" t="s">
        <v>98</v>
      </c>
      <c r="H370" s="4" t="s">
        <v>99</v>
      </c>
      <c r="I370" s="4"/>
      <c r="J370" s="4"/>
      <c r="K370" s="4">
        <v>205</v>
      </c>
      <c r="L370" s="4">
        <v>14</v>
      </c>
      <c r="M370" s="4">
        <v>3</v>
      </c>
      <c r="N370" s="4" t="s">
        <v>3</v>
      </c>
      <c r="O370" s="4">
        <v>2</v>
      </c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4">
        <v>50</v>
      </c>
      <c r="B371" s="4">
        <v>0</v>
      </c>
      <c r="C371" s="4">
        <v>0</v>
      </c>
      <c r="D371" s="4">
        <v>1</v>
      </c>
      <c r="E371" s="4">
        <v>232</v>
      </c>
      <c r="F371" s="4">
        <f>ROUND(Source!BC355,O371)</f>
        <v>0</v>
      </c>
      <c r="G371" s="4" t="s">
        <v>100</v>
      </c>
      <c r="H371" s="4" t="s">
        <v>101</v>
      </c>
      <c r="I371" s="4"/>
      <c r="J371" s="4"/>
      <c r="K371" s="4">
        <v>232</v>
      </c>
      <c r="L371" s="4">
        <v>15</v>
      </c>
      <c r="M371" s="4">
        <v>3</v>
      </c>
      <c r="N371" s="4" t="s">
        <v>3</v>
      </c>
      <c r="O371" s="4">
        <v>2</v>
      </c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4">
        <v>50</v>
      </c>
      <c r="B372" s="4">
        <v>0</v>
      </c>
      <c r="C372" s="4">
        <v>0</v>
      </c>
      <c r="D372" s="4">
        <v>1</v>
      </c>
      <c r="E372" s="4">
        <v>214</v>
      </c>
      <c r="F372" s="4">
        <f>ROUND(Source!AS355,O372)</f>
        <v>0</v>
      </c>
      <c r="G372" s="4" t="s">
        <v>102</v>
      </c>
      <c r="H372" s="4" t="s">
        <v>103</v>
      </c>
      <c r="I372" s="4"/>
      <c r="J372" s="4"/>
      <c r="K372" s="4">
        <v>214</v>
      </c>
      <c r="L372" s="4">
        <v>16</v>
      </c>
      <c r="M372" s="4">
        <v>3</v>
      </c>
      <c r="N372" s="4" t="s">
        <v>3</v>
      </c>
      <c r="O372" s="4">
        <v>2</v>
      </c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4">
        <v>50</v>
      </c>
      <c r="B373" s="4">
        <v>0</v>
      </c>
      <c r="C373" s="4">
        <v>0</v>
      </c>
      <c r="D373" s="4">
        <v>1</v>
      </c>
      <c r="E373" s="4">
        <v>215</v>
      </c>
      <c r="F373" s="4">
        <f>ROUND(Source!AT355,O373)</f>
        <v>0</v>
      </c>
      <c r="G373" s="4" t="s">
        <v>104</v>
      </c>
      <c r="H373" s="4" t="s">
        <v>105</v>
      </c>
      <c r="I373" s="4"/>
      <c r="J373" s="4"/>
      <c r="K373" s="4">
        <v>215</v>
      </c>
      <c r="L373" s="4">
        <v>17</v>
      </c>
      <c r="M373" s="4">
        <v>3</v>
      </c>
      <c r="N373" s="4" t="s">
        <v>3</v>
      </c>
      <c r="O373" s="4">
        <v>2</v>
      </c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4">
        <v>50</v>
      </c>
      <c r="B374" s="4">
        <v>0</v>
      </c>
      <c r="C374" s="4">
        <v>0</v>
      </c>
      <c r="D374" s="4">
        <v>1</v>
      </c>
      <c r="E374" s="4">
        <v>217</v>
      </c>
      <c r="F374" s="4">
        <f>ROUND(Source!AU355,O374)</f>
        <v>6551640.1699999999</v>
      </c>
      <c r="G374" s="4" t="s">
        <v>106</v>
      </c>
      <c r="H374" s="4" t="s">
        <v>107</v>
      </c>
      <c r="I374" s="4"/>
      <c r="J374" s="4"/>
      <c r="K374" s="4">
        <v>217</v>
      </c>
      <c r="L374" s="4">
        <v>18</v>
      </c>
      <c r="M374" s="4">
        <v>3</v>
      </c>
      <c r="N374" s="4" t="s">
        <v>3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4">
        <v>50</v>
      </c>
      <c r="B375" s="4">
        <v>0</v>
      </c>
      <c r="C375" s="4">
        <v>0</v>
      </c>
      <c r="D375" s="4">
        <v>1</v>
      </c>
      <c r="E375" s="4">
        <v>230</v>
      </c>
      <c r="F375" s="4">
        <f>ROUND(Source!BA355,O375)</f>
        <v>0</v>
      </c>
      <c r="G375" s="4" t="s">
        <v>108</v>
      </c>
      <c r="H375" s="4" t="s">
        <v>109</v>
      </c>
      <c r="I375" s="4"/>
      <c r="J375" s="4"/>
      <c r="K375" s="4">
        <v>230</v>
      </c>
      <c r="L375" s="4">
        <v>19</v>
      </c>
      <c r="M375" s="4">
        <v>3</v>
      </c>
      <c r="N375" s="4" t="s">
        <v>3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4">
        <v>50</v>
      </c>
      <c r="B376" s="4">
        <v>0</v>
      </c>
      <c r="C376" s="4">
        <v>0</v>
      </c>
      <c r="D376" s="4">
        <v>1</v>
      </c>
      <c r="E376" s="4">
        <v>206</v>
      </c>
      <c r="F376" s="4">
        <f>ROUND(Source!T355,O376)</f>
        <v>0</v>
      </c>
      <c r="G376" s="4" t="s">
        <v>110</v>
      </c>
      <c r="H376" s="4" t="s">
        <v>111</v>
      </c>
      <c r="I376" s="4"/>
      <c r="J376" s="4"/>
      <c r="K376" s="4">
        <v>206</v>
      </c>
      <c r="L376" s="4">
        <v>20</v>
      </c>
      <c r="M376" s="4">
        <v>3</v>
      </c>
      <c r="N376" s="4" t="s">
        <v>3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4">
        <v>50</v>
      </c>
      <c r="B377" s="4">
        <v>0</v>
      </c>
      <c r="C377" s="4">
        <v>0</v>
      </c>
      <c r="D377" s="4">
        <v>1</v>
      </c>
      <c r="E377" s="4">
        <v>207</v>
      </c>
      <c r="F377" s="4">
        <f>Source!U355</f>
        <v>9259.7402300000012</v>
      </c>
      <c r="G377" s="4" t="s">
        <v>112</v>
      </c>
      <c r="H377" s="4" t="s">
        <v>113</v>
      </c>
      <c r="I377" s="4"/>
      <c r="J377" s="4"/>
      <c r="K377" s="4">
        <v>207</v>
      </c>
      <c r="L377" s="4">
        <v>21</v>
      </c>
      <c r="M377" s="4">
        <v>3</v>
      </c>
      <c r="N377" s="4" t="s">
        <v>3</v>
      </c>
      <c r="O377" s="4">
        <v>-1</v>
      </c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4">
        <v>50</v>
      </c>
      <c r="B378" s="4">
        <v>0</v>
      </c>
      <c r="C378" s="4">
        <v>0</v>
      </c>
      <c r="D378" s="4">
        <v>1</v>
      </c>
      <c r="E378" s="4">
        <v>208</v>
      </c>
      <c r="F378" s="4">
        <f>Source!V355</f>
        <v>0</v>
      </c>
      <c r="G378" s="4" t="s">
        <v>114</v>
      </c>
      <c r="H378" s="4" t="s">
        <v>115</v>
      </c>
      <c r="I378" s="4"/>
      <c r="J378" s="4"/>
      <c r="K378" s="4">
        <v>208</v>
      </c>
      <c r="L378" s="4">
        <v>22</v>
      </c>
      <c r="M378" s="4">
        <v>3</v>
      </c>
      <c r="N378" s="4" t="s">
        <v>3</v>
      </c>
      <c r="O378" s="4">
        <v>-1</v>
      </c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4">
        <v>50</v>
      </c>
      <c r="B379" s="4">
        <v>0</v>
      </c>
      <c r="C379" s="4">
        <v>0</v>
      </c>
      <c r="D379" s="4">
        <v>1</v>
      </c>
      <c r="E379" s="4">
        <v>209</v>
      </c>
      <c r="F379" s="4">
        <f>ROUND(Source!W355,O379)</f>
        <v>0</v>
      </c>
      <c r="G379" s="4" t="s">
        <v>116</v>
      </c>
      <c r="H379" s="4" t="s">
        <v>117</v>
      </c>
      <c r="I379" s="4"/>
      <c r="J379" s="4"/>
      <c r="K379" s="4">
        <v>209</v>
      </c>
      <c r="L379" s="4">
        <v>23</v>
      </c>
      <c r="M379" s="4">
        <v>3</v>
      </c>
      <c r="N379" s="4" t="s">
        <v>3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4">
        <v>50</v>
      </c>
      <c r="B380" s="4">
        <v>0</v>
      </c>
      <c r="C380" s="4">
        <v>0</v>
      </c>
      <c r="D380" s="4">
        <v>1</v>
      </c>
      <c r="E380" s="4">
        <v>210</v>
      </c>
      <c r="F380" s="4">
        <f>ROUND(Source!X355,O380)</f>
        <v>1305825.93</v>
      </c>
      <c r="G380" s="4" t="s">
        <v>118</v>
      </c>
      <c r="H380" s="4" t="s">
        <v>119</v>
      </c>
      <c r="I380" s="4"/>
      <c r="J380" s="4"/>
      <c r="K380" s="4">
        <v>210</v>
      </c>
      <c r="L380" s="4">
        <v>24</v>
      </c>
      <c r="M380" s="4">
        <v>3</v>
      </c>
      <c r="N380" s="4" t="s">
        <v>3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4">
        <v>50</v>
      </c>
      <c r="B381" s="4">
        <v>0</v>
      </c>
      <c r="C381" s="4">
        <v>0</v>
      </c>
      <c r="D381" s="4">
        <v>1</v>
      </c>
      <c r="E381" s="4">
        <v>211</v>
      </c>
      <c r="F381" s="4">
        <f>ROUND(Source!Y355,O381)</f>
        <v>0</v>
      </c>
      <c r="G381" s="4" t="s">
        <v>120</v>
      </c>
      <c r="H381" s="4" t="s">
        <v>121</v>
      </c>
      <c r="I381" s="4"/>
      <c r="J381" s="4"/>
      <c r="K381" s="4">
        <v>211</v>
      </c>
      <c r="L381" s="4">
        <v>25</v>
      </c>
      <c r="M381" s="4">
        <v>3</v>
      </c>
      <c r="N381" s="4" t="s">
        <v>3</v>
      </c>
      <c r="O381" s="4">
        <v>2</v>
      </c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4">
        <v>50</v>
      </c>
      <c r="B382" s="4">
        <v>0</v>
      </c>
      <c r="C382" s="4">
        <v>0</v>
      </c>
      <c r="D382" s="4">
        <v>1</v>
      </c>
      <c r="E382" s="4">
        <v>224</v>
      </c>
      <c r="F382" s="4">
        <f>ROUND(Source!AR355,O382)</f>
        <v>6551640.1699999999</v>
      </c>
      <c r="G382" s="4" t="s">
        <v>122</v>
      </c>
      <c r="H382" s="4" t="s">
        <v>123</v>
      </c>
      <c r="I382" s="4"/>
      <c r="J382" s="4"/>
      <c r="K382" s="4">
        <v>224</v>
      </c>
      <c r="L382" s="4">
        <v>26</v>
      </c>
      <c r="M382" s="4">
        <v>3</v>
      </c>
      <c r="N382" s="4" t="s">
        <v>3</v>
      </c>
      <c r="O382" s="4">
        <v>2</v>
      </c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4">
        <v>50</v>
      </c>
      <c r="B383" s="4">
        <v>1</v>
      </c>
      <c r="C383" s="4">
        <v>0</v>
      </c>
      <c r="D383" s="4">
        <v>2</v>
      </c>
      <c r="E383" s="4">
        <v>0</v>
      </c>
      <c r="F383" s="4">
        <f>ROUND(F382,O383)</f>
        <v>6551640.1699999999</v>
      </c>
      <c r="G383" s="4" t="s">
        <v>195</v>
      </c>
      <c r="H383" s="4" t="s">
        <v>196</v>
      </c>
      <c r="I383" s="4"/>
      <c r="J383" s="4"/>
      <c r="K383" s="4">
        <v>212</v>
      </c>
      <c r="L383" s="4">
        <v>27</v>
      </c>
      <c r="M383" s="4">
        <v>0</v>
      </c>
      <c r="N383" s="4" t="s">
        <v>3</v>
      </c>
      <c r="O383" s="4">
        <v>2</v>
      </c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4">
        <v>50</v>
      </c>
      <c r="B384" s="4">
        <v>1</v>
      </c>
      <c r="C384" s="4">
        <v>0</v>
      </c>
      <c r="D384" s="4">
        <v>2</v>
      </c>
      <c r="E384" s="4">
        <v>0</v>
      </c>
      <c r="F384" s="4">
        <f>ROUND(F383-F369-F370,O384)</f>
        <v>4337523.95</v>
      </c>
      <c r="G384" s="4" t="s">
        <v>197</v>
      </c>
      <c r="H384" s="4" t="s">
        <v>198</v>
      </c>
      <c r="I384" s="4"/>
      <c r="J384" s="4"/>
      <c r="K384" s="4">
        <v>212</v>
      </c>
      <c r="L384" s="4">
        <v>28</v>
      </c>
      <c r="M384" s="4">
        <v>0</v>
      </c>
      <c r="N384" s="4" t="s">
        <v>3</v>
      </c>
      <c r="O384" s="4">
        <v>2</v>
      </c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>
        <v>50</v>
      </c>
      <c r="B385" s="4">
        <v>1</v>
      </c>
      <c r="C385" s="4">
        <v>0</v>
      </c>
      <c r="D385" s="4">
        <v>2</v>
      </c>
      <c r="E385" s="4">
        <v>0</v>
      </c>
      <c r="F385" s="4">
        <f>ROUND(F384*0.2,O385)</f>
        <v>867504.79</v>
      </c>
      <c r="G385" s="4" t="s">
        <v>199</v>
      </c>
      <c r="H385" s="4" t="s">
        <v>199</v>
      </c>
      <c r="I385" s="4"/>
      <c r="J385" s="4"/>
      <c r="K385" s="4">
        <v>212</v>
      </c>
      <c r="L385" s="4">
        <v>29</v>
      </c>
      <c r="M385" s="4">
        <v>0</v>
      </c>
      <c r="N385" s="4" t="s">
        <v>3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>
        <v>50</v>
      </c>
      <c r="B386" s="4">
        <v>1</v>
      </c>
      <c r="C386" s="4">
        <v>0</v>
      </c>
      <c r="D386" s="4">
        <v>2</v>
      </c>
      <c r="E386" s="4">
        <v>0</v>
      </c>
      <c r="F386" s="4">
        <f>ROUND(F383+F385,O386)</f>
        <v>7419144.96</v>
      </c>
      <c r="G386" s="4" t="s">
        <v>200</v>
      </c>
      <c r="H386" s="4" t="s">
        <v>200</v>
      </c>
      <c r="I386" s="4"/>
      <c r="J386" s="4"/>
      <c r="K386" s="4">
        <v>212</v>
      </c>
      <c r="L386" s="4">
        <v>30</v>
      </c>
      <c r="M386" s="4">
        <v>0</v>
      </c>
      <c r="N386" s="4" t="s">
        <v>3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>
        <v>50</v>
      </c>
      <c r="B387" s="4">
        <v>1</v>
      </c>
      <c r="C387" s="4">
        <v>0</v>
      </c>
      <c r="D387" s="4">
        <v>2</v>
      </c>
      <c r="E387" s="4">
        <v>0</v>
      </c>
      <c r="F387" s="4">
        <f>ROUND(F386*0.8596728801643,O387)</f>
        <v>6378037.7199999997</v>
      </c>
      <c r="G387" s="4" t="s">
        <v>3</v>
      </c>
      <c r="H387" s="4" t="s">
        <v>201</v>
      </c>
      <c r="I387" s="4"/>
      <c r="J387" s="4"/>
      <c r="K387" s="4">
        <v>212</v>
      </c>
      <c r="L387" s="4">
        <v>31</v>
      </c>
      <c r="M387" s="4">
        <v>0</v>
      </c>
      <c r="N387" s="4" t="s">
        <v>3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90" spans="1:23" x14ac:dyDescent="0.2">
      <c r="A390">
        <v>-1</v>
      </c>
    </row>
    <row r="392" spans="1:23" x14ac:dyDescent="0.2">
      <c r="A392" s="3">
        <v>75</v>
      </c>
      <c r="B392" s="3" t="s">
        <v>202</v>
      </c>
      <c r="C392" s="3">
        <v>2019</v>
      </c>
      <c r="D392" s="3">
        <v>0</v>
      </c>
      <c r="E392" s="3">
        <v>10</v>
      </c>
      <c r="F392" s="3">
        <v>0</v>
      </c>
      <c r="G392" s="3">
        <v>0</v>
      </c>
      <c r="H392" s="3">
        <v>1</v>
      </c>
      <c r="I392" s="3">
        <v>0</v>
      </c>
      <c r="J392" s="3">
        <v>1</v>
      </c>
      <c r="K392" s="3">
        <v>78</v>
      </c>
      <c r="L392" s="3">
        <v>0</v>
      </c>
      <c r="M392" s="3">
        <v>0</v>
      </c>
      <c r="N392" s="3">
        <v>53202630</v>
      </c>
      <c r="O392" s="3">
        <v>1</v>
      </c>
    </row>
    <row r="396" spans="1:23" x14ac:dyDescent="0.2">
      <c r="A396">
        <v>65</v>
      </c>
      <c r="C396">
        <v>1</v>
      </c>
      <c r="D396">
        <v>0</v>
      </c>
      <c r="E396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C55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203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52196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55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78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6</v>
      </c>
      <c r="AC12" s="1" t="s">
        <v>7</v>
      </c>
      <c r="AD12" s="1" t="s">
        <v>8</v>
      </c>
      <c r="AE12" s="1" t="s">
        <v>9</v>
      </c>
      <c r="AF12" s="1" t="s">
        <v>3</v>
      </c>
      <c r="AG12" s="1" t="s">
        <v>3</v>
      </c>
      <c r="AH12" s="1" t="s">
        <v>10</v>
      </c>
      <c r="AI12" s="1" t="s">
        <v>3</v>
      </c>
      <c r="AJ12" s="1" t="s">
        <v>11</v>
      </c>
      <c r="AK12" s="1"/>
      <c r="AL12" s="1" t="s">
        <v>12</v>
      </c>
      <c r="AM12" s="1" t="s">
        <v>3</v>
      </c>
      <c r="AN12" s="1" t="s">
        <v>13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14</v>
      </c>
      <c r="BI12" s="1" t="s">
        <v>15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16</v>
      </c>
      <c r="BZ12" s="1" t="s">
        <v>17</v>
      </c>
      <c r="CA12" s="1" t="s">
        <v>18</v>
      </c>
      <c r="CB12" s="1" t="s">
        <v>18</v>
      </c>
      <c r="CC12" s="1" t="s">
        <v>18</v>
      </c>
      <c r="CD12" s="1" t="s">
        <v>18</v>
      </c>
      <c r="CE12" s="1" t="s">
        <v>19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53202630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20</v>
      </c>
      <c r="D16" s="5" t="s">
        <v>20</v>
      </c>
      <c r="E16" s="6">
        <f>(Source!F343)/1000</f>
        <v>0</v>
      </c>
      <c r="F16" s="6">
        <f>(Source!F344)/1000</f>
        <v>0</v>
      </c>
      <c r="G16" s="6">
        <f>(Source!F335)/1000</f>
        <v>0</v>
      </c>
      <c r="H16" s="6">
        <f>(Source!F345)/1000+(Source!F346)/1000</f>
        <v>6551.6401699999997</v>
      </c>
      <c r="I16" s="6">
        <f>E16+F16+G16+H16</f>
        <v>6551.6401699999997</v>
      </c>
      <c r="J16" s="6">
        <f>(Source!F341)/1000</f>
        <v>1865.46558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5167647.33</v>
      </c>
      <c r="AU16" s="6">
        <v>2492267.6800000002</v>
      </c>
      <c r="AV16" s="6">
        <v>0</v>
      </c>
      <c r="AW16" s="6">
        <v>0</v>
      </c>
      <c r="AX16" s="6">
        <v>0</v>
      </c>
      <c r="AY16" s="6">
        <v>809914.07</v>
      </c>
      <c r="AZ16" s="6">
        <v>348650.64</v>
      </c>
      <c r="BA16" s="6">
        <v>1865465.58</v>
      </c>
      <c r="BB16" s="6">
        <v>0</v>
      </c>
      <c r="BC16" s="6">
        <v>0</v>
      </c>
      <c r="BD16" s="6">
        <v>6551640.1699999999</v>
      </c>
      <c r="BE16" s="6">
        <v>0</v>
      </c>
      <c r="BF16" s="6">
        <v>9259.7402299999994</v>
      </c>
      <c r="BG16" s="6">
        <v>0</v>
      </c>
      <c r="BH16" s="6">
        <v>0</v>
      </c>
      <c r="BI16" s="6">
        <v>1305825.93</v>
      </c>
      <c r="BJ16" s="6">
        <v>0</v>
      </c>
      <c r="BK16" s="6">
        <v>6551640.1699999999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6551.6401699999997</v>
      </c>
      <c r="I18" s="7">
        <f>SUMIF(A16:A17,3,I16:I17)</f>
        <v>6551.6401699999997</v>
      </c>
      <c r="J18" s="7">
        <f>SUMIF(A16:A17,3,J16:J17)</f>
        <v>1865.46558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5167647.33</v>
      </c>
      <c r="G20" s="4" t="s">
        <v>72</v>
      </c>
      <c r="H20" s="4" t="s">
        <v>73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2492267.6800000002</v>
      </c>
      <c r="G21" s="4" t="s">
        <v>74</v>
      </c>
      <c r="H21" s="4" t="s">
        <v>75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76</v>
      </c>
      <c r="H22" s="4" t="s">
        <v>77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2492267.6800000002</v>
      </c>
      <c r="G23" s="4" t="s">
        <v>78</v>
      </c>
      <c r="H23" s="4" t="s">
        <v>79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2492267.6800000002</v>
      </c>
      <c r="G24" s="4" t="s">
        <v>80</v>
      </c>
      <c r="H24" s="4" t="s">
        <v>81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82</v>
      </c>
      <c r="H25" s="4" t="s">
        <v>83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2492267.6800000002</v>
      </c>
      <c r="G26" s="4" t="s">
        <v>84</v>
      </c>
      <c r="H26" s="4" t="s">
        <v>85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86</v>
      </c>
      <c r="H27" s="4" t="s">
        <v>87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88</v>
      </c>
      <c r="H28" s="4" t="s">
        <v>89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90</v>
      </c>
      <c r="H29" s="4" t="s">
        <v>91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809914.07</v>
      </c>
      <c r="G30" s="4" t="s">
        <v>92</v>
      </c>
      <c r="H30" s="4" t="s">
        <v>93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94</v>
      </c>
      <c r="H31" s="4" t="s">
        <v>95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348650.64</v>
      </c>
      <c r="G32" s="4" t="s">
        <v>96</v>
      </c>
      <c r="H32" s="4" t="s">
        <v>97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1865465.58</v>
      </c>
      <c r="G33" s="4" t="s">
        <v>98</v>
      </c>
      <c r="H33" s="4" t="s">
        <v>99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100</v>
      </c>
      <c r="H34" s="4" t="s">
        <v>101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102</v>
      </c>
      <c r="H35" s="4" t="s">
        <v>103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104</v>
      </c>
      <c r="H36" s="4" t="s">
        <v>105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6551640.1699999999</v>
      </c>
      <c r="G37" s="4" t="s">
        <v>106</v>
      </c>
      <c r="H37" s="4" t="s">
        <v>107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108</v>
      </c>
      <c r="H38" s="4" t="s">
        <v>109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110</v>
      </c>
      <c r="H39" s="4" t="s">
        <v>111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9259.7402299999994</v>
      </c>
      <c r="G40" s="4" t="s">
        <v>112</v>
      </c>
      <c r="H40" s="4" t="s">
        <v>113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114</v>
      </c>
      <c r="H41" s="4" t="s">
        <v>115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116</v>
      </c>
      <c r="H42" s="4" t="s">
        <v>117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210</v>
      </c>
      <c r="F43" s="4">
        <v>1305825.93</v>
      </c>
      <c r="G43" s="4" t="s">
        <v>118</v>
      </c>
      <c r="H43" s="4" t="s">
        <v>119</v>
      </c>
      <c r="I43" s="4"/>
      <c r="J43" s="4"/>
      <c r="K43" s="4">
        <v>210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211</v>
      </c>
      <c r="F44" s="4">
        <v>0</v>
      </c>
      <c r="G44" s="4" t="s">
        <v>120</v>
      </c>
      <c r="H44" s="4" t="s">
        <v>121</v>
      </c>
      <c r="I44" s="4"/>
      <c r="J44" s="4"/>
      <c r="K44" s="4">
        <v>211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224</v>
      </c>
      <c r="F45" s="4">
        <v>6551640.1699999999</v>
      </c>
      <c r="G45" s="4" t="s">
        <v>122</v>
      </c>
      <c r="H45" s="4" t="s">
        <v>123</v>
      </c>
      <c r="I45" s="4"/>
      <c r="J45" s="4"/>
      <c r="K45" s="4">
        <v>224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1</v>
      </c>
      <c r="C46" s="4">
        <v>0</v>
      </c>
      <c r="D46" s="4">
        <v>2</v>
      </c>
      <c r="E46" s="4">
        <v>0</v>
      </c>
      <c r="F46" s="4">
        <v>6551640.1699999999</v>
      </c>
      <c r="G46" s="4" t="s">
        <v>195</v>
      </c>
      <c r="H46" s="4" t="s">
        <v>196</v>
      </c>
      <c r="I46" s="4"/>
      <c r="J46" s="4"/>
      <c r="K46" s="4">
        <v>212</v>
      </c>
      <c r="L46" s="4">
        <v>27</v>
      </c>
      <c r="M46" s="4">
        <v>0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4337523.95</v>
      </c>
      <c r="G47" s="4" t="s">
        <v>197</v>
      </c>
      <c r="H47" s="4" t="s">
        <v>198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867504.79</v>
      </c>
      <c r="G48" s="4" t="s">
        <v>199</v>
      </c>
      <c r="H48" s="4" t="s">
        <v>199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 x14ac:dyDescent="0.2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7419144.96</v>
      </c>
      <c r="G49" s="4" t="s">
        <v>200</v>
      </c>
      <c r="H49" s="4" t="s">
        <v>200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0" spans="1:16" x14ac:dyDescent="0.2">
      <c r="A50" s="4">
        <v>50</v>
      </c>
      <c r="B50" s="4">
        <v>1</v>
      </c>
      <c r="C50" s="4">
        <v>0</v>
      </c>
      <c r="D50" s="4">
        <v>2</v>
      </c>
      <c r="E50" s="4">
        <v>0</v>
      </c>
      <c r="F50" s="4">
        <v>6378037.7199999997</v>
      </c>
      <c r="G50" s="4" t="s">
        <v>3</v>
      </c>
      <c r="H50" s="4" t="s">
        <v>201</v>
      </c>
      <c r="I50" s="4"/>
      <c r="J50" s="4"/>
      <c r="K50" s="4">
        <v>212</v>
      </c>
      <c r="L50" s="4">
        <v>31</v>
      </c>
      <c r="M50" s="4">
        <v>0</v>
      </c>
      <c r="N50" s="4" t="s">
        <v>3</v>
      </c>
      <c r="O50" s="4">
        <v>2</v>
      </c>
      <c r="P50" s="4"/>
    </row>
    <row r="52" spans="1:16" x14ac:dyDescent="0.2">
      <c r="A52">
        <v>-1</v>
      </c>
    </row>
    <row r="55" spans="1:16" x14ac:dyDescent="0.2">
      <c r="A55" s="3">
        <v>75</v>
      </c>
      <c r="B55" s="3" t="s">
        <v>202</v>
      </c>
      <c r="C55" s="3">
        <v>2019</v>
      </c>
      <c r="D55" s="3">
        <v>0</v>
      </c>
      <c r="E55" s="3">
        <v>10</v>
      </c>
      <c r="F55" s="3">
        <v>0</v>
      </c>
      <c r="G55" s="3">
        <v>0</v>
      </c>
      <c r="H55" s="3">
        <v>1</v>
      </c>
      <c r="I55" s="3">
        <v>0</v>
      </c>
      <c r="J55" s="3">
        <v>1</v>
      </c>
      <c r="K55" s="3">
        <v>78</v>
      </c>
      <c r="L55" s="3">
        <v>0</v>
      </c>
      <c r="M55" s="3">
        <v>0</v>
      </c>
      <c r="N55" s="3">
        <v>53202630</v>
      </c>
      <c r="O55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98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ROW(Source!A32)</f>
        <v>32</v>
      </c>
      <c r="B1">
        <v>53202630</v>
      </c>
      <c r="C1">
        <v>53203139</v>
      </c>
      <c r="D1">
        <v>48814733</v>
      </c>
      <c r="E1">
        <v>25</v>
      </c>
      <c r="F1">
        <v>1</v>
      </c>
      <c r="G1">
        <v>25</v>
      </c>
      <c r="H1">
        <v>1</v>
      </c>
      <c r="I1" t="s">
        <v>204</v>
      </c>
      <c r="J1" t="s">
        <v>3</v>
      </c>
      <c r="K1" t="s">
        <v>205</v>
      </c>
      <c r="L1">
        <v>1191</v>
      </c>
      <c r="N1">
        <v>1013</v>
      </c>
      <c r="O1" t="s">
        <v>206</v>
      </c>
      <c r="P1" t="s">
        <v>206</v>
      </c>
      <c r="Q1">
        <v>1</v>
      </c>
      <c r="W1">
        <v>0</v>
      </c>
      <c r="X1">
        <v>476480486</v>
      </c>
      <c r="Y1">
        <v>115.06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115.06</v>
      </c>
      <c r="AU1" t="s">
        <v>3</v>
      </c>
      <c r="AV1">
        <v>1</v>
      </c>
      <c r="AW1">
        <v>2</v>
      </c>
      <c r="AX1">
        <v>53203144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Y1*Source!I32</f>
        <v>422.84550000000002</v>
      </c>
      <c r="CY1">
        <f>AD1</f>
        <v>0</v>
      </c>
      <c r="CZ1">
        <f>AH1</f>
        <v>0</v>
      </c>
      <c r="DA1">
        <f>AL1</f>
        <v>1</v>
      </c>
      <c r="DB1">
        <f t="shared" ref="DB1:DB11" si="0">ROUND(ROUND(AT1*CZ1,2),6)</f>
        <v>0</v>
      </c>
      <c r="DC1">
        <f t="shared" ref="DC1:DC11" si="1">ROUND(ROUND(AT1*AG1,2),6)</f>
        <v>0</v>
      </c>
    </row>
    <row r="2" spans="1:107" x14ac:dyDescent="0.2">
      <c r="A2">
        <f>ROW(Source!A32)</f>
        <v>32</v>
      </c>
      <c r="B2">
        <v>53202630</v>
      </c>
      <c r="C2">
        <v>53203139</v>
      </c>
      <c r="D2">
        <v>48826950</v>
      </c>
      <c r="E2">
        <v>1</v>
      </c>
      <c r="F2">
        <v>1</v>
      </c>
      <c r="G2">
        <v>25</v>
      </c>
      <c r="H2">
        <v>2</v>
      </c>
      <c r="I2" t="s">
        <v>207</v>
      </c>
      <c r="J2" t="s">
        <v>208</v>
      </c>
      <c r="K2" t="s">
        <v>209</v>
      </c>
      <c r="L2">
        <v>1368</v>
      </c>
      <c r="N2">
        <v>1011</v>
      </c>
      <c r="O2" t="s">
        <v>210</v>
      </c>
      <c r="P2" t="s">
        <v>210</v>
      </c>
      <c r="Q2">
        <v>1</v>
      </c>
      <c r="W2">
        <v>0</v>
      </c>
      <c r="X2">
        <v>-1632395109</v>
      </c>
      <c r="Y2">
        <v>3</v>
      </c>
      <c r="AA2">
        <v>0</v>
      </c>
      <c r="AB2">
        <v>779.95</v>
      </c>
      <c r="AC2">
        <v>426.8</v>
      </c>
      <c r="AD2">
        <v>0</v>
      </c>
      <c r="AE2">
        <v>0</v>
      </c>
      <c r="AF2">
        <v>779.95</v>
      </c>
      <c r="AG2">
        <v>426.8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3</v>
      </c>
      <c r="AU2" t="s">
        <v>3</v>
      </c>
      <c r="AV2">
        <v>0</v>
      </c>
      <c r="AW2">
        <v>2</v>
      </c>
      <c r="AX2">
        <v>53203145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Y2*Source!I32</f>
        <v>11.024999999999999</v>
      </c>
      <c r="CY2">
        <f>AB2</f>
        <v>779.95</v>
      </c>
      <c r="CZ2">
        <f>AF2</f>
        <v>779.95</v>
      </c>
      <c r="DA2">
        <f>AJ2</f>
        <v>1</v>
      </c>
      <c r="DB2">
        <f t="shared" si="0"/>
        <v>2339.85</v>
      </c>
      <c r="DC2">
        <f t="shared" si="1"/>
        <v>1280.4000000000001</v>
      </c>
    </row>
    <row r="3" spans="1:107" x14ac:dyDescent="0.2">
      <c r="A3">
        <f>ROW(Source!A32)</f>
        <v>32</v>
      </c>
      <c r="B3">
        <v>53202630</v>
      </c>
      <c r="C3">
        <v>53203139</v>
      </c>
      <c r="D3">
        <v>48831526</v>
      </c>
      <c r="E3">
        <v>1</v>
      </c>
      <c r="F3">
        <v>1</v>
      </c>
      <c r="G3">
        <v>25</v>
      </c>
      <c r="H3">
        <v>3</v>
      </c>
      <c r="I3" t="s">
        <v>211</v>
      </c>
      <c r="J3" t="s">
        <v>212</v>
      </c>
      <c r="K3" t="s">
        <v>213</v>
      </c>
      <c r="L3">
        <v>1339</v>
      </c>
      <c r="N3">
        <v>1007</v>
      </c>
      <c r="O3" t="s">
        <v>50</v>
      </c>
      <c r="P3" t="s">
        <v>50</v>
      </c>
      <c r="Q3">
        <v>1</v>
      </c>
      <c r="W3">
        <v>0</v>
      </c>
      <c r="X3">
        <v>589210780</v>
      </c>
      <c r="Y3">
        <v>10.5</v>
      </c>
      <c r="AA3">
        <v>810.33</v>
      </c>
      <c r="AB3">
        <v>0</v>
      </c>
      <c r="AC3">
        <v>0</v>
      </c>
      <c r="AD3">
        <v>0</v>
      </c>
      <c r="AE3">
        <v>810.33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10.5</v>
      </c>
      <c r="AU3" t="s">
        <v>3</v>
      </c>
      <c r="AV3">
        <v>0</v>
      </c>
      <c r="AW3">
        <v>2</v>
      </c>
      <c r="AX3">
        <v>53203146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Y3*Source!I32</f>
        <v>38.587499999999999</v>
      </c>
      <c r="CY3">
        <f>AA3</f>
        <v>810.33</v>
      </c>
      <c r="CZ3">
        <f>AE3</f>
        <v>810.33</v>
      </c>
      <c r="DA3">
        <f>AI3</f>
        <v>1</v>
      </c>
      <c r="DB3">
        <f t="shared" si="0"/>
        <v>8508.4699999999993</v>
      </c>
      <c r="DC3">
        <f t="shared" si="1"/>
        <v>0</v>
      </c>
    </row>
    <row r="4" spans="1:107" x14ac:dyDescent="0.2">
      <c r="A4">
        <f>ROW(Source!A32)</f>
        <v>32</v>
      </c>
      <c r="B4">
        <v>53202630</v>
      </c>
      <c r="C4">
        <v>53203139</v>
      </c>
      <c r="D4">
        <v>48831517</v>
      </c>
      <c r="E4">
        <v>1</v>
      </c>
      <c r="F4">
        <v>1</v>
      </c>
      <c r="G4">
        <v>25</v>
      </c>
      <c r="H4">
        <v>3</v>
      </c>
      <c r="I4" t="s">
        <v>214</v>
      </c>
      <c r="J4" t="s">
        <v>215</v>
      </c>
      <c r="K4" t="s">
        <v>216</v>
      </c>
      <c r="L4">
        <v>1339</v>
      </c>
      <c r="N4">
        <v>1007</v>
      </c>
      <c r="O4" t="s">
        <v>50</v>
      </c>
      <c r="P4" t="s">
        <v>50</v>
      </c>
      <c r="Q4">
        <v>1</v>
      </c>
      <c r="W4">
        <v>0</v>
      </c>
      <c r="X4">
        <v>1949937456</v>
      </c>
      <c r="Y4">
        <v>31.5</v>
      </c>
      <c r="AA4">
        <v>753.67</v>
      </c>
      <c r="AB4">
        <v>0</v>
      </c>
      <c r="AC4">
        <v>0</v>
      </c>
      <c r="AD4">
        <v>0</v>
      </c>
      <c r="AE4">
        <v>753.67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31.5</v>
      </c>
      <c r="AU4" t="s">
        <v>3</v>
      </c>
      <c r="AV4">
        <v>0</v>
      </c>
      <c r="AW4">
        <v>2</v>
      </c>
      <c r="AX4">
        <v>53203147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Y4*Source!I32</f>
        <v>115.76249999999999</v>
      </c>
      <c r="CY4">
        <f>AA4</f>
        <v>753.67</v>
      </c>
      <c r="CZ4">
        <f>AE4</f>
        <v>753.67</v>
      </c>
      <c r="DA4">
        <f>AI4</f>
        <v>1</v>
      </c>
      <c r="DB4">
        <f t="shared" si="0"/>
        <v>23740.61</v>
      </c>
      <c r="DC4">
        <f t="shared" si="1"/>
        <v>0</v>
      </c>
    </row>
    <row r="5" spans="1:107" x14ac:dyDescent="0.2">
      <c r="A5">
        <f>ROW(Source!A33)</f>
        <v>33</v>
      </c>
      <c r="B5">
        <v>53202630</v>
      </c>
      <c r="C5">
        <v>53203148</v>
      </c>
      <c r="D5">
        <v>48814733</v>
      </c>
      <c r="E5">
        <v>25</v>
      </c>
      <c r="F5">
        <v>1</v>
      </c>
      <c r="G5">
        <v>25</v>
      </c>
      <c r="H5">
        <v>1</v>
      </c>
      <c r="I5" t="s">
        <v>204</v>
      </c>
      <c r="J5" t="s">
        <v>3</v>
      </c>
      <c r="K5" t="s">
        <v>205</v>
      </c>
      <c r="L5">
        <v>1191</v>
      </c>
      <c r="N5">
        <v>1013</v>
      </c>
      <c r="O5" t="s">
        <v>206</v>
      </c>
      <c r="P5" t="s">
        <v>206</v>
      </c>
      <c r="Q5">
        <v>1</v>
      </c>
      <c r="W5">
        <v>0</v>
      </c>
      <c r="X5">
        <v>476480486</v>
      </c>
      <c r="Y5">
        <v>178.61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178.61</v>
      </c>
      <c r="AU5" t="s">
        <v>3</v>
      </c>
      <c r="AV5">
        <v>1</v>
      </c>
      <c r="AW5">
        <v>2</v>
      </c>
      <c r="AX5">
        <v>53203152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Y5*Source!I33</f>
        <v>218.79725000000002</v>
      </c>
      <c r="CY5">
        <f>AD5</f>
        <v>0</v>
      </c>
      <c r="CZ5">
        <f>AH5</f>
        <v>0</v>
      </c>
      <c r="DA5">
        <f>AL5</f>
        <v>1</v>
      </c>
      <c r="DB5">
        <f t="shared" si="0"/>
        <v>0</v>
      </c>
      <c r="DC5">
        <f t="shared" si="1"/>
        <v>0</v>
      </c>
    </row>
    <row r="6" spans="1:107" x14ac:dyDescent="0.2">
      <c r="A6">
        <f>ROW(Source!A33)</f>
        <v>33</v>
      </c>
      <c r="B6">
        <v>53202630</v>
      </c>
      <c r="C6">
        <v>53203148</v>
      </c>
      <c r="D6">
        <v>48831526</v>
      </c>
      <c r="E6">
        <v>1</v>
      </c>
      <c r="F6">
        <v>1</v>
      </c>
      <c r="G6">
        <v>25</v>
      </c>
      <c r="H6">
        <v>3</v>
      </c>
      <c r="I6" t="s">
        <v>211</v>
      </c>
      <c r="J6" t="s">
        <v>212</v>
      </c>
      <c r="K6" t="s">
        <v>213</v>
      </c>
      <c r="L6">
        <v>1339</v>
      </c>
      <c r="N6">
        <v>1007</v>
      </c>
      <c r="O6" t="s">
        <v>50</v>
      </c>
      <c r="P6" t="s">
        <v>50</v>
      </c>
      <c r="Q6">
        <v>1</v>
      </c>
      <c r="W6">
        <v>0</v>
      </c>
      <c r="X6">
        <v>589210780</v>
      </c>
      <c r="Y6">
        <v>10.5</v>
      </c>
      <c r="AA6">
        <v>810.33</v>
      </c>
      <c r="AB6">
        <v>0</v>
      </c>
      <c r="AC6">
        <v>0</v>
      </c>
      <c r="AD6">
        <v>0</v>
      </c>
      <c r="AE6">
        <v>810.33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10.5</v>
      </c>
      <c r="AU6" t="s">
        <v>3</v>
      </c>
      <c r="AV6">
        <v>0</v>
      </c>
      <c r="AW6">
        <v>2</v>
      </c>
      <c r="AX6">
        <v>53203153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Y6*Source!I33</f>
        <v>12.862500000000001</v>
      </c>
      <c r="CY6">
        <f>AA6</f>
        <v>810.33</v>
      </c>
      <c r="CZ6">
        <f>AE6</f>
        <v>810.33</v>
      </c>
      <c r="DA6">
        <f>AI6</f>
        <v>1</v>
      </c>
      <c r="DB6">
        <f t="shared" si="0"/>
        <v>8508.4699999999993</v>
      </c>
      <c r="DC6">
        <f t="shared" si="1"/>
        <v>0</v>
      </c>
    </row>
    <row r="7" spans="1:107" x14ac:dyDescent="0.2">
      <c r="A7">
        <f>ROW(Source!A33)</f>
        <v>33</v>
      </c>
      <c r="B7">
        <v>53202630</v>
      </c>
      <c r="C7">
        <v>53203148</v>
      </c>
      <c r="D7">
        <v>48831517</v>
      </c>
      <c r="E7">
        <v>1</v>
      </c>
      <c r="F7">
        <v>1</v>
      </c>
      <c r="G7">
        <v>25</v>
      </c>
      <c r="H7">
        <v>3</v>
      </c>
      <c r="I7" t="s">
        <v>214</v>
      </c>
      <c r="J7" t="s">
        <v>215</v>
      </c>
      <c r="K7" t="s">
        <v>216</v>
      </c>
      <c r="L7">
        <v>1339</v>
      </c>
      <c r="N7">
        <v>1007</v>
      </c>
      <c r="O7" t="s">
        <v>50</v>
      </c>
      <c r="P7" t="s">
        <v>50</v>
      </c>
      <c r="Q7">
        <v>1</v>
      </c>
      <c r="W7">
        <v>0</v>
      </c>
      <c r="X7">
        <v>1949937456</v>
      </c>
      <c r="Y7">
        <v>31.5</v>
      </c>
      <c r="AA7">
        <v>753.67</v>
      </c>
      <c r="AB7">
        <v>0</v>
      </c>
      <c r="AC7">
        <v>0</v>
      </c>
      <c r="AD7">
        <v>0</v>
      </c>
      <c r="AE7">
        <v>753.67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31.5</v>
      </c>
      <c r="AU7" t="s">
        <v>3</v>
      </c>
      <c r="AV7">
        <v>0</v>
      </c>
      <c r="AW7">
        <v>2</v>
      </c>
      <c r="AX7">
        <v>53203154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Y7*Source!I33</f>
        <v>38.587500000000006</v>
      </c>
      <c r="CY7">
        <f>AA7</f>
        <v>753.67</v>
      </c>
      <c r="CZ7">
        <f>AE7</f>
        <v>753.67</v>
      </c>
      <c r="DA7">
        <f>AI7</f>
        <v>1</v>
      </c>
      <c r="DB7">
        <f t="shared" si="0"/>
        <v>23740.61</v>
      </c>
      <c r="DC7">
        <f t="shared" si="1"/>
        <v>0</v>
      </c>
    </row>
    <row r="8" spans="1:107" x14ac:dyDescent="0.2">
      <c r="A8">
        <f>ROW(Source!A34)</f>
        <v>34</v>
      </c>
      <c r="B8">
        <v>53202630</v>
      </c>
      <c r="C8">
        <v>53203155</v>
      </c>
      <c r="D8">
        <v>48814733</v>
      </c>
      <c r="E8">
        <v>25</v>
      </c>
      <c r="F8">
        <v>1</v>
      </c>
      <c r="G8">
        <v>25</v>
      </c>
      <c r="H8">
        <v>1</v>
      </c>
      <c r="I8" t="s">
        <v>204</v>
      </c>
      <c r="J8" t="s">
        <v>3</v>
      </c>
      <c r="K8" t="s">
        <v>205</v>
      </c>
      <c r="L8">
        <v>1191</v>
      </c>
      <c r="N8">
        <v>1013</v>
      </c>
      <c r="O8" t="s">
        <v>206</v>
      </c>
      <c r="P8" t="s">
        <v>206</v>
      </c>
      <c r="Q8">
        <v>1</v>
      </c>
      <c r="W8">
        <v>0</v>
      </c>
      <c r="X8">
        <v>476480486</v>
      </c>
      <c r="Y8">
        <v>83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83</v>
      </c>
      <c r="AU8" t="s">
        <v>3</v>
      </c>
      <c r="AV8">
        <v>1</v>
      </c>
      <c r="AW8">
        <v>2</v>
      </c>
      <c r="AX8">
        <v>53203157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Y8*Source!I34</f>
        <v>42.703499999999998</v>
      </c>
      <c r="CY8">
        <f>AD8</f>
        <v>0</v>
      </c>
      <c r="CZ8">
        <f>AH8</f>
        <v>0</v>
      </c>
      <c r="DA8">
        <f>AL8</f>
        <v>1</v>
      </c>
      <c r="DB8">
        <f t="shared" si="0"/>
        <v>0</v>
      </c>
      <c r="DC8">
        <f t="shared" si="1"/>
        <v>0</v>
      </c>
    </row>
    <row r="9" spans="1:107" x14ac:dyDescent="0.2">
      <c r="A9">
        <f>ROW(Source!A35)</f>
        <v>35</v>
      </c>
      <c r="B9">
        <v>53202630</v>
      </c>
      <c r="C9">
        <v>53203158</v>
      </c>
      <c r="D9">
        <v>48814733</v>
      </c>
      <c r="E9">
        <v>25</v>
      </c>
      <c r="F9">
        <v>1</v>
      </c>
      <c r="G9">
        <v>25</v>
      </c>
      <c r="H9">
        <v>1</v>
      </c>
      <c r="I9" t="s">
        <v>204</v>
      </c>
      <c r="J9" t="s">
        <v>3</v>
      </c>
      <c r="K9" t="s">
        <v>205</v>
      </c>
      <c r="L9">
        <v>1191</v>
      </c>
      <c r="N9">
        <v>1013</v>
      </c>
      <c r="O9" t="s">
        <v>206</v>
      </c>
      <c r="P9" t="s">
        <v>206</v>
      </c>
      <c r="Q9">
        <v>1</v>
      </c>
      <c r="W9">
        <v>0</v>
      </c>
      <c r="X9">
        <v>476480486</v>
      </c>
      <c r="Y9">
        <v>0.65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0.65</v>
      </c>
      <c r="AU9" t="s">
        <v>3</v>
      </c>
      <c r="AV9">
        <v>1</v>
      </c>
      <c r="AW9">
        <v>2</v>
      </c>
      <c r="AX9">
        <v>53203161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Y9*Source!I35</f>
        <v>10.03275</v>
      </c>
      <c r="CY9">
        <f>AD9</f>
        <v>0</v>
      </c>
      <c r="CZ9">
        <f>AH9</f>
        <v>0</v>
      </c>
      <c r="DA9">
        <f>AL9</f>
        <v>1</v>
      </c>
      <c r="DB9">
        <f t="shared" si="0"/>
        <v>0</v>
      </c>
      <c r="DC9">
        <f t="shared" si="1"/>
        <v>0</v>
      </c>
    </row>
    <row r="10" spans="1:107" x14ac:dyDescent="0.2">
      <c r="A10">
        <f>ROW(Source!A35)</f>
        <v>35</v>
      </c>
      <c r="B10">
        <v>53202630</v>
      </c>
      <c r="C10">
        <v>53203158</v>
      </c>
      <c r="D10">
        <v>48826951</v>
      </c>
      <c r="E10">
        <v>1</v>
      </c>
      <c r="F10">
        <v>1</v>
      </c>
      <c r="G10">
        <v>25</v>
      </c>
      <c r="H10">
        <v>2</v>
      </c>
      <c r="I10" t="s">
        <v>217</v>
      </c>
      <c r="J10" t="s">
        <v>218</v>
      </c>
      <c r="K10" t="s">
        <v>219</v>
      </c>
      <c r="L10">
        <v>1368</v>
      </c>
      <c r="N10">
        <v>1011</v>
      </c>
      <c r="O10" t="s">
        <v>210</v>
      </c>
      <c r="P10" t="s">
        <v>210</v>
      </c>
      <c r="Q10">
        <v>1</v>
      </c>
      <c r="W10">
        <v>0</v>
      </c>
      <c r="X10">
        <v>-1596360565</v>
      </c>
      <c r="Y10">
        <v>0.54</v>
      </c>
      <c r="AA10">
        <v>0</v>
      </c>
      <c r="AB10">
        <v>2191.2199999999998</v>
      </c>
      <c r="AC10">
        <v>808.59</v>
      </c>
      <c r="AD10">
        <v>0</v>
      </c>
      <c r="AE10">
        <v>0</v>
      </c>
      <c r="AF10">
        <v>2191.2199999999998</v>
      </c>
      <c r="AG10">
        <v>808.59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0.54</v>
      </c>
      <c r="AU10" t="s">
        <v>3</v>
      </c>
      <c r="AV10">
        <v>0</v>
      </c>
      <c r="AW10">
        <v>2</v>
      </c>
      <c r="AX10">
        <v>53203162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Y10*Source!I35</f>
        <v>8.3349000000000011</v>
      </c>
      <c r="CY10">
        <f>AB10</f>
        <v>2191.2199999999998</v>
      </c>
      <c r="CZ10">
        <f>AF10</f>
        <v>2191.2199999999998</v>
      </c>
      <c r="DA10">
        <f>AJ10</f>
        <v>1</v>
      </c>
      <c r="DB10">
        <f t="shared" si="0"/>
        <v>1183.26</v>
      </c>
      <c r="DC10">
        <f t="shared" si="1"/>
        <v>436.64</v>
      </c>
    </row>
    <row r="11" spans="1:107" x14ac:dyDescent="0.2">
      <c r="A11">
        <f>ROW(Source!A36)</f>
        <v>36</v>
      </c>
      <c r="B11">
        <v>53202630</v>
      </c>
      <c r="C11">
        <v>53203163</v>
      </c>
      <c r="D11">
        <v>48827727</v>
      </c>
      <c r="E11">
        <v>1</v>
      </c>
      <c r="F11">
        <v>1</v>
      </c>
      <c r="G11">
        <v>25</v>
      </c>
      <c r="H11">
        <v>2</v>
      </c>
      <c r="I11" t="s">
        <v>220</v>
      </c>
      <c r="J11" t="s">
        <v>221</v>
      </c>
      <c r="K11" t="s">
        <v>222</v>
      </c>
      <c r="L11">
        <v>1368</v>
      </c>
      <c r="N11">
        <v>1011</v>
      </c>
      <c r="O11" t="s">
        <v>210</v>
      </c>
      <c r="P11" t="s">
        <v>210</v>
      </c>
      <c r="Q11">
        <v>1</v>
      </c>
      <c r="W11">
        <v>0</v>
      </c>
      <c r="X11">
        <v>1852708047</v>
      </c>
      <c r="Y11">
        <v>3.1E-2</v>
      </c>
      <c r="AA11">
        <v>0</v>
      </c>
      <c r="AB11">
        <v>993.6</v>
      </c>
      <c r="AC11">
        <v>301.8</v>
      </c>
      <c r="AD11">
        <v>0</v>
      </c>
      <c r="AE11">
        <v>0</v>
      </c>
      <c r="AF11">
        <v>993.6</v>
      </c>
      <c r="AG11">
        <v>301.8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3.1E-2</v>
      </c>
      <c r="AU11" t="s">
        <v>3</v>
      </c>
      <c r="AV11">
        <v>0</v>
      </c>
      <c r="AW11">
        <v>2</v>
      </c>
      <c r="AX11">
        <v>53203165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Y11*Source!I36</f>
        <v>6.3798000000000004</v>
      </c>
      <c r="CY11">
        <f>AB11</f>
        <v>993.6</v>
      </c>
      <c r="CZ11">
        <f>AF11</f>
        <v>993.6</v>
      </c>
      <c r="DA11">
        <f>AJ11</f>
        <v>1</v>
      </c>
      <c r="DB11">
        <f t="shared" si="0"/>
        <v>30.8</v>
      </c>
      <c r="DC11">
        <f t="shared" si="1"/>
        <v>9.36</v>
      </c>
    </row>
    <row r="12" spans="1:107" x14ac:dyDescent="0.2">
      <c r="A12">
        <f>ROW(Source!A37)</f>
        <v>37</v>
      </c>
      <c r="B12">
        <v>53202630</v>
      </c>
      <c r="C12">
        <v>53203166</v>
      </c>
      <c r="D12">
        <v>48827727</v>
      </c>
      <c r="E12">
        <v>1</v>
      </c>
      <c r="F12">
        <v>1</v>
      </c>
      <c r="G12">
        <v>25</v>
      </c>
      <c r="H12">
        <v>2</v>
      </c>
      <c r="I12" t="s">
        <v>220</v>
      </c>
      <c r="J12" t="s">
        <v>221</v>
      </c>
      <c r="K12" t="s">
        <v>222</v>
      </c>
      <c r="L12">
        <v>1368</v>
      </c>
      <c r="N12">
        <v>1011</v>
      </c>
      <c r="O12" t="s">
        <v>210</v>
      </c>
      <c r="P12" t="s">
        <v>210</v>
      </c>
      <c r="Q12">
        <v>1</v>
      </c>
      <c r="W12">
        <v>0</v>
      </c>
      <c r="X12">
        <v>1852708047</v>
      </c>
      <c r="Y12">
        <v>0.41000000000000003</v>
      </c>
      <c r="AA12">
        <v>0</v>
      </c>
      <c r="AB12">
        <v>993.6</v>
      </c>
      <c r="AC12">
        <v>301.8</v>
      </c>
      <c r="AD12">
        <v>0</v>
      </c>
      <c r="AE12">
        <v>0</v>
      </c>
      <c r="AF12">
        <v>993.6</v>
      </c>
      <c r="AG12">
        <v>301.8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1</v>
      </c>
      <c r="AQ12">
        <v>0</v>
      </c>
      <c r="AR12">
        <v>0</v>
      </c>
      <c r="AS12" t="s">
        <v>3</v>
      </c>
      <c r="AT12">
        <v>0.01</v>
      </c>
      <c r="AU12" t="s">
        <v>57</v>
      </c>
      <c r="AV12">
        <v>0</v>
      </c>
      <c r="AW12">
        <v>2</v>
      </c>
      <c r="AX12">
        <v>53203168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Y12*Source!I37</f>
        <v>84.378000000000014</v>
      </c>
      <c r="CY12">
        <f>AB12</f>
        <v>993.6</v>
      </c>
      <c r="CZ12">
        <f>AF12</f>
        <v>993.6</v>
      </c>
      <c r="DA12">
        <f>AJ12</f>
        <v>1</v>
      </c>
      <c r="DB12">
        <f>ROUND((ROUND(AT12*CZ12,2)*41),6)</f>
        <v>407.54</v>
      </c>
      <c r="DC12">
        <f>ROUND((ROUND(AT12*AG12,2)*41),6)</f>
        <v>123.82</v>
      </c>
    </row>
    <row r="13" spans="1:107" x14ac:dyDescent="0.2">
      <c r="A13">
        <f>ROW(Source!A38)</f>
        <v>38</v>
      </c>
      <c r="B13">
        <v>53202630</v>
      </c>
      <c r="C13">
        <v>53203169</v>
      </c>
      <c r="D13">
        <v>48814733</v>
      </c>
      <c r="E13">
        <v>25</v>
      </c>
      <c r="F13">
        <v>1</v>
      </c>
      <c r="G13">
        <v>25</v>
      </c>
      <c r="H13">
        <v>1</v>
      </c>
      <c r="I13" t="s">
        <v>204</v>
      </c>
      <c r="J13" t="s">
        <v>3</v>
      </c>
      <c r="K13" t="s">
        <v>205</v>
      </c>
      <c r="L13">
        <v>1191</v>
      </c>
      <c r="N13">
        <v>1013</v>
      </c>
      <c r="O13" t="s">
        <v>206</v>
      </c>
      <c r="P13" t="s">
        <v>206</v>
      </c>
      <c r="Q13">
        <v>1</v>
      </c>
      <c r="W13">
        <v>0</v>
      </c>
      <c r="X13">
        <v>476480486</v>
      </c>
      <c r="Y13">
        <v>363.41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363.41</v>
      </c>
      <c r="AU13" t="s">
        <v>3</v>
      </c>
      <c r="AV13">
        <v>1</v>
      </c>
      <c r="AW13">
        <v>2</v>
      </c>
      <c r="AX13">
        <v>53203176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Y13*Source!I38</f>
        <v>1780.7090000000003</v>
      </c>
      <c r="CY13">
        <f>AD13</f>
        <v>0</v>
      </c>
      <c r="CZ13">
        <f>AH13</f>
        <v>0</v>
      </c>
      <c r="DA13">
        <f>AL13</f>
        <v>1</v>
      </c>
      <c r="DB13">
        <f t="shared" ref="DB13:DB60" si="2">ROUND(ROUND(AT13*CZ13,2),6)</f>
        <v>0</v>
      </c>
      <c r="DC13">
        <f t="shared" ref="DC13:DC60" si="3">ROUND(ROUND(AT13*AG13,2),6)</f>
        <v>0</v>
      </c>
    </row>
    <row r="14" spans="1:107" x14ac:dyDescent="0.2">
      <c r="A14">
        <f>ROW(Source!A38)</f>
        <v>38</v>
      </c>
      <c r="B14">
        <v>53202630</v>
      </c>
      <c r="C14">
        <v>53203169</v>
      </c>
      <c r="D14">
        <v>48827823</v>
      </c>
      <c r="E14">
        <v>1</v>
      </c>
      <c r="F14">
        <v>1</v>
      </c>
      <c r="G14">
        <v>25</v>
      </c>
      <c r="H14">
        <v>2</v>
      </c>
      <c r="I14" t="s">
        <v>223</v>
      </c>
      <c r="J14" t="s">
        <v>224</v>
      </c>
      <c r="K14" t="s">
        <v>225</v>
      </c>
      <c r="L14">
        <v>1368</v>
      </c>
      <c r="N14">
        <v>1011</v>
      </c>
      <c r="O14" t="s">
        <v>210</v>
      </c>
      <c r="P14" t="s">
        <v>210</v>
      </c>
      <c r="Q14">
        <v>1</v>
      </c>
      <c r="W14">
        <v>0</v>
      </c>
      <c r="X14">
        <v>1477925804</v>
      </c>
      <c r="Y14">
        <v>1.52</v>
      </c>
      <c r="AA14">
        <v>0</v>
      </c>
      <c r="AB14">
        <v>285.44</v>
      </c>
      <c r="AC14">
        <v>0.28000000000000003</v>
      </c>
      <c r="AD14">
        <v>0</v>
      </c>
      <c r="AE14">
        <v>0</v>
      </c>
      <c r="AF14">
        <v>285.44</v>
      </c>
      <c r="AG14">
        <v>0.28000000000000003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1.52</v>
      </c>
      <c r="AU14" t="s">
        <v>3</v>
      </c>
      <c r="AV14">
        <v>0</v>
      </c>
      <c r="AW14">
        <v>2</v>
      </c>
      <c r="AX14">
        <v>53203177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Y14*Source!I38</f>
        <v>7.4480000000000004</v>
      </c>
      <c r="CY14">
        <f>AB14</f>
        <v>285.44</v>
      </c>
      <c r="CZ14">
        <f>AF14</f>
        <v>285.44</v>
      </c>
      <c r="DA14">
        <f>AJ14</f>
        <v>1</v>
      </c>
      <c r="DB14">
        <f t="shared" si="2"/>
        <v>433.87</v>
      </c>
      <c r="DC14">
        <f t="shared" si="3"/>
        <v>0.43</v>
      </c>
    </row>
    <row r="15" spans="1:107" x14ac:dyDescent="0.2">
      <c r="A15">
        <f>ROW(Source!A38)</f>
        <v>38</v>
      </c>
      <c r="B15">
        <v>53202630</v>
      </c>
      <c r="C15">
        <v>53203169</v>
      </c>
      <c r="D15">
        <v>48828895</v>
      </c>
      <c r="E15">
        <v>1</v>
      </c>
      <c r="F15">
        <v>1</v>
      </c>
      <c r="G15">
        <v>25</v>
      </c>
      <c r="H15">
        <v>3</v>
      </c>
      <c r="I15" t="s">
        <v>226</v>
      </c>
      <c r="J15" t="s">
        <v>227</v>
      </c>
      <c r="K15" t="s">
        <v>228</v>
      </c>
      <c r="L15">
        <v>1348</v>
      </c>
      <c r="N15">
        <v>1009</v>
      </c>
      <c r="O15" t="s">
        <v>229</v>
      </c>
      <c r="P15" t="s">
        <v>229</v>
      </c>
      <c r="Q15">
        <v>1000</v>
      </c>
      <c r="W15">
        <v>0</v>
      </c>
      <c r="X15">
        <v>-785747182</v>
      </c>
      <c r="Y15">
        <v>0.11</v>
      </c>
      <c r="AA15">
        <v>52914.53</v>
      </c>
      <c r="AB15">
        <v>0</v>
      </c>
      <c r="AC15">
        <v>0</v>
      </c>
      <c r="AD15">
        <v>0</v>
      </c>
      <c r="AE15">
        <v>52914.53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0.11</v>
      </c>
      <c r="AU15" t="s">
        <v>3</v>
      </c>
      <c r="AV15">
        <v>0</v>
      </c>
      <c r="AW15">
        <v>2</v>
      </c>
      <c r="AX15">
        <v>53203178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Y15*Source!I38</f>
        <v>0.53900000000000003</v>
      </c>
      <c r="CY15">
        <f>AA15</f>
        <v>52914.53</v>
      </c>
      <c r="CZ15">
        <f>AE15</f>
        <v>52914.53</v>
      </c>
      <c r="DA15">
        <f>AI15</f>
        <v>1</v>
      </c>
      <c r="DB15">
        <f t="shared" si="2"/>
        <v>5820.6</v>
      </c>
      <c r="DC15">
        <f t="shared" si="3"/>
        <v>0</v>
      </c>
    </row>
    <row r="16" spans="1:107" x14ac:dyDescent="0.2">
      <c r="A16">
        <f>ROW(Source!A38)</f>
        <v>38</v>
      </c>
      <c r="B16">
        <v>53202630</v>
      </c>
      <c r="C16">
        <v>53203169</v>
      </c>
      <c r="D16">
        <v>48829630</v>
      </c>
      <c r="E16">
        <v>1</v>
      </c>
      <c r="F16">
        <v>1</v>
      </c>
      <c r="G16">
        <v>25</v>
      </c>
      <c r="H16">
        <v>3</v>
      </c>
      <c r="I16" t="s">
        <v>230</v>
      </c>
      <c r="J16" t="s">
        <v>231</v>
      </c>
      <c r="K16" t="s">
        <v>232</v>
      </c>
      <c r="L16">
        <v>1346</v>
      </c>
      <c r="N16">
        <v>1009</v>
      </c>
      <c r="O16" t="s">
        <v>233</v>
      </c>
      <c r="P16" t="s">
        <v>233</v>
      </c>
      <c r="Q16">
        <v>1</v>
      </c>
      <c r="W16">
        <v>0</v>
      </c>
      <c r="X16">
        <v>-1657742588</v>
      </c>
      <c r="Y16">
        <v>5</v>
      </c>
      <c r="AA16">
        <v>170.28</v>
      </c>
      <c r="AB16">
        <v>0</v>
      </c>
      <c r="AC16">
        <v>0</v>
      </c>
      <c r="AD16">
        <v>0</v>
      </c>
      <c r="AE16">
        <v>170.28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5</v>
      </c>
      <c r="AU16" t="s">
        <v>3</v>
      </c>
      <c r="AV16">
        <v>0</v>
      </c>
      <c r="AW16">
        <v>2</v>
      </c>
      <c r="AX16">
        <v>53203179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Y16*Source!I38</f>
        <v>24.5</v>
      </c>
      <c r="CY16">
        <f>AA16</f>
        <v>170.28</v>
      </c>
      <c r="CZ16">
        <f>AE16</f>
        <v>170.28</v>
      </c>
      <c r="DA16">
        <f>AI16</f>
        <v>1</v>
      </c>
      <c r="DB16">
        <f t="shared" si="2"/>
        <v>851.4</v>
      </c>
      <c r="DC16">
        <f t="shared" si="3"/>
        <v>0</v>
      </c>
    </row>
    <row r="17" spans="1:107" x14ac:dyDescent="0.2">
      <c r="A17">
        <f>ROW(Source!A38)</f>
        <v>38</v>
      </c>
      <c r="B17">
        <v>53202630</v>
      </c>
      <c r="C17">
        <v>53203169</v>
      </c>
      <c r="D17">
        <v>48828522</v>
      </c>
      <c r="E17">
        <v>1</v>
      </c>
      <c r="F17">
        <v>1</v>
      </c>
      <c r="G17">
        <v>25</v>
      </c>
      <c r="H17">
        <v>3</v>
      </c>
      <c r="I17" t="s">
        <v>234</v>
      </c>
      <c r="J17" t="s">
        <v>235</v>
      </c>
      <c r="K17" t="s">
        <v>236</v>
      </c>
      <c r="L17">
        <v>1339</v>
      </c>
      <c r="N17">
        <v>1007</v>
      </c>
      <c r="O17" t="s">
        <v>50</v>
      </c>
      <c r="P17" t="s">
        <v>50</v>
      </c>
      <c r="Q17">
        <v>1</v>
      </c>
      <c r="W17">
        <v>0</v>
      </c>
      <c r="X17">
        <v>770955183</v>
      </c>
      <c r="Y17">
        <v>2.7</v>
      </c>
      <c r="AA17">
        <v>6697.08</v>
      </c>
      <c r="AB17">
        <v>0</v>
      </c>
      <c r="AC17">
        <v>0</v>
      </c>
      <c r="AD17">
        <v>0</v>
      </c>
      <c r="AE17">
        <v>6697.08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2.7</v>
      </c>
      <c r="AU17" t="s">
        <v>3</v>
      </c>
      <c r="AV17">
        <v>0</v>
      </c>
      <c r="AW17">
        <v>2</v>
      </c>
      <c r="AX17">
        <v>53203180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Y17*Source!I38</f>
        <v>13.230000000000002</v>
      </c>
      <c r="CY17">
        <f>AA17</f>
        <v>6697.08</v>
      </c>
      <c r="CZ17">
        <f>AE17</f>
        <v>6697.08</v>
      </c>
      <c r="DA17">
        <f>AI17</f>
        <v>1</v>
      </c>
      <c r="DB17">
        <f t="shared" si="2"/>
        <v>18082.12</v>
      </c>
      <c r="DC17">
        <f t="shared" si="3"/>
        <v>0</v>
      </c>
    </row>
    <row r="18" spans="1:107" x14ac:dyDescent="0.2">
      <c r="A18">
        <f>ROW(Source!A38)</f>
        <v>38</v>
      </c>
      <c r="B18">
        <v>53202630</v>
      </c>
      <c r="C18">
        <v>53203169</v>
      </c>
      <c r="D18">
        <v>48828555</v>
      </c>
      <c r="E18">
        <v>1</v>
      </c>
      <c r="F18">
        <v>1</v>
      </c>
      <c r="G18">
        <v>25</v>
      </c>
      <c r="H18">
        <v>3</v>
      </c>
      <c r="I18" t="s">
        <v>237</v>
      </c>
      <c r="J18" t="s">
        <v>238</v>
      </c>
      <c r="K18" t="s">
        <v>239</v>
      </c>
      <c r="L18">
        <v>1339</v>
      </c>
      <c r="N18">
        <v>1007</v>
      </c>
      <c r="O18" t="s">
        <v>50</v>
      </c>
      <c r="P18" t="s">
        <v>50</v>
      </c>
      <c r="Q18">
        <v>1</v>
      </c>
      <c r="W18">
        <v>0</v>
      </c>
      <c r="X18">
        <v>-1878549391</v>
      </c>
      <c r="Y18">
        <v>0.6</v>
      </c>
      <c r="AA18">
        <v>3141.36</v>
      </c>
      <c r="AB18">
        <v>0</v>
      </c>
      <c r="AC18">
        <v>0</v>
      </c>
      <c r="AD18">
        <v>0</v>
      </c>
      <c r="AE18">
        <v>3141.36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0.6</v>
      </c>
      <c r="AU18" t="s">
        <v>3</v>
      </c>
      <c r="AV18">
        <v>0</v>
      </c>
      <c r="AW18">
        <v>2</v>
      </c>
      <c r="AX18">
        <v>53203181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Y18*Source!I38</f>
        <v>2.94</v>
      </c>
      <c r="CY18">
        <f>AA18</f>
        <v>3141.36</v>
      </c>
      <c r="CZ18">
        <f>AE18</f>
        <v>3141.36</v>
      </c>
      <c r="DA18">
        <f>AI18</f>
        <v>1</v>
      </c>
      <c r="DB18">
        <f t="shared" si="2"/>
        <v>1884.82</v>
      </c>
      <c r="DC18">
        <f t="shared" si="3"/>
        <v>0</v>
      </c>
    </row>
    <row r="19" spans="1:107" x14ac:dyDescent="0.2">
      <c r="A19">
        <f>ROW(Source!A39)</f>
        <v>39</v>
      </c>
      <c r="B19">
        <v>53202630</v>
      </c>
      <c r="C19">
        <v>53203182</v>
      </c>
      <c r="D19">
        <v>48814733</v>
      </c>
      <c r="E19">
        <v>25</v>
      </c>
      <c r="F19">
        <v>1</v>
      </c>
      <c r="G19">
        <v>25</v>
      </c>
      <c r="H19">
        <v>1</v>
      </c>
      <c r="I19" t="s">
        <v>204</v>
      </c>
      <c r="J19" t="s">
        <v>3</v>
      </c>
      <c r="K19" t="s">
        <v>205</v>
      </c>
      <c r="L19">
        <v>1191</v>
      </c>
      <c r="N19">
        <v>1013</v>
      </c>
      <c r="O19" t="s">
        <v>206</v>
      </c>
      <c r="P19" t="s">
        <v>206</v>
      </c>
      <c r="Q19">
        <v>1</v>
      </c>
      <c r="W19">
        <v>0</v>
      </c>
      <c r="X19">
        <v>476480486</v>
      </c>
      <c r="Y19">
        <v>95.56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95.56</v>
      </c>
      <c r="AU19" t="s">
        <v>3</v>
      </c>
      <c r="AV19">
        <v>1</v>
      </c>
      <c r="AW19">
        <v>2</v>
      </c>
      <c r="AX19">
        <v>53203190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Y19*Source!I39</f>
        <v>468.24400000000003</v>
      </c>
      <c r="CY19">
        <f>AD19</f>
        <v>0</v>
      </c>
      <c r="CZ19">
        <f>AH19</f>
        <v>0</v>
      </c>
      <c r="DA19">
        <f>AL19</f>
        <v>1</v>
      </c>
      <c r="DB19">
        <f t="shared" si="2"/>
        <v>0</v>
      </c>
      <c r="DC19">
        <f t="shared" si="3"/>
        <v>0</v>
      </c>
    </row>
    <row r="20" spans="1:107" x14ac:dyDescent="0.2">
      <c r="A20">
        <f>ROW(Source!A39)</f>
        <v>39</v>
      </c>
      <c r="B20">
        <v>53202630</v>
      </c>
      <c r="C20">
        <v>53203182</v>
      </c>
      <c r="D20">
        <v>48827141</v>
      </c>
      <c r="E20">
        <v>1</v>
      </c>
      <c r="F20">
        <v>1</v>
      </c>
      <c r="G20">
        <v>25</v>
      </c>
      <c r="H20">
        <v>2</v>
      </c>
      <c r="I20" t="s">
        <v>240</v>
      </c>
      <c r="J20" t="s">
        <v>241</v>
      </c>
      <c r="K20" t="s">
        <v>242</v>
      </c>
      <c r="L20">
        <v>1368</v>
      </c>
      <c r="N20">
        <v>1011</v>
      </c>
      <c r="O20" t="s">
        <v>210</v>
      </c>
      <c r="P20" t="s">
        <v>210</v>
      </c>
      <c r="Q20">
        <v>1</v>
      </c>
      <c r="W20">
        <v>0</v>
      </c>
      <c r="X20">
        <v>-95869070</v>
      </c>
      <c r="Y20">
        <v>3.24</v>
      </c>
      <c r="AA20">
        <v>0</v>
      </c>
      <c r="AB20">
        <v>1942.21</v>
      </c>
      <c r="AC20">
        <v>436.39</v>
      </c>
      <c r="AD20">
        <v>0</v>
      </c>
      <c r="AE20">
        <v>0</v>
      </c>
      <c r="AF20">
        <v>1942.21</v>
      </c>
      <c r="AG20">
        <v>436.39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3.24</v>
      </c>
      <c r="AU20" t="s">
        <v>3</v>
      </c>
      <c r="AV20">
        <v>0</v>
      </c>
      <c r="AW20">
        <v>2</v>
      </c>
      <c r="AX20">
        <v>53203191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Y20*Source!I39</f>
        <v>15.876000000000003</v>
      </c>
      <c r="CY20">
        <f>AB20</f>
        <v>1942.21</v>
      </c>
      <c r="CZ20">
        <f>AF20</f>
        <v>1942.21</v>
      </c>
      <c r="DA20">
        <f>AJ20</f>
        <v>1</v>
      </c>
      <c r="DB20">
        <f t="shared" si="2"/>
        <v>6292.76</v>
      </c>
      <c r="DC20">
        <f t="shared" si="3"/>
        <v>1413.9</v>
      </c>
    </row>
    <row r="21" spans="1:107" x14ac:dyDescent="0.2">
      <c r="A21">
        <f>ROW(Source!A39)</f>
        <v>39</v>
      </c>
      <c r="B21">
        <v>53202630</v>
      </c>
      <c r="C21">
        <v>53203182</v>
      </c>
      <c r="D21">
        <v>48829642</v>
      </c>
      <c r="E21">
        <v>1</v>
      </c>
      <c r="F21">
        <v>1</v>
      </c>
      <c r="G21">
        <v>25</v>
      </c>
      <c r="H21">
        <v>3</v>
      </c>
      <c r="I21" t="s">
        <v>243</v>
      </c>
      <c r="J21" t="s">
        <v>244</v>
      </c>
      <c r="K21" t="s">
        <v>245</v>
      </c>
      <c r="L21">
        <v>1327</v>
      </c>
      <c r="N21">
        <v>1005</v>
      </c>
      <c r="O21" t="s">
        <v>246</v>
      </c>
      <c r="P21" t="s">
        <v>246</v>
      </c>
      <c r="Q21">
        <v>1</v>
      </c>
      <c r="W21">
        <v>0</v>
      </c>
      <c r="X21">
        <v>-385315686</v>
      </c>
      <c r="Y21">
        <v>2.8</v>
      </c>
      <c r="AA21">
        <v>83.45</v>
      </c>
      <c r="AB21">
        <v>0</v>
      </c>
      <c r="AC21">
        <v>0</v>
      </c>
      <c r="AD21">
        <v>0</v>
      </c>
      <c r="AE21">
        <v>83.45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2.8</v>
      </c>
      <c r="AU21" t="s">
        <v>3</v>
      </c>
      <c r="AV21">
        <v>0</v>
      </c>
      <c r="AW21">
        <v>2</v>
      </c>
      <c r="AX21">
        <v>53203192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Y21*Source!I39</f>
        <v>13.72</v>
      </c>
      <c r="CY21">
        <f>AA21</f>
        <v>83.45</v>
      </c>
      <c r="CZ21">
        <f>AE21</f>
        <v>83.45</v>
      </c>
      <c r="DA21">
        <f>AI21</f>
        <v>1</v>
      </c>
      <c r="DB21">
        <f t="shared" si="2"/>
        <v>233.66</v>
      </c>
      <c r="DC21">
        <f t="shared" si="3"/>
        <v>0</v>
      </c>
    </row>
    <row r="22" spans="1:107" x14ac:dyDescent="0.2">
      <c r="A22">
        <f>ROW(Source!A39)</f>
        <v>39</v>
      </c>
      <c r="B22">
        <v>53202630</v>
      </c>
      <c r="C22">
        <v>53203182</v>
      </c>
      <c r="D22">
        <v>48829679</v>
      </c>
      <c r="E22">
        <v>1</v>
      </c>
      <c r="F22">
        <v>1</v>
      </c>
      <c r="G22">
        <v>25</v>
      </c>
      <c r="H22">
        <v>3</v>
      </c>
      <c r="I22" t="s">
        <v>247</v>
      </c>
      <c r="J22" t="s">
        <v>248</v>
      </c>
      <c r="K22" t="s">
        <v>249</v>
      </c>
      <c r="L22">
        <v>1346</v>
      </c>
      <c r="N22">
        <v>1009</v>
      </c>
      <c r="O22" t="s">
        <v>233</v>
      </c>
      <c r="P22" t="s">
        <v>233</v>
      </c>
      <c r="Q22">
        <v>1</v>
      </c>
      <c r="W22">
        <v>0</v>
      </c>
      <c r="X22">
        <v>-51070253</v>
      </c>
      <c r="Y22">
        <v>0.5</v>
      </c>
      <c r="AA22">
        <v>166.07</v>
      </c>
      <c r="AB22">
        <v>0</v>
      </c>
      <c r="AC22">
        <v>0</v>
      </c>
      <c r="AD22">
        <v>0</v>
      </c>
      <c r="AE22">
        <v>166.07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0.5</v>
      </c>
      <c r="AU22" t="s">
        <v>3</v>
      </c>
      <c r="AV22">
        <v>0</v>
      </c>
      <c r="AW22">
        <v>2</v>
      </c>
      <c r="AX22">
        <v>53203193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Y22*Source!I39</f>
        <v>2.4500000000000002</v>
      </c>
      <c r="CY22">
        <f>AA22</f>
        <v>166.07</v>
      </c>
      <c r="CZ22">
        <f>AE22</f>
        <v>166.07</v>
      </c>
      <c r="DA22">
        <f>AI22</f>
        <v>1</v>
      </c>
      <c r="DB22">
        <f t="shared" si="2"/>
        <v>83.04</v>
      </c>
      <c r="DC22">
        <f t="shared" si="3"/>
        <v>0</v>
      </c>
    </row>
    <row r="23" spans="1:107" x14ac:dyDescent="0.2">
      <c r="A23">
        <f>ROW(Source!A39)</f>
        <v>39</v>
      </c>
      <c r="B23">
        <v>53202630</v>
      </c>
      <c r="C23">
        <v>53203182</v>
      </c>
      <c r="D23">
        <v>48829817</v>
      </c>
      <c r="E23">
        <v>1</v>
      </c>
      <c r="F23">
        <v>1</v>
      </c>
      <c r="G23">
        <v>25</v>
      </c>
      <c r="H23">
        <v>3</v>
      </c>
      <c r="I23" t="s">
        <v>250</v>
      </c>
      <c r="J23" t="s">
        <v>251</v>
      </c>
      <c r="K23" t="s">
        <v>252</v>
      </c>
      <c r="L23">
        <v>1339</v>
      </c>
      <c r="N23">
        <v>1007</v>
      </c>
      <c r="O23" t="s">
        <v>50</v>
      </c>
      <c r="P23" t="s">
        <v>50</v>
      </c>
      <c r="Q23">
        <v>1</v>
      </c>
      <c r="W23">
        <v>0</v>
      </c>
      <c r="X23">
        <v>924487879</v>
      </c>
      <c r="Y23">
        <v>10.3</v>
      </c>
      <c r="AA23">
        <v>33.729999999999997</v>
      </c>
      <c r="AB23">
        <v>0</v>
      </c>
      <c r="AC23">
        <v>0</v>
      </c>
      <c r="AD23">
        <v>0</v>
      </c>
      <c r="AE23">
        <v>33.729999999999997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10.3</v>
      </c>
      <c r="AU23" t="s">
        <v>3</v>
      </c>
      <c r="AV23">
        <v>0</v>
      </c>
      <c r="AW23">
        <v>2</v>
      </c>
      <c r="AX23">
        <v>53203194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Y23*Source!I39</f>
        <v>50.470000000000006</v>
      </c>
      <c r="CY23">
        <f>AA23</f>
        <v>33.729999999999997</v>
      </c>
      <c r="CZ23">
        <f>AE23</f>
        <v>33.729999999999997</v>
      </c>
      <c r="DA23">
        <f>AI23</f>
        <v>1</v>
      </c>
      <c r="DB23">
        <f t="shared" si="2"/>
        <v>347.42</v>
      </c>
      <c r="DC23">
        <f t="shared" si="3"/>
        <v>0</v>
      </c>
    </row>
    <row r="24" spans="1:107" x14ac:dyDescent="0.2">
      <c r="A24">
        <f>ROW(Source!A39)</f>
        <v>39</v>
      </c>
      <c r="B24">
        <v>53202630</v>
      </c>
      <c r="C24">
        <v>53203182</v>
      </c>
      <c r="D24">
        <v>48831100</v>
      </c>
      <c r="E24">
        <v>1</v>
      </c>
      <c r="F24">
        <v>1</v>
      </c>
      <c r="G24">
        <v>25</v>
      </c>
      <c r="H24">
        <v>3</v>
      </c>
      <c r="I24" t="s">
        <v>68</v>
      </c>
      <c r="J24" t="s">
        <v>71</v>
      </c>
      <c r="K24" t="s">
        <v>69</v>
      </c>
      <c r="L24">
        <v>1354</v>
      </c>
      <c r="N24">
        <v>1010</v>
      </c>
      <c r="O24" t="s">
        <v>70</v>
      </c>
      <c r="P24" t="s">
        <v>70</v>
      </c>
      <c r="Q24">
        <v>1</v>
      </c>
      <c r="W24">
        <v>0</v>
      </c>
      <c r="X24">
        <v>700882888</v>
      </c>
      <c r="Y24">
        <v>10</v>
      </c>
      <c r="AA24">
        <v>11813.67</v>
      </c>
      <c r="AB24">
        <v>0</v>
      </c>
      <c r="AC24">
        <v>0</v>
      </c>
      <c r="AD24">
        <v>0</v>
      </c>
      <c r="AE24">
        <v>11813.67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s">
        <v>3</v>
      </c>
      <c r="AT24">
        <v>10</v>
      </c>
      <c r="AU24" t="s">
        <v>3</v>
      </c>
      <c r="AV24">
        <v>0</v>
      </c>
      <c r="AW24">
        <v>1</v>
      </c>
      <c r="AX24">
        <v>-1</v>
      </c>
      <c r="AY24">
        <v>0</v>
      </c>
      <c r="AZ24">
        <v>0</v>
      </c>
      <c r="BA24" t="s">
        <v>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Y24*Source!I39</f>
        <v>49</v>
      </c>
      <c r="CY24">
        <f>AA24</f>
        <v>11813.67</v>
      </c>
      <c r="CZ24">
        <f>AE24</f>
        <v>11813.67</v>
      </c>
      <c r="DA24">
        <f>AI24</f>
        <v>1</v>
      </c>
      <c r="DB24">
        <f t="shared" si="2"/>
        <v>118136.7</v>
      </c>
      <c r="DC24">
        <f t="shared" si="3"/>
        <v>0</v>
      </c>
    </row>
    <row r="25" spans="1:107" x14ac:dyDescent="0.2">
      <c r="A25">
        <f>ROW(Source!A39)</f>
        <v>39</v>
      </c>
      <c r="B25">
        <v>53202630</v>
      </c>
      <c r="C25">
        <v>53203182</v>
      </c>
      <c r="D25">
        <v>48831518</v>
      </c>
      <c r="E25">
        <v>1</v>
      </c>
      <c r="F25">
        <v>1</v>
      </c>
      <c r="G25">
        <v>25</v>
      </c>
      <c r="H25">
        <v>3</v>
      </c>
      <c r="I25" t="s">
        <v>253</v>
      </c>
      <c r="J25" t="s">
        <v>254</v>
      </c>
      <c r="K25" t="s">
        <v>255</v>
      </c>
      <c r="L25">
        <v>1339</v>
      </c>
      <c r="N25">
        <v>1007</v>
      </c>
      <c r="O25" t="s">
        <v>50</v>
      </c>
      <c r="P25" t="s">
        <v>50</v>
      </c>
      <c r="Q25">
        <v>1</v>
      </c>
      <c r="W25">
        <v>0</v>
      </c>
      <c r="X25">
        <v>2077475540</v>
      </c>
      <c r="Y25">
        <v>0.23760000000000001</v>
      </c>
      <c r="AA25">
        <v>3148.82</v>
      </c>
      <c r="AB25">
        <v>0</v>
      </c>
      <c r="AC25">
        <v>0</v>
      </c>
      <c r="AD25">
        <v>0</v>
      </c>
      <c r="AE25">
        <v>3148.82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0.23760000000000001</v>
      </c>
      <c r="AU25" t="s">
        <v>3</v>
      </c>
      <c r="AV25">
        <v>0</v>
      </c>
      <c r="AW25">
        <v>2</v>
      </c>
      <c r="AX25">
        <v>53203195</v>
      </c>
      <c r="AY25">
        <v>1</v>
      </c>
      <c r="AZ25">
        <v>0</v>
      </c>
      <c r="BA25">
        <v>24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Y25*Source!I39</f>
        <v>1.1642400000000002</v>
      </c>
      <c r="CY25">
        <f>AA25</f>
        <v>3148.82</v>
      </c>
      <c r="CZ25">
        <f>AE25</f>
        <v>3148.82</v>
      </c>
      <c r="DA25">
        <f>AI25</f>
        <v>1</v>
      </c>
      <c r="DB25">
        <f t="shared" si="2"/>
        <v>748.16</v>
      </c>
      <c r="DC25">
        <f t="shared" si="3"/>
        <v>0</v>
      </c>
    </row>
    <row r="26" spans="1:107" x14ac:dyDescent="0.2">
      <c r="A26">
        <f>ROW(Source!A75)</f>
        <v>75</v>
      </c>
      <c r="B26">
        <v>53202630</v>
      </c>
      <c r="C26">
        <v>53203198</v>
      </c>
      <c r="D26">
        <v>48814733</v>
      </c>
      <c r="E26">
        <v>25</v>
      </c>
      <c r="F26">
        <v>1</v>
      </c>
      <c r="G26">
        <v>25</v>
      </c>
      <c r="H26">
        <v>1</v>
      </c>
      <c r="I26" t="s">
        <v>204</v>
      </c>
      <c r="J26" t="s">
        <v>3</v>
      </c>
      <c r="K26" t="s">
        <v>205</v>
      </c>
      <c r="L26">
        <v>1191</v>
      </c>
      <c r="N26">
        <v>1013</v>
      </c>
      <c r="O26" t="s">
        <v>206</v>
      </c>
      <c r="P26" t="s">
        <v>206</v>
      </c>
      <c r="Q26">
        <v>1</v>
      </c>
      <c r="W26">
        <v>0</v>
      </c>
      <c r="X26">
        <v>476480486</v>
      </c>
      <c r="Y26">
        <v>363.41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363.41</v>
      </c>
      <c r="AU26" t="s">
        <v>3</v>
      </c>
      <c r="AV26">
        <v>1</v>
      </c>
      <c r="AW26">
        <v>2</v>
      </c>
      <c r="AX26">
        <v>53203205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Y26*Source!I75</f>
        <v>109.02300000000001</v>
      </c>
      <c r="CY26">
        <f>AD26</f>
        <v>0</v>
      </c>
      <c r="CZ26">
        <f>AH26</f>
        <v>0</v>
      </c>
      <c r="DA26">
        <f>AL26</f>
        <v>1</v>
      </c>
      <c r="DB26">
        <f t="shared" si="2"/>
        <v>0</v>
      </c>
      <c r="DC26">
        <f t="shared" si="3"/>
        <v>0</v>
      </c>
    </row>
    <row r="27" spans="1:107" x14ac:dyDescent="0.2">
      <c r="A27">
        <f>ROW(Source!A75)</f>
        <v>75</v>
      </c>
      <c r="B27">
        <v>53202630</v>
      </c>
      <c r="C27">
        <v>53203198</v>
      </c>
      <c r="D27">
        <v>48827823</v>
      </c>
      <c r="E27">
        <v>1</v>
      </c>
      <c r="F27">
        <v>1</v>
      </c>
      <c r="G27">
        <v>25</v>
      </c>
      <c r="H27">
        <v>2</v>
      </c>
      <c r="I27" t="s">
        <v>223</v>
      </c>
      <c r="J27" t="s">
        <v>224</v>
      </c>
      <c r="K27" t="s">
        <v>225</v>
      </c>
      <c r="L27">
        <v>1368</v>
      </c>
      <c r="N27">
        <v>1011</v>
      </c>
      <c r="O27" t="s">
        <v>210</v>
      </c>
      <c r="P27" t="s">
        <v>210</v>
      </c>
      <c r="Q27">
        <v>1</v>
      </c>
      <c r="W27">
        <v>0</v>
      </c>
      <c r="X27">
        <v>1477925804</v>
      </c>
      <c r="Y27">
        <v>1.52</v>
      </c>
      <c r="AA27">
        <v>0</v>
      </c>
      <c r="AB27">
        <v>285.44</v>
      </c>
      <c r="AC27">
        <v>0.28000000000000003</v>
      </c>
      <c r="AD27">
        <v>0</v>
      </c>
      <c r="AE27">
        <v>0</v>
      </c>
      <c r="AF27">
        <v>285.44</v>
      </c>
      <c r="AG27">
        <v>0.28000000000000003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1.52</v>
      </c>
      <c r="AU27" t="s">
        <v>3</v>
      </c>
      <c r="AV27">
        <v>0</v>
      </c>
      <c r="AW27">
        <v>2</v>
      </c>
      <c r="AX27">
        <v>53203206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Y27*Source!I75</f>
        <v>0.45599999999999996</v>
      </c>
      <c r="CY27">
        <f>AB27</f>
        <v>285.44</v>
      </c>
      <c r="CZ27">
        <f>AF27</f>
        <v>285.44</v>
      </c>
      <c r="DA27">
        <f>AJ27</f>
        <v>1</v>
      </c>
      <c r="DB27">
        <f t="shared" si="2"/>
        <v>433.87</v>
      </c>
      <c r="DC27">
        <f t="shared" si="3"/>
        <v>0.43</v>
      </c>
    </row>
    <row r="28" spans="1:107" x14ac:dyDescent="0.2">
      <c r="A28">
        <f>ROW(Source!A75)</f>
        <v>75</v>
      </c>
      <c r="B28">
        <v>53202630</v>
      </c>
      <c r="C28">
        <v>53203198</v>
      </c>
      <c r="D28">
        <v>48828895</v>
      </c>
      <c r="E28">
        <v>1</v>
      </c>
      <c r="F28">
        <v>1</v>
      </c>
      <c r="G28">
        <v>25</v>
      </c>
      <c r="H28">
        <v>3</v>
      </c>
      <c r="I28" t="s">
        <v>226</v>
      </c>
      <c r="J28" t="s">
        <v>227</v>
      </c>
      <c r="K28" t="s">
        <v>228</v>
      </c>
      <c r="L28">
        <v>1348</v>
      </c>
      <c r="N28">
        <v>1009</v>
      </c>
      <c r="O28" t="s">
        <v>229</v>
      </c>
      <c r="P28" t="s">
        <v>229</v>
      </c>
      <c r="Q28">
        <v>1000</v>
      </c>
      <c r="W28">
        <v>0</v>
      </c>
      <c r="X28">
        <v>-785747182</v>
      </c>
      <c r="Y28">
        <v>0.11</v>
      </c>
      <c r="AA28">
        <v>52914.53</v>
      </c>
      <c r="AB28">
        <v>0</v>
      </c>
      <c r="AC28">
        <v>0</v>
      </c>
      <c r="AD28">
        <v>0</v>
      </c>
      <c r="AE28">
        <v>52914.53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0.11</v>
      </c>
      <c r="AU28" t="s">
        <v>3</v>
      </c>
      <c r="AV28">
        <v>0</v>
      </c>
      <c r="AW28">
        <v>2</v>
      </c>
      <c r="AX28">
        <v>53203207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Y28*Source!I75</f>
        <v>3.3000000000000002E-2</v>
      </c>
      <c r="CY28">
        <f>AA28</f>
        <v>52914.53</v>
      </c>
      <c r="CZ28">
        <f>AE28</f>
        <v>52914.53</v>
      </c>
      <c r="DA28">
        <f>AI28</f>
        <v>1</v>
      </c>
      <c r="DB28">
        <f t="shared" si="2"/>
        <v>5820.6</v>
      </c>
      <c r="DC28">
        <f t="shared" si="3"/>
        <v>0</v>
      </c>
    </row>
    <row r="29" spans="1:107" x14ac:dyDescent="0.2">
      <c r="A29">
        <f>ROW(Source!A75)</f>
        <v>75</v>
      </c>
      <c r="B29">
        <v>53202630</v>
      </c>
      <c r="C29">
        <v>53203198</v>
      </c>
      <c r="D29">
        <v>48829630</v>
      </c>
      <c r="E29">
        <v>1</v>
      </c>
      <c r="F29">
        <v>1</v>
      </c>
      <c r="G29">
        <v>25</v>
      </c>
      <c r="H29">
        <v>3</v>
      </c>
      <c r="I29" t="s">
        <v>230</v>
      </c>
      <c r="J29" t="s">
        <v>231</v>
      </c>
      <c r="K29" t="s">
        <v>232</v>
      </c>
      <c r="L29">
        <v>1346</v>
      </c>
      <c r="N29">
        <v>1009</v>
      </c>
      <c r="O29" t="s">
        <v>233</v>
      </c>
      <c r="P29" t="s">
        <v>233</v>
      </c>
      <c r="Q29">
        <v>1</v>
      </c>
      <c r="W29">
        <v>0</v>
      </c>
      <c r="X29">
        <v>-1657742588</v>
      </c>
      <c r="Y29">
        <v>5</v>
      </c>
      <c r="AA29">
        <v>170.28</v>
      </c>
      <c r="AB29">
        <v>0</v>
      </c>
      <c r="AC29">
        <v>0</v>
      </c>
      <c r="AD29">
        <v>0</v>
      </c>
      <c r="AE29">
        <v>170.28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5</v>
      </c>
      <c r="AU29" t="s">
        <v>3</v>
      </c>
      <c r="AV29">
        <v>0</v>
      </c>
      <c r="AW29">
        <v>2</v>
      </c>
      <c r="AX29">
        <v>53203208</v>
      </c>
      <c r="AY29">
        <v>1</v>
      </c>
      <c r="AZ29">
        <v>0</v>
      </c>
      <c r="BA29">
        <v>29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Y29*Source!I75</f>
        <v>1.5</v>
      </c>
      <c r="CY29">
        <f>AA29</f>
        <v>170.28</v>
      </c>
      <c r="CZ29">
        <f>AE29</f>
        <v>170.28</v>
      </c>
      <c r="DA29">
        <f>AI29</f>
        <v>1</v>
      </c>
      <c r="DB29">
        <f t="shared" si="2"/>
        <v>851.4</v>
      </c>
      <c r="DC29">
        <f t="shared" si="3"/>
        <v>0</v>
      </c>
    </row>
    <row r="30" spans="1:107" x14ac:dyDescent="0.2">
      <c r="A30">
        <f>ROW(Source!A75)</f>
        <v>75</v>
      </c>
      <c r="B30">
        <v>53202630</v>
      </c>
      <c r="C30">
        <v>53203198</v>
      </c>
      <c r="D30">
        <v>48828522</v>
      </c>
      <c r="E30">
        <v>1</v>
      </c>
      <c r="F30">
        <v>1</v>
      </c>
      <c r="G30">
        <v>25</v>
      </c>
      <c r="H30">
        <v>3</v>
      </c>
      <c r="I30" t="s">
        <v>234</v>
      </c>
      <c r="J30" t="s">
        <v>235</v>
      </c>
      <c r="K30" t="s">
        <v>236</v>
      </c>
      <c r="L30">
        <v>1339</v>
      </c>
      <c r="N30">
        <v>1007</v>
      </c>
      <c r="O30" t="s">
        <v>50</v>
      </c>
      <c r="P30" t="s">
        <v>50</v>
      </c>
      <c r="Q30">
        <v>1</v>
      </c>
      <c r="W30">
        <v>0</v>
      </c>
      <c r="X30">
        <v>770955183</v>
      </c>
      <c r="Y30">
        <v>2.7</v>
      </c>
      <c r="AA30">
        <v>6697.08</v>
      </c>
      <c r="AB30">
        <v>0</v>
      </c>
      <c r="AC30">
        <v>0</v>
      </c>
      <c r="AD30">
        <v>0</v>
      </c>
      <c r="AE30">
        <v>6697.08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2.7</v>
      </c>
      <c r="AU30" t="s">
        <v>3</v>
      </c>
      <c r="AV30">
        <v>0</v>
      </c>
      <c r="AW30">
        <v>2</v>
      </c>
      <c r="AX30">
        <v>53203209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Y30*Source!I75</f>
        <v>0.81</v>
      </c>
      <c r="CY30">
        <f>AA30</f>
        <v>6697.08</v>
      </c>
      <c r="CZ30">
        <f>AE30</f>
        <v>6697.08</v>
      </c>
      <c r="DA30">
        <f>AI30</f>
        <v>1</v>
      </c>
      <c r="DB30">
        <f t="shared" si="2"/>
        <v>18082.12</v>
      </c>
      <c r="DC30">
        <f t="shared" si="3"/>
        <v>0</v>
      </c>
    </row>
    <row r="31" spans="1:107" x14ac:dyDescent="0.2">
      <c r="A31">
        <f>ROW(Source!A75)</f>
        <v>75</v>
      </c>
      <c r="B31">
        <v>53202630</v>
      </c>
      <c r="C31">
        <v>53203198</v>
      </c>
      <c r="D31">
        <v>48828555</v>
      </c>
      <c r="E31">
        <v>1</v>
      </c>
      <c r="F31">
        <v>1</v>
      </c>
      <c r="G31">
        <v>25</v>
      </c>
      <c r="H31">
        <v>3</v>
      </c>
      <c r="I31" t="s">
        <v>237</v>
      </c>
      <c r="J31" t="s">
        <v>238</v>
      </c>
      <c r="K31" t="s">
        <v>239</v>
      </c>
      <c r="L31">
        <v>1339</v>
      </c>
      <c r="N31">
        <v>1007</v>
      </c>
      <c r="O31" t="s">
        <v>50</v>
      </c>
      <c r="P31" t="s">
        <v>50</v>
      </c>
      <c r="Q31">
        <v>1</v>
      </c>
      <c r="W31">
        <v>0</v>
      </c>
      <c r="X31">
        <v>-1878549391</v>
      </c>
      <c r="Y31">
        <v>0.6</v>
      </c>
      <c r="AA31">
        <v>3141.36</v>
      </c>
      <c r="AB31">
        <v>0</v>
      </c>
      <c r="AC31">
        <v>0</v>
      </c>
      <c r="AD31">
        <v>0</v>
      </c>
      <c r="AE31">
        <v>3141.36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0.6</v>
      </c>
      <c r="AU31" t="s">
        <v>3</v>
      </c>
      <c r="AV31">
        <v>0</v>
      </c>
      <c r="AW31">
        <v>2</v>
      </c>
      <c r="AX31">
        <v>53203210</v>
      </c>
      <c r="AY31">
        <v>1</v>
      </c>
      <c r="AZ31">
        <v>0</v>
      </c>
      <c r="BA31">
        <v>31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Y31*Source!I75</f>
        <v>0.18</v>
      </c>
      <c r="CY31">
        <f>AA31</f>
        <v>3141.36</v>
      </c>
      <c r="CZ31">
        <f>AE31</f>
        <v>3141.36</v>
      </c>
      <c r="DA31">
        <f>AI31</f>
        <v>1</v>
      </c>
      <c r="DB31">
        <f t="shared" si="2"/>
        <v>1884.82</v>
      </c>
      <c r="DC31">
        <f t="shared" si="3"/>
        <v>0</v>
      </c>
    </row>
    <row r="32" spans="1:107" x14ac:dyDescent="0.2">
      <c r="A32">
        <f>ROW(Source!A76)</f>
        <v>76</v>
      </c>
      <c r="B32">
        <v>53202630</v>
      </c>
      <c r="C32">
        <v>53203211</v>
      </c>
      <c r="D32">
        <v>48814733</v>
      </c>
      <c r="E32">
        <v>25</v>
      </c>
      <c r="F32">
        <v>1</v>
      </c>
      <c r="G32">
        <v>25</v>
      </c>
      <c r="H32">
        <v>1</v>
      </c>
      <c r="I32" t="s">
        <v>204</v>
      </c>
      <c r="J32" t="s">
        <v>3</v>
      </c>
      <c r="K32" t="s">
        <v>205</v>
      </c>
      <c r="L32">
        <v>1191</v>
      </c>
      <c r="N32">
        <v>1013</v>
      </c>
      <c r="O32" t="s">
        <v>206</v>
      </c>
      <c r="P32" t="s">
        <v>206</v>
      </c>
      <c r="Q32">
        <v>1</v>
      </c>
      <c r="W32">
        <v>0</v>
      </c>
      <c r="X32">
        <v>476480486</v>
      </c>
      <c r="Y32">
        <v>35.82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35.82</v>
      </c>
      <c r="AU32" t="s">
        <v>3</v>
      </c>
      <c r="AV32">
        <v>1</v>
      </c>
      <c r="AW32">
        <v>2</v>
      </c>
      <c r="AX32">
        <v>53203214</v>
      </c>
      <c r="AY32">
        <v>1</v>
      </c>
      <c r="AZ32">
        <v>0</v>
      </c>
      <c r="BA32">
        <v>32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Y32*Source!I76</f>
        <v>8.0594999999999999</v>
      </c>
      <c r="CY32">
        <f>AD32</f>
        <v>0</v>
      </c>
      <c r="CZ32">
        <f>AH32</f>
        <v>0</v>
      </c>
      <c r="DA32">
        <f>AL32</f>
        <v>1</v>
      </c>
      <c r="DB32">
        <f t="shared" si="2"/>
        <v>0</v>
      </c>
      <c r="DC32">
        <f t="shared" si="3"/>
        <v>0</v>
      </c>
    </row>
    <row r="33" spans="1:107" x14ac:dyDescent="0.2">
      <c r="A33">
        <f>ROW(Source!A76)</f>
        <v>76</v>
      </c>
      <c r="B33">
        <v>53202630</v>
      </c>
      <c r="C33">
        <v>53203211</v>
      </c>
      <c r="D33">
        <v>48826950</v>
      </c>
      <c r="E33">
        <v>1</v>
      </c>
      <c r="F33">
        <v>1</v>
      </c>
      <c r="G33">
        <v>25</v>
      </c>
      <c r="H33">
        <v>2</v>
      </c>
      <c r="I33" t="s">
        <v>207</v>
      </c>
      <c r="J33" t="s">
        <v>208</v>
      </c>
      <c r="K33" t="s">
        <v>209</v>
      </c>
      <c r="L33">
        <v>1368</v>
      </c>
      <c r="N33">
        <v>1011</v>
      </c>
      <c r="O33" t="s">
        <v>210</v>
      </c>
      <c r="P33" t="s">
        <v>210</v>
      </c>
      <c r="Q33">
        <v>1</v>
      </c>
      <c r="W33">
        <v>0</v>
      </c>
      <c r="X33">
        <v>-1632395109</v>
      </c>
      <c r="Y33">
        <v>3</v>
      </c>
      <c r="AA33">
        <v>0</v>
      </c>
      <c r="AB33">
        <v>779.95</v>
      </c>
      <c r="AC33">
        <v>426.8</v>
      </c>
      <c r="AD33">
        <v>0</v>
      </c>
      <c r="AE33">
        <v>0</v>
      </c>
      <c r="AF33">
        <v>779.95</v>
      </c>
      <c r="AG33">
        <v>426.8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3</v>
      </c>
      <c r="AU33" t="s">
        <v>3</v>
      </c>
      <c r="AV33">
        <v>0</v>
      </c>
      <c r="AW33">
        <v>2</v>
      </c>
      <c r="AX33">
        <v>53203215</v>
      </c>
      <c r="AY33">
        <v>1</v>
      </c>
      <c r="AZ33">
        <v>0</v>
      </c>
      <c r="BA33">
        <v>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Y33*Source!I76</f>
        <v>0.67500000000000004</v>
      </c>
      <c r="CY33">
        <f>AB33</f>
        <v>779.95</v>
      </c>
      <c r="CZ33">
        <f>AF33</f>
        <v>779.95</v>
      </c>
      <c r="DA33">
        <f>AJ33</f>
        <v>1</v>
      </c>
      <c r="DB33">
        <f t="shared" si="2"/>
        <v>2339.85</v>
      </c>
      <c r="DC33">
        <f t="shared" si="3"/>
        <v>1280.4000000000001</v>
      </c>
    </row>
    <row r="34" spans="1:107" x14ac:dyDescent="0.2">
      <c r="A34">
        <f>ROW(Source!A77)</f>
        <v>77</v>
      </c>
      <c r="B34">
        <v>53202630</v>
      </c>
      <c r="C34">
        <v>53203216</v>
      </c>
      <c r="D34">
        <v>48814733</v>
      </c>
      <c r="E34">
        <v>25</v>
      </c>
      <c r="F34">
        <v>1</v>
      </c>
      <c r="G34">
        <v>25</v>
      </c>
      <c r="H34">
        <v>1</v>
      </c>
      <c r="I34" t="s">
        <v>204</v>
      </c>
      <c r="J34" t="s">
        <v>3</v>
      </c>
      <c r="K34" t="s">
        <v>205</v>
      </c>
      <c r="L34">
        <v>1191</v>
      </c>
      <c r="N34">
        <v>1013</v>
      </c>
      <c r="O34" t="s">
        <v>206</v>
      </c>
      <c r="P34" t="s">
        <v>206</v>
      </c>
      <c r="Q34">
        <v>1</v>
      </c>
      <c r="W34">
        <v>0</v>
      </c>
      <c r="X34">
        <v>476480486</v>
      </c>
      <c r="Y34">
        <v>99.37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99.37</v>
      </c>
      <c r="AU34" t="s">
        <v>3</v>
      </c>
      <c r="AV34">
        <v>1</v>
      </c>
      <c r="AW34">
        <v>2</v>
      </c>
      <c r="AX34">
        <v>53203218</v>
      </c>
      <c r="AY34">
        <v>1</v>
      </c>
      <c r="AZ34">
        <v>0</v>
      </c>
      <c r="BA34">
        <v>34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Y34*Source!I77</f>
        <v>7.45275</v>
      </c>
      <c r="CY34">
        <f>AD34</f>
        <v>0</v>
      </c>
      <c r="CZ34">
        <f>AH34</f>
        <v>0</v>
      </c>
      <c r="DA34">
        <f>AL34</f>
        <v>1</v>
      </c>
      <c r="DB34">
        <f t="shared" si="2"/>
        <v>0</v>
      </c>
      <c r="DC34">
        <f t="shared" si="3"/>
        <v>0</v>
      </c>
    </row>
    <row r="35" spans="1:107" x14ac:dyDescent="0.2">
      <c r="A35">
        <f>ROW(Source!A78)</f>
        <v>78</v>
      </c>
      <c r="B35">
        <v>53202630</v>
      </c>
      <c r="C35">
        <v>53203219</v>
      </c>
      <c r="D35">
        <v>48814733</v>
      </c>
      <c r="E35">
        <v>25</v>
      </c>
      <c r="F35">
        <v>1</v>
      </c>
      <c r="G35">
        <v>25</v>
      </c>
      <c r="H35">
        <v>1</v>
      </c>
      <c r="I35" t="s">
        <v>204</v>
      </c>
      <c r="J35" t="s">
        <v>3</v>
      </c>
      <c r="K35" t="s">
        <v>205</v>
      </c>
      <c r="L35">
        <v>1191</v>
      </c>
      <c r="N35">
        <v>1013</v>
      </c>
      <c r="O35" t="s">
        <v>206</v>
      </c>
      <c r="P35" t="s">
        <v>206</v>
      </c>
      <c r="Q35">
        <v>1</v>
      </c>
      <c r="W35">
        <v>0</v>
      </c>
      <c r="X35">
        <v>476480486</v>
      </c>
      <c r="Y35">
        <v>95.56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95.56</v>
      </c>
      <c r="AU35" t="s">
        <v>3</v>
      </c>
      <c r="AV35">
        <v>1</v>
      </c>
      <c r="AW35">
        <v>2</v>
      </c>
      <c r="AX35">
        <v>53203227</v>
      </c>
      <c r="AY35">
        <v>1</v>
      </c>
      <c r="AZ35">
        <v>0</v>
      </c>
      <c r="BA35">
        <v>35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Y35*Source!I78</f>
        <v>28.667999999999999</v>
      </c>
      <c r="CY35">
        <f>AD35</f>
        <v>0</v>
      </c>
      <c r="CZ35">
        <f>AH35</f>
        <v>0</v>
      </c>
      <c r="DA35">
        <f>AL35</f>
        <v>1</v>
      </c>
      <c r="DB35">
        <f t="shared" si="2"/>
        <v>0</v>
      </c>
      <c r="DC35">
        <f t="shared" si="3"/>
        <v>0</v>
      </c>
    </row>
    <row r="36" spans="1:107" x14ac:dyDescent="0.2">
      <c r="A36">
        <f>ROW(Source!A78)</f>
        <v>78</v>
      </c>
      <c r="B36">
        <v>53202630</v>
      </c>
      <c r="C36">
        <v>53203219</v>
      </c>
      <c r="D36">
        <v>48827141</v>
      </c>
      <c r="E36">
        <v>1</v>
      </c>
      <c r="F36">
        <v>1</v>
      </c>
      <c r="G36">
        <v>25</v>
      </c>
      <c r="H36">
        <v>2</v>
      </c>
      <c r="I36" t="s">
        <v>240</v>
      </c>
      <c r="J36" t="s">
        <v>241</v>
      </c>
      <c r="K36" t="s">
        <v>242</v>
      </c>
      <c r="L36">
        <v>1368</v>
      </c>
      <c r="N36">
        <v>1011</v>
      </c>
      <c r="O36" t="s">
        <v>210</v>
      </c>
      <c r="P36" t="s">
        <v>210</v>
      </c>
      <c r="Q36">
        <v>1</v>
      </c>
      <c r="W36">
        <v>0</v>
      </c>
      <c r="X36">
        <v>-95869070</v>
      </c>
      <c r="Y36">
        <v>3.24</v>
      </c>
      <c r="AA36">
        <v>0</v>
      </c>
      <c r="AB36">
        <v>1942.21</v>
      </c>
      <c r="AC36">
        <v>436.39</v>
      </c>
      <c r="AD36">
        <v>0</v>
      </c>
      <c r="AE36">
        <v>0</v>
      </c>
      <c r="AF36">
        <v>1942.21</v>
      </c>
      <c r="AG36">
        <v>436.39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3.24</v>
      </c>
      <c r="AU36" t="s">
        <v>3</v>
      </c>
      <c r="AV36">
        <v>0</v>
      </c>
      <c r="AW36">
        <v>2</v>
      </c>
      <c r="AX36">
        <v>53203228</v>
      </c>
      <c r="AY36">
        <v>1</v>
      </c>
      <c r="AZ36">
        <v>0</v>
      </c>
      <c r="BA36">
        <v>36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Y36*Source!I78</f>
        <v>0.97199999999999998</v>
      </c>
      <c r="CY36">
        <f>AB36</f>
        <v>1942.21</v>
      </c>
      <c r="CZ36">
        <f>AF36</f>
        <v>1942.21</v>
      </c>
      <c r="DA36">
        <f>AJ36</f>
        <v>1</v>
      </c>
      <c r="DB36">
        <f t="shared" si="2"/>
        <v>6292.76</v>
      </c>
      <c r="DC36">
        <f t="shared" si="3"/>
        <v>1413.9</v>
      </c>
    </row>
    <row r="37" spans="1:107" x14ac:dyDescent="0.2">
      <c r="A37">
        <f>ROW(Source!A78)</f>
        <v>78</v>
      </c>
      <c r="B37">
        <v>53202630</v>
      </c>
      <c r="C37">
        <v>53203219</v>
      </c>
      <c r="D37">
        <v>48829642</v>
      </c>
      <c r="E37">
        <v>1</v>
      </c>
      <c r="F37">
        <v>1</v>
      </c>
      <c r="G37">
        <v>25</v>
      </c>
      <c r="H37">
        <v>3</v>
      </c>
      <c r="I37" t="s">
        <v>243</v>
      </c>
      <c r="J37" t="s">
        <v>244</v>
      </c>
      <c r="K37" t="s">
        <v>245</v>
      </c>
      <c r="L37">
        <v>1327</v>
      </c>
      <c r="N37">
        <v>1005</v>
      </c>
      <c r="O37" t="s">
        <v>246</v>
      </c>
      <c r="P37" t="s">
        <v>246</v>
      </c>
      <c r="Q37">
        <v>1</v>
      </c>
      <c r="W37">
        <v>0</v>
      </c>
      <c r="X37">
        <v>-385315686</v>
      </c>
      <c r="Y37">
        <v>2.8</v>
      </c>
      <c r="AA37">
        <v>83.45</v>
      </c>
      <c r="AB37">
        <v>0</v>
      </c>
      <c r="AC37">
        <v>0</v>
      </c>
      <c r="AD37">
        <v>0</v>
      </c>
      <c r="AE37">
        <v>83.45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2.8</v>
      </c>
      <c r="AU37" t="s">
        <v>3</v>
      </c>
      <c r="AV37">
        <v>0</v>
      </c>
      <c r="AW37">
        <v>2</v>
      </c>
      <c r="AX37">
        <v>53203229</v>
      </c>
      <c r="AY37">
        <v>1</v>
      </c>
      <c r="AZ37">
        <v>0</v>
      </c>
      <c r="BA37">
        <v>37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Y37*Source!I78</f>
        <v>0.84</v>
      </c>
      <c r="CY37">
        <f>AA37</f>
        <v>83.45</v>
      </c>
      <c r="CZ37">
        <f>AE37</f>
        <v>83.45</v>
      </c>
      <c r="DA37">
        <f>AI37</f>
        <v>1</v>
      </c>
      <c r="DB37">
        <f t="shared" si="2"/>
        <v>233.66</v>
      </c>
      <c r="DC37">
        <f t="shared" si="3"/>
        <v>0</v>
      </c>
    </row>
    <row r="38" spans="1:107" x14ac:dyDescent="0.2">
      <c r="A38">
        <f>ROW(Source!A78)</f>
        <v>78</v>
      </c>
      <c r="B38">
        <v>53202630</v>
      </c>
      <c r="C38">
        <v>53203219</v>
      </c>
      <c r="D38">
        <v>48829679</v>
      </c>
      <c r="E38">
        <v>1</v>
      </c>
      <c r="F38">
        <v>1</v>
      </c>
      <c r="G38">
        <v>25</v>
      </c>
      <c r="H38">
        <v>3</v>
      </c>
      <c r="I38" t="s">
        <v>247</v>
      </c>
      <c r="J38" t="s">
        <v>248</v>
      </c>
      <c r="K38" t="s">
        <v>249</v>
      </c>
      <c r="L38">
        <v>1346</v>
      </c>
      <c r="N38">
        <v>1009</v>
      </c>
      <c r="O38" t="s">
        <v>233</v>
      </c>
      <c r="P38" t="s">
        <v>233</v>
      </c>
      <c r="Q38">
        <v>1</v>
      </c>
      <c r="W38">
        <v>0</v>
      </c>
      <c r="X38">
        <v>-51070253</v>
      </c>
      <c r="Y38">
        <v>0.5</v>
      </c>
      <c r="AA38">
        <v>166.07</v>
      </c>
      <c r="AB38">
        <v>0</v>
      </c>
      <c r="AC38">
        <v>0</v>
      </c>
      <c r="AD38">
        <v>0</v>
      </c>
      <c r="AE38">
        <v>166.07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0.5</v>
      </c>
      <c r="AU38" t="s">
        <v>3</v>
      </c>
      <c r="AV38">
        <v>0</v>
      </c>
      <c r="AW38">
        <v>2</v>
      </c>
      <c r="AX38">
        <v>53203230</v>
      </c>
      <c r="AY38">
        <v>1</v>
      </c>
      <c r="AZ38">
        <v>0</v>
      </c>
      <c r="BA38">
        <v>38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Y38*Source!I78</f>
        <v>0.15</v>
      </c>
      <c r="CY38">
        <f>AA38</f>
        <v>166.07</v>
      </c>
      <c r="CZ38">
        <f>AE38</f>
        <v>166.07</v>
      </c>
      <c r="DA38">
        <f>AI38</f>
        <v>1</v>
      </c>
      <c r="DB38">
        <f t="shared" si="2"/>
        <v>83.04</v>
      </c>
      <c r="DC38">
        <f t="shared" si="3"/>
        <v>0</v>
      </c>
    </row>
    <row r="39" spans="1:107" x14ac:dyDescent="0.2">
      <c r="A39">
        <f>ROW(Source!A78)</f>
        <v>78</v>
      </c>
      <c r="B39">
        <v>53202630</v>
      </c>
      <c r="C39">
        <v>53203219</v>
      </c>
      <c r="D39">
        <v>48829817</v>
      </c>
      <c r="E39">
        <v>1</v>
      </c>
      <c r="F39">
        <v>1</v>
      </c>
      <c r="G39">
        <v>25</v>
      </c>
      <c r="H39">
        <v>3</v>
      </c>
      <c r="I39" t="s">
        <v>250</v>
      </c>
      <c r="J39" t="s">
        <v>251</v>
      </c>
      <c r="K39" t="s">
        <v>252</v>
      </c>
      <c r="L39">
        <v>1339</v>
      </c>
      <c r="N39">
        <v>1007</v>
      </c>
      <c r="O39" t="s">
        <v>50</v>
      </c>
      <c r="P39" t="s">
        <v>50</v>
      </c>
      <c r="Q39">
        <v>1</v>
      </c>
      <c r="W39">
        <v>0</v>
      </c>
      <c r="X39">
        <v>924487879</v>
      </c>
      <c r="Y39">
        <v>10.3</v>
      </c>
      <c r="AA39">
        <v>33.729999999999997</v>
      </c>
      <c r="AB39">
        <v>0</v>
      </c>
      <c r="AC39">
        <v>0</v>
      </c>
      <c r="AD39">
        <v>0</v>
      </c>
      <c r="AE39">
        <v>33.729999999999997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10.3</v>
      </c>
      <c r="AU39" t="s">
        <v>3</v>
      </c>
      <c r="AV39">
        <v>0</v>
      </c>
      <c r="AW39">
        <v>2</v>
      </c>
      <c r="AX39">
        <v>53203231</v>
      </c>
      <c r="AY39">
        <v>1</v>
      </c>
      <c r="AZ39">
        <v>0</v>
      </c>
      <c r="BA39">
        <v>39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Y39*Source!I78</f>
        <v>3.0900000000000003</v>
      </c>
      <c r="CY39">
        <f>AA39</f>
        <v>33.729999999999997</v>
      </c>
      <c r="CZ39">
        <f>AE39</f>
        <v>33.729999999999997</v>
      </c>
      <c r="DA39">
        <f>AI39</f>
        <v>1</v>
      </c>
      <c r="DB39">
        <f t="shared" si="2"/>
        <v>347.42</v>
      </c>
      <c r="DC39">
        <f t="shared" si="3"/>
        <v>0</v>
      </c>
    </row>
    <row r="40" spans="1:107" x14ac:dyDescent="0.2">
      <c r="A40">
        <f>ROW(Source!A78)</f>
        <v>78</v>
      </c>
      <c r="B40">
        <v>53202630</v>
      </c>
      <c r="C40">
        <v>53203219</v>
      </c>
      <c r="D40">
        <v>48831100</v>
      </c>
      <c r="E40">
        <v>1</v>
      </c>
      <c r="F40">
        <v>1</v>
      </c>
      <c r="G40">
        <v>25</v>
      </c>
      <c r="H40">
        <v>3</v>
      </c>
      <c r="I40" t="s">
        <v>68</v>
      </c>
      <c r="J40" t="s">
        <v>71</v>
      </c>
      <c r="K40" t="s">
        <v>69</v>
      </c>
      <c r="L40">
        <v>1354</v>
      </c>
      <c r="N40">
        <v>1010</v>
      </c>
      <c r="O40" t="s">
        <v>70</v>
      </c>
      <c r="P40" t="s">
        <v>70</v>
      </c>
      <c r="Q40">
        <v>1</v>
      </c>
      <c r="W40">
        <v>0</v>
      </c>
      <c r="X40">
        <v>700882888</v>
      </c>
      <c r="Y40">
        <v>10</v>
      </c>
      <c r="AA40">
        <v>11813.67</v>
      </c>
      <c r="AB40">
        <v>0</v>
      </c>
      <c r="AC40">
        <v>0</v>
      </c>
      <c r="AD40">
        <v>0</v>
      </c>
      <c r="AE40">
        <v>11813.67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3</v>
      </c>
      <c r="AT40">
        <v>10</v>
      </c>
      <c r="AU40" t="s">
        <v>3</v>
      </c>
      <c r="AV40">
        <v>0</v>
      </c>
      <c r="AW40">
        <v>1</v>
      </c>
      <c r="AX40">
        <v>-1</v>
      </c>
      <c r="AY40">
        <v>0</v>
      </c>
      <c r="AZ40">
        <v>0</v>
      </c>
      <c r="BA40" t="s">
        <v>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Y40*Source!I78</f>
        <v>3</v>
      </c>
      <c r="CY40">
        <f>AA40</f>
        <v>11813.67</v>
      </c>
      <c r="CZ40">
        <f>AE40</f>
        <v>11813.67</v>
      </c>
      <c r="DA40">
        <f>AI40</f>
        <v>1</v>
      </c>
      <c r="DB40">
        <f t="shared" si="2"/>
        <v>118136.7</v>
      </c>
      <c r="DC40">
        <f t="shared" si="3"/>
        <v>0</v>
      </c>
    </row>
    <row r="41" spans="1:107" x14ac:dyDescent="0.2">
      <c r="A41">
        <f>ROW(Source!A78)</f>
        <v>78</v>
      </c>
      <c r="B41">
        <v>53202630</v>
      </c>
      <c r="C41">
        <v>53203219</v>
      </c>
      <c r="D41">
        <v>48831518</v>
      </c>
      <c r="E41">
        <v>1</v>
      </c>
      <c r="F41">
        <v>1</v>
      </c>
      <c r="G41">
        <v>25</v>
      </c>
      <c r="H41">
        <v>3</v>
      </c>
      <c r="I41" t="s">
        <v>253</v>
      </c>
      <c r="J41" t="s">
        <v>254</v>
      </c>
      <c r="K41" t="s">
        <v>255</v>
      </c>
      <c r="L41">
        <v>1339</v>
      </c>
      <c r="N41">
        <v>1007</v>
      </c>
      <c r="O41" t="s">
        <v>50</v>
      </c>
      <c r="P41" t="s">
        <v>50</v>
      </c>
      <c r="Q41">
        <v>1</v>
      </c>
      <c r="W41">
        <v>0</v>
      </c>
      <c r="X41">
        <v>2077475540</v>
      </c>
      <c r="Y41">
        <v>0.23760000000000001</v>
      </c>
      <c r="AA41">
        <v>3148.82</v>
      </c>
      <c r="AB41">
        <v>0</v>
      </c>
      <c r="AC41">
        <v>0</v>
      </c>
      <c r="AD41">
        <v>0</v>
      </c>
      <c r="AE41">
        <v>3148.82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0.23760000000000001</v>
      </c>
      <c r="AU41" t="s">
        <v>3</v>
      </c>
      <c r="AV41">
        <v>0</v>
      </c>
      <c r="AW41">
        <v>2</v>
      </c>
      <c r="AX41">
        <v>53203232</v>
      </c>
      <c r="AY41">
        <v>1</v>
      </c>
      <c r="AZ41">
        <v>0</v>
      </c>
      <c r="BA41">
        <v>40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Y41*Source!I78</f>
        <v>7.1279999999999996E-2</v>
      </c>
      <c r="CY41">
        <f>AA41</f>
        <v>3148.82</v>
      </c>
      <c r="CZ41">
        <f>AE41</f>
        <v>3148.82</v>
      </c>
      <c r="DA41">
        <f>AI41</f>
        <v>1</v>
      </c>
      <c r="DB41">
        <f t="shared" si="2"/>
        <v>748.16</v>
      </c>
      <c r="DC41">
        <f t="shared" si="3"/>
        <v>0</v>
      </c>
    </row>
    <row r="42" spans="1:107" x14ac:dyDescent="0.2">
      <c r="A42">
        <f>ROW(Source!A114)</f>
        <v>114</v>
      </c>
      <c r="B42">
        <v>53202630</v>
      </c>
      <c r="C42">
        <v>53203235</v>
      </c>
      <c r="D42">
        <v>48814733</v>
      </c>
      <c r="E42">
        <v>25</v>
      </c>
      <c r="F42">
        <v>1</v>
      </c>
      <c r="G42">
        <v>25</v>
      </c>
      <c r="H42">
        <v>1</v>
      </c>
      <c r="I42" t="s">
        <v>204</v>
      </c>
      <c r="J42" t="s">
        <v>3</v>
      </c>
      <c r="K42" t="s">
        <v>205</v>
      </c>
      <c r="L42">
        <v>1191</v>
      </c>
      <c r="N42">
        <v>1013</v>
      </c>
      <c r="O42" t="s">
        <v>206</v>
      </c>
      <c r="P42" t="s">
        <v>206</v>
      </c>
      <c r="Q42">
        <v>1</v>
      </c>
      <c r="W42">
        <v>0</v>
      </c>
      <c r="X42">
        <v>476480486</v>
      </c>
      <c r="Y42">
        <v>89.24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89.24</v>
      </c>
      <c r="AU42" t="s">
        <v>3</v>
      </c>
      <c r="AV42">
        <v>1</v>
      </c>
      <c r="AW42">
        <v>2</v>
      </c>
      <c r="AX42">
        <v>53203241</v>
      </c>
      <c r="AY42">
        <v>1</v>
      </c>
      <c r="AZ42">
        <v>0</v>
      </c>
      <c r="BA42">
        <v>42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Y42*Source!I114</f>
        <v>437.27600000000001</v>
      </c>
      <c r="CY42">
        <f>AD42</f>
        <v>0</v>
      </c>
      <c r="CZ42">
        <f>AH42</f>
        <v>0</v>
      </c>
      <c r="DA42">
        <f>AL42</f>
        <v>1</v>
      </c>
      <c r="DB42">
        <f t="shared" si="2"/>
        <v>0</v>
      </c>
      <c r="DC42">
        <f t="shared" si="3"/>
        <v>0</v>
      </c>
    </row>
    <row r="43" spans="1:107" x14ac:dyDescent="0.2">
      <c r="A43">
        <f>ROW(Source!A114)</f>
        <v>114</v>
      </c>
      <c r="B43">
        <v>53202630</v>
      </c>
      <c r="C43">
        <v>53203235</v>
      </c>
      <c r="D43">
        <v>48827141</v>
      </c>
      <c r="E43">
        <v>1</v>
      </c>
      <c r="F43">
        <v>1</v>
      </c>
      <c r="G43">
        <v>25</v>
      </c>
      <c r="H43">
        <v>2</v>
      </c>
      <c r="I43" t="s">
        <v>240</v>
      </c>
      <c r="J43" t="s">
        <v>241</v>
      </c>
      <c r="K43" t="s">
        <v>242</v>
      </c>
      <c r="L43">
        <v>1368</v>
      </c>
      <c r="N43">
        <v>1011</v>
      </c>
      <c r="O43" t="s">
        <v>210</v>
      </c>
      <c r="P43" t="s">
        <v>210</v>
      </c>
      <c r="Q43">
        <v>1</v>
      </c>
      <c r="W43">
        <v>0</v>
      </c>
      <c r="X43">
        <v>-95869070</v>
      </c>
      <c r="Y43">
        <v>10.26</v>
      </c>
      <c r="AA43">
        <v>0</v>
      </c>
      <c r="AB43">
        <v>1942.21</v>
      </c>
      <c r="AC43">
        <v>436.39</v>
      </c>
      <c r="AD43">
        <v>0</v>
      </c>
      <c r="AE43">
        <v>0</v>
      </c>
      <c r="AF43">
        <v>1942.21</v>
      </c>
      <c r="AG43">
        <v>436.39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10.26</v>
      </c>
      <c r="AU43" t="s">
        <v>3</v>
      </c>
      <c r="AV43">
        <v>0</v>
      </c>
      <c r="AW43">
        <v>2</v>
      </c>
      <c r="AX43">
        <v>53203242</v>
      </c>
      <c r="AY43">
        <v>1</v>
      </c>
      <c r="AZ43">
        <v>0</v>
      </c>
      <c r="BA43">
        <v>43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Y43*Source!I114</f>
        <v>50.274000000000001</v>
      </c>
      <c r="CY43">
        <f>AB43</f>
        <v>1942.21</v>
      </c>
      <c r="CZ43">
        <f>AF43</f>
        <v>1942.21</v>
      </c>
      <c r="DA43">
        <f>AJ43</f>
        <v>1</v>
      </c>
      <c r="DB43">
        <f t="shared" si="2"/>
        <v>19927.07</v>
      </c>
      <c r="DC43">
        <f t="shared" si="3"/>
        <v>4477.3599999999997</v>
      </c>
    </row>
    <row r="44" spans="1:107" x14ac:dyDescent="0.2">
      <c r="A44">
        <f>ROW(Source!A114)</f>
        <v>114</v>
      </c>
      <c r="B44">
        <v>53202630</v>
      </c>
      <c r="C44">
        <v>53203235</v>
      </c>
      <c r="D44">
        <v>48829642</v>
      </c>
      <c r="E44">
        <v>1</v>
      </c>
      <c r="F44">
        <v>1</v>
      </c>
      <c r="G44">
        <v>25</v>
      </c>
      <c r="H44">
        <v>3</v>
      </c>
      <c r="I44" t="s">
        <v>243</v>
      </c>
      <c r="J44" t="s">
        <v>244</v>
      </c>
      <c r="K44" t="s">
        <v>245</v>
      </c>
      <c r="L44">
        <v>1327</v>
      </c>
      <c r="N44">
        <v>1005</v>
      </c>
      <c r="O44" t="s">
        <v>246</v>
      </c>
      <c r="P44" t="s">
        <v>246</v>
      </c>
      <c r="Q44">
        <v>1</v>
      </c>
      <c r="W44">
        <v>0</v>
      </c>
      <c r="X44">
        <v>-385315686</v>
      </c>
      <c r="Y44">
        <v>2.8</v>
      </c>
      <c r="AA44">
        <v>83.45</v>
      </c>
      <c r="AB44">
        <v>0</v>
      </c>
      <c r="AC44">
        <v>0</v>
      </c>
      <c r="AD44">
        <v>0</v>
      </c>
      <c r="AE44">
        <v>83.45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2.8</v>
      </c>
      <c r="AU44" t="s">
        <v>3</v>
      </c>
      <c r="AV44">
        <v>0</v>
      </c>
      <c r="AW44">
        <v>2</v>
      </c>
      <c r="AX44">
        <v>53203243</v>
      </c>
      <c r="AY44">
        <v>1</v>
      </c>
      <c r="AZ44">
        <v>0</v>
      </c>
      <c r="BA44">
        <v>44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Y44*Source!I114</f>
        <v>13.72</v>
      </c>
      <c r="CY44">
        <f>AA44</f>
        <v>83.45</v>
      </c>
      <c r="CZ44">
        <f>AE44</f>
        <v>83.45</v>
      </c>
      <c r="DA44">
        <f>AI44</f>
        <v>1</v>
      </c>
      <c r="DB44">
        <f t="shared" si="2"/>
        <v>233.66</v>
      </c>
      <c r="DC44">
        <f t="shared" si="3"/>
        <v>0</v>
      </c>
    </row>
    <row r="45" spans="1:107" x14ac:dyDescent="0.2">
      <c r="A45">
        <f>ROW(Source!A114)</f>
        <v>114</v>
      </c>
      <c r="B45">
        <v>53202630</v>
      </c>
      <c r="C45">
        <v>53203235</v>
      </c>
      <c r="D45">
        <v>48829679</v>
      </c>
      <c r="E45">
        <v>1</v>
      </c>
      <c r="F45">
        <v>1</v>
      </c>
      <c r="G45">
        <v>25</v>
      </c>
      <c r="H45">
        <v>3</v>
      </c>
      <c r="I45" t="s">
        <v>247</v>
      </c>
      <c r="J45" t="s">
        <v>248</v>
      </c>
      <c r="K45" t="s">
        <v>249</v>
      </c>
      <c r="L45">
        <v>1346</v>
      </c>
      <c r="N45">
        <v>1009</v>
      </c>
      <c r="O45" t="s">
        <v>233</v>
      </c>
      <c r="P45" t="s">
        <v>233</v>
      </c>
      <c r="Q45">
        <v>1</v>
      </c>
      <c r="W45">
        <v>0</v>
      </c>
      <c r="X45">
        <v>-51070253</v>
      </c>
      <c r="Y45">
        <v>0.1</v>
      </c>
      <c r="AA45">
        <v>166.07</v>
      </c>
      <c r="AB45">
        <v>0</v>
      </c>
      <c r="AC45">
        <v>0</v>
      </c>
      <c r="AD45">
        <v>0</v>
      </c>
      <c r="AE45">
        <v>166.07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0.1</v>
      </c>
      <c r="AU45" t="s">
        <v>3</v>
      </c>
      <c r="AV45">
        <v>0</v>
      </c>
      <c r="AW45">
        <v>2</v>
      </c>
      <c r="AX45">
        <v>53203244</v>
      </c>
      <c r="AY45">
        <v>1</v>
      </c>
      <c r="AZ45">
        <v>0</v>
      </c>
      <c r="BA45">
        <v>45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Y45*Source!I114</f>
        <v>0.49000000000000005</v>
      </c>
      <c r="CY45">
        <f>AA45</f>
        <v>166.07</v>
      </c>
      <c r="CZ45">
        <f>AE45</f>
        <v>166.07</v>
      </c>
      <c r="DA45">
        <f>AI45</f>
        <v>1</v>
      </c>
      <c r="DB45">
        <f t="shared" si="2"/>
        <v>16.61</v>
      </c>
      <c r="DC45">
        <f t="shared" si="3"/>
        <v>0</v>
      </c>
    </row>
    <row r="46" spans="1:107" x14ac:dyDescent="0.2">
      <c r="A46">
        <f>ROW(Source!A114)</f>
        <v>114</v>
      </c>
      <c r="B46">
        <v>53202630</v>
      </c>
      <c r="C46">
        <v>53203235</v>
      </c>
      <c r="D46">
        <v>48829817</v>
      </c>
      <c r="E46">
        <v>1</v>
      </c>
      <c r="F46">
        <v>1</v>
      </c>
      <c r="G46">
        <v>25</v>
      </c>
      <c r="H46">
        <v>3</v>
      </c>
      <c r="I46" t="s">
        <v>250</v>
      </c>
      <c r="J46" t="s">
        <v>251</v>
      </c>
      <c r="K46" t="s">
        <v>252</v>
      </c>
      <c r="L46">
        <v>1339</v>
      </c>
      <c r="N46">
        <v>1007</v>
      </c>
      <c r="O46" t="s">
        <v>50</v>
      </c>
      <c r="P46" t="s">
        <v>50</v>
      </c>
      <c r="Q46">
        <v>1</v>
      </c>
      <c r="W46">
        <v>0</v>
      </c>
      <c r="X46">
        <v>924487879</v>
      </c>
      <c r="Y46">
        <v>30</v>
      </c>
      <c r="AA46">
        <v>33.729999999999997</v>
      </c>
      <c r="AB46">
        <v>0</v>
      </c>
      <c r="AC46">
        <v>0</v>
      </c>
      <c r="AD46">
        <v>0</v>
      </c>
      <c r="AE46">
        <v>33.729999999999997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30</v>
      </c>
      <c r="AU46" t="s">
        <v>3</v>
      </c>
      <c r="AV46">
        <v>0</v>
      </c>
      <c r="AW46">
        <v>2</v>
      </c>
      <c r="AX46">
        <v>53203245</v>
      </c>
      <c r="AY46">
        <v>1</v>
      </c>
      <c r="AZ46">
        <v>0</v>
      </c>
      <c r="BA46">
        <v>46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Y46*Source!I114</f>
        <v>147</v>
      </c>
      <c r="CY46">
        <f>AA46</f>
        <v>33.729999999999997</v>
      </c>
      <c r="CZ46">
        <f>AE46</f>
        <v>33.729999999999997</v>
      </c>
      <c r="DA46">
        <f>AI46</f>
        <v>1</v>
      </c>
      <c r="DB46">
        <f t="shared" si="2"/>
        <v>1011.9</v>
      </c>
      <c r="DC46">
        <f t="shared" si="3"/>
        <v>0</v>
      </c>
    </row>
    <row r="47" spans="1:107" x14ac:dyDescent="0.2">
      <c r="A47">
        <f>ROW(Source!A115)</f>
        <v>115</v>
      </c>
      <c r="B47">
        <v>53202630</v>
      </c>
      <c r="C47">
        <v>53203246</v>
      </c>
      <c r="D47">
        <v>48814733</v>
      </c>
      <c r="E47">
        <v>25</v>
      </c>
      <c r="F47">
        <v>1</v>
      </c>
      <c r="G47">
        <v>25</v>
      </c>
      <c r="H47">
        <v>1</v>
      </c>
      <c r="I47" t="s">
        <v>204</v>
      </c>
      <c r="J47" t="s">
        <v>3</v>
      </c>
      <c r="K47" t="s">
        <v>205</v>
      </c>
      <c r="L47">
        <v>1191</v>
      </c>
      <c r="N47">
        <v>1013</v>
      </c>
      <c r="O47" t="s">
        <v>206</v>
      </c>
      <c r="P47" t="s">
        <v>206</v>
      </c>
      <c r="Q47">
        <v>1</v>
      </c>
      <c r="W47">
        <v>0</v>
      </c>
      <c r="X47">
        <v>476480486</v>
      </c>
      <c r="Y47">
        <v>18.89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18.89</v>
      </c>
      <c r="AU47" t="s">
        <v>3</v>
      </c>
      <c r="AV47">
        <v>1</v>
      </c>
      <c r="AW47">
        <v>2</v>
      </c>
      <c r="AX47">
        <v>53203250</v>
      </c>
      <c r="AY47">
        <v>1</v>
      </c>
      <c r="AZ47">
        <v>0</v>
      </c>
      <c r="BA47">
        <v>47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Y47*Source!I115</f>
        <v>174.01468</v>
      </c>
      <c r="CY47">
        <f>AD47</f>
        <v>0</v>
      </c>
      <c r="CZ47">
        <f>AH47</f>
        <v>0</v>
      </c>
      <c r="DA47">
        <f>AL47</f>
        <v>1</v>
      </c>
      <c r="DB47">
        <f t="shared" si="2"/>
        <v>0</v>
      </c>
      <c r="DC47">
        <f t="shared" si="3"/>
        <v>0</v>
      </c>
    </row>
    <row r="48" spans="1:107" x14ac:dyDescent="0.2">
      <c r="A48">
        <f>ROW(Source!A115)</f>
        <v>115</v>
      </c>
      <c r="B48">
        <v>53202630</v>
      </c>
      <c r="C48">
        <v>53203246</v>
      </c>
      <c r="D48">
        <v>48831476</v>
      </c>
      <c r="E48">
        <v>1</v>
      </c>
      <c r="F48">
        <v>1</v>
      </c>
      <c r="G48">
        <v>25</v>
      </c>
      <c r="H48">
        <v>3</v>
      </c>
      <c r="I48" t="s">
        <v>256</v>
      </c>
      <c r="J48" t="s">
        <v>257</v>
      </c>
      <c r="K48" t="s">
        <v>258</v>
      </c>
      <c r="L48">
        <v>1346</v>
      </c>
      <c r="N48">
        <v>1009</v>
      </c>
      <c r="O48" t="s">
        <v>233</v>
      </c>
      <c r="P48" t="s">
        <v>233</v>
      </c>
      <c r="Q48">
        <v>1</v>
      </c>
      <c r="W48">
        <v>0</v>
      </c>
      <c r="X48">
        <v>253361717</v>
      </c>
      <c r="Y48">
        <v>0.7</v>
      </c>
      <c r="AA48">
        <v>32.549999999999997</v>
      </c>
      <c r="AB48">
        <v>0</v>
      </c>
      <c r="AC48">
        <v>0</v>
      </c>
      <c r="AD48">
        <v>0</v>
      </c>
      <c r="AE48">
        <v>32.549999999999997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0.7</v>
      </c>
      <c r="AU48" t="s">
        <v>3</v>
      </c>
      <c r="AV48">
        <v>0</v>
      </c>
      <c r="AW48">
        <v>2</v>
      </c>
      <c r="AX48">
        <v>53203251</v>
      </c>
      <c r="AY48">
        <v>1</v>
      </c>
      <c r="AZ48">
        <v>0</v>
      </c>
      <c r="BA48">
        <v>48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Y48*Source!I115</f>
        <v>6.4483999999999995</v>
      </c>
      <c r="CY48">
        <f>AA48</f>
        <v>32.549999999999997</v>
      </c>
      <c r="CZ48">
        <f>AE48</f>
        <v>32.549999999999997</v>
      </c>
      <c r="DA48">
        <f>AI48</f>
        <v>1</v>
      </c>
      <c r="DB48">
        <f t="shared" si="2"/>
        <v>22.79</v>
      </c>
      <c r="DC48">
        <f t="shared" si="3"/>
        <v>0</v>
      </c>
    </row>
    <row r="49" spans="1:107" x14ac:dyDescent="0.2">
      <c r="A49">
        <f>ROW(Source!A115)</f>
        <v>115</v>
      </c>
      <c r="B49">
        <v>53202630</v>
      </c>
      <c r="C49">
        <v>53203246</v>
      </c>
      <c r="D49">
        <v>48831482</v>
      </c>
      <c r="E49">
        <v>1</v>
      </c>
      <c r="F49">
        <v>1</v>
      </c>
      <c r="G49">
        <v>25</v>
      </c>
      <c r="H49">
        <v>3</v>
      </c>
      <c r="I49" t="s">
        <v>259</v>
      </c>
      <c r="J49" t="s">
        <v>260</v>
      </c>
      <c r="K49" t="s">
        <v>261</v>
      </c>
      <c r="L49">
        <v>1346</v>
      </c>
      <c r="N49">
        <v>1009</v>
      </c>
      <c r="O49" t="s">
        <v>233</v>
      </c>
      <c r="P49" t="s">
        <v>233</v>
      </c>
      <c r="Q49">
        <v>1</v>
      </c>
      <c r="W49">
        <v>0</v>
      </c>
      <c r="X49">
        <v>1241851292</v>
      </c>
      <c r="Y49">
        <v>350</v>
      </c>
      <c r="AA49">
        <v>12.26</v>
      </c>
      <c r="AB49">
        <v>0</v>
      </c>
      <c r="AC49">
        <v>0</v>
      </c>
      <c r="AD49">
        <v>0</v>
      </c>
      <c r="AE49">
        <v>12.26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350</v>
      </c>
      <c r="AU49" t="s">
        <v>3</v>
      </c>
      <c r="AV49">
        <v>0</v>
      </c>
      <c r="AW49">
        <v>2</v>
      </c>
      <c r="AX49">
        <v>53203252</v>
      </c>
      <c r="AY49">
        <v>1</v>
      </c>
      <c r="AZ49">
        <v>0</v>
      </c>
      <c r="BA49">
        <v>49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Y49*Source!I115</f>
        <v>3224.2</v>
      </c>
      <c r="CY49">
        <f>AA49</f>
        <v>12.26</v>
      </c>
      <c r="CZ49">
        <f>AE49</f>
        <v>12.26</v>
      </c>
      <c r="DA49">
        <f>AI49</f>
        <v>1</v>
      </c>
      <c r="DB49">
        <f t="shared" si="2"/>
        <v>4291</v>
      </c>
      <c r="DC49">
        <f t="shared" si="3"/>
        <v>0</v>
      </c>
    </row>
    <row r="50" spans="1:107" x14ac:dyDescent="0.2">
      <c r="A50">
        <f>ROW(Source!A183)</f>
        <v>183</v>
      </c>
      <c r="B50">
        <v>53202630</v>
      </c>
      <c r="C50">
        <v>53203253</v>
      </c>
      <c r="D50">
        <v>48814733</v>
      </c>
      <c r="E50">
        <v>25</v>
      </c>
      <c r="F50">
        <v>1</v>
      </c>
      <c r="G50">
        <v>25</v>
      </c>
      <c r="H50">
        <v>1</v>
      </c>
      <c r="I50" t="s">
        <v>204</v>
      </c>
      <c r="J50" t="s">
        <v>3</v>
      </c>
      <c r="K50" t="s">
        <v>205</v>
      </c>
      <c r="L50">
        <v>1191</v>
      </c>
      <c r="N50">
        <v>1013</v>
      </c>
      <c r="O50" t="s">
        <v>206</v>
      </c>
      <c r="P50" t="s">
        <v>206</v>
      </c>
      <c r="Q50">
        <v>1</v>
      </c>
      <c r="W50">
        <v>0</v>
      </c>
      <c r="X50">
        <v>476480486</v>
      </c>
      <c r="Y50">
        <v>51.93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51.93</v>
      </c>
      <c r="AU50" t="s">
        <v>3</v>
      </c>
      <c r="AV50">
        <v>1</v>
      </c>
      <c r="AW50">
        <v>2</v>
      </c>
      <c r="AX50">
        <v>53203258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Y50*Source!I183</f>
        <v>467.37</v>
      </c>
      <c r="CY50">
        <f>AD50</f>
        <v>0</v>
      </c>
      <c r="CZ50">
        <f>AH50</f>
        <v>0</v>
      </c>
      <c r="DA50">
        <f>AL50</f>
        <v>1</v>
      </c>
      <c r="DB50">
        <f t="shared" si="2"/>
        <v>0</v>
      </c>
      <c r="DC50">
        <f t="shared" si="3"/>
        <v>0</v>
      </c>
    </row>
    <row r="51" spans="1:107" x14ac:dyDescent="0.2">
      <c r="A51">
        <f>ROW(Source!A183)</f>
        <v>183</v>
      </c>
      <c r="B51">
        <v>53202630</v>
      </c>
      <c r="C51">
        <v>53203253</v>
      </c>
      <c r="D51">
        <v>48826950</v>
      </c>
      <c r="E51">
        <v>1</v>
      </c>
      <c r="F51">
        <v>1</v>
      </c>
      <c r="G51">
        <v>25</v>
      </c>
      <c r="H51">
        <v>2</v>
      </c>
      <c r="I51" t="s">
        <v>207</v>
      </c>
      <c r="J51" t="s">
        <v>208</v>
      </c>
      <c r="K51" t="s">
        <v>209</v>
      </c>
      <c r="L51">
        <v>1368</v>
      </c>
      <c r="N51">
        <v>1011</v>
      </c>
      <c r="O51" t="s">
        <v>210</v>
      </c>
      <c r="P51" t="s">
        <v>210</v>
      </c>
      <c r="Q51">
        <v>1</v>
      </c>
      <c r="W51">
        <v>0</v>
      </c>
      <c r="X51">
        <v>-1632395109</v>
      </c>
      <c r="Y51">
        <v>2.02</v>
      </c>
      <c r="AA51">
        <v>0</v>
      </c>
      <c r="AB51">
        <v>779.95</v>
      </c>
      <c r="AC51">
        <v>426.8</v>
      </c>
      <c r="AD51">
        <v>0</v>
      </c>
      <c r="AE51">
        <v>0</v>
      </c>
      <c r="AF51">
        <v>779.95</v>
      </c>
      <c r="AG51">
        <v>426.8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2.02</v>
      </c>
      <c r="AU51" t="s">
        <v>3</v>
      </c>
      <c r="AV51">
        <v>0</v>
      </c>
      <c r="AW51">
        <v>2</v>
      </c>
      <c r="AX51">
        <v>53203259</v>
      </c>
      <c r="AY51">
        <v>1</v>
      </c>
      <c r="AZ51">
        <v>0</v>
      </c>
      <c r="BA51">
        <v>51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Y51*Source!I183</f>
        <v>18.18</v>
      </c>
      <c r="CY51">
        <f>AB51</f>
        <v>779.95</v>
      </c>
      <c r="CZ51">
        <f>AF51</f>
        <v>779.95</v>
      </c>
      <c r="DA51">
        <f>AJ51</f>
        <v>1</v>
      </c>
      <c r="DB51">
        <f t="shared" si="2"/>
        <v>1575.5</v>
      </c>
      <c r="DC51">
        <f t="shared" si="3"/>
        <v>862.14</v>
      </c>
    </row>
    <row r="52" spans="1:107" x14ac:dyDescent="0.2">
      <c r="A52">
        <f>ROW(Source!A183)</f>
        <v>183</v>
      </c>
      <c r="B52">
        <v>53202630</v>
      </c>
      <c r="C52">
        <v>53203253</v>
      </c>
      <c r="D52">
        <v>48831526</v>
      </c>
      <c r="E52">
        <v>1</v>
      </c>
      <c r="F52">
        <v>1</v>
      </c>
      <c r="G52">
        <v>25</v>
      </c>
      <c r="H52">
        <v>3</v>
      </c>
      <c r="I52" t="s">
        <v>211</v>
      </c>
      <c r="J52" t="s">
        <v>212</v>
      </c>
      <c r="K52" t="s">
        <v>213</v>
      </c>
      <c r="L52">
        <v>1339</v>
      </c>
      <c r="N52">
        <v>1007</v>
      </c>
      <c r="O52" t="s">
        <v>50</v>
      </c>
      <c r="P52" t="s">
        <v>50</v>
      </c>
      <c r="Q52">
        <v>1</v>
      </c>
      <c r="W52">
        <v>0</v>
      </c>
      <c r="X52">
        <v>589210780</v>
      </c>
      <c r="Y52">
        <v>3.88</v>
      </c>
      <c r="AA52">
        <v>810.33</v>
      </c>
      <c r="AB52">
        <v>0</v>
      </c>
      <c r="AC52">
        <v>0</v>
      </c>
      <c r="AD52">
        <v>0</v>
      </c>
      <c r="AE52">
        <v>810.33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3.88</v>
      </c>
      <c r="AU52" t="s">
        <v>3</v>
      </c>
      <c r="AV52">
        <v>0</v>
      </c>
      <c r="AW52">
        <v>2</v>
      </c>
      <c r="AX52">
        <v>53203260</v>
      </c>
      <c r="AY52">
        <v>1</v>
      </c>
      <c r="AZ52">
        <v>0</v>
      </c>
      <c r="BA52">
        <v>52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Y52*Source!I183</f>
        <v>34.92</v>
      </c>
      <c r="CY52">
        <f>AA52</f>
        <v>810.33</v>
      </c>
      <c r="CZ52">
        <f>AE52</f>
        <v>810.33</v>
      </c>
      <c r="DA52">
        <f>AI52</f>
        <v>1</v>
      </c>
      <c r="DB52">
        <f t="shared" si="2"/>
        <v>3144.08</v>
      </c>
      <c r="DC52">
        <f t="shared" si="3"/>
        <v>0</v>
      </c>
    </row>
    <row r="53" spans="1:107" x14ac:dyDescent="0.2">
      <c r="A53">
        <f>ROW(Source!A183)</f>
        <v>183</v>
      </c>
      <c r="B53">
        <v>53202630</v>
      </c>
      <c r="C53">
        <v>53203253</v>
      </c>
      <c r="D53">
        <v>48831517</v>
      </c>
      <c r="E53">
        <v>1</v>
      </c>
      <c r="F53">
        <v>1</v>
      </c>
      <c r="G53">
        <v>25</v>
      </c>
      <c r="H53">
        <v>3</v>
      </c>
      <c r="I53" t="s">
        <v>214</v>
      </c>
      <c r="J53" t="s">
        <v>215</v>
      </c>
      <c r="K53" t="s">
        <v>216</v>
      </c>
      <c r="L53">
        <v>1339</v>
      </c>
      <c r="N53">
        <v>1007</v>
      </c>
      <c r="O53" t="s">
        <v>50</v>
      </c>
      <c r="P53" t="s">
        <v>50</v>
      </c>
      <c r="Q53">
        <v>1</v>
      </c>
      <c r="W53">
        <v>0</v>
      </c>
      <c r="X53">
        <v>1949937456</v>
      </c>
      <c r="Y53">
        <v>11.6</v>
      </c>
      <c r="AA53">
        <v>753.67</v>
      </c>
      <c r="AB53">
        <v>0</v>
      </c>
      <c r="AC53">
        <v>0</v>
      </c>
      <c r="AD53">
        <v>0</v>
      </c>
      <c r="AE53">
        <v>753.67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11.6</v>
      </c>
      <c r="AU53" t="s">
        <v>3</v>
      </c>
      <c r="AV53">
        <v>0</v>
      </c>
      <c r="AW53">
        <v>2</v>
      </c>
      <c r="AX53">
        <v>53203261</v>
      </c>
      <c r="AY53">
        <v>1</v>
      </c>
      <c r="AZ53">
        <v>0</v>
      </c>
      <c r="BA53">
        <v>53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Y53*Source!I183</f>
        <v>104.39999999999999</v>
      </c>
      <c r="CY53">
        <f>AA53</f>
        <v>753.67</v>
      </c>
      <c r="CZ53">
        <f>AE53</f>
        <v>753.67</v>
      </c>
      <c r="DA53">
        <f>AI53</f>
        <v>1</v>
      </c>
      <c r="DB53">
        <f t="shared" si="2"/>
        <v>8742.57</v>
      </c>
      <c r="DC53">
        <f t="shared" si="3"/>
        <v>0</v>
      </c>
    </row>
    <row r="54" spans="1:107" x14ac:dyDescent="0.2">
      <c r="A54">
        <f>ROW(Source!A184)</f>
        <v>184</v>
      </c>
      <c r="B54">
        <v>53202630</v>
      </c>
      <c r="C54">
        <v>53203262</v>
      </c>
      <c r="D54">
        <v>48814733</v>
      </c>
      <c r="E54">
        <v>25</v>
      </c>
      <c r="F54">
        <v>1</v>
      </c>
      <c r="G54">
        <v>25</v>
      </c>
      <c r="H54">
        <v>1</v>
      </c>
      <c r="I54" t="s">
        <v>204</v>
      </c>
      <c r="J54" t="s">
        <v>3</v>
      </c>
      <c r="K54" t="s">
        <v>205</v>
      </c>
      <c r="L54">
        <v>1191</v>
      </c>
      <c r="N54">
        <v>1013</v>
      </c>
      <c r="O54" t="s">
        <v>206</v>
      </c>
      <c r="P54" t="s">
        <v>206</v>
      </c>
      <c r="Q54">
        <v>1</v>
      </c>
      <c r="W54">
        <v>0</v>
      </c>
      <c r="X54">
        <v>476480486</v>
      </c>
      <c r="Y54">
        <v>79.569999999999993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79.569999999999993</v>
      </c>
      <c r="AU54" t="s">
        <v>3</v>
      </c>
      <c r="AV54">
        <v>1</v>
      </c>
      <c r="AW54">
        <v>2</v>
      </c>
      <c r="AX54">
        <v>53203266</v>
      </c>
      <c r="AY54">
        <v>1</v>
      </c>
      <c r="AZ54">
        <v>0</v>
      </c>
      <c r="BA54">
        <v>54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Y54*Source!I184</f>
        <v>238.70999999999998</v>
      </c>
      <c r="CY54">
        <f>AD54</f>
        <v>0</v>
      </c>
      <c r="CZ54">
        <f>AH54</f>
        <v>0</v>
      </c>
      <c r="DA54">
        <f>AL54</f>
        <v>1</v>
      </c>
      <c r="DB54">
        <f t="shared" si="2"/>
        <v>0</v>
      </c>
      <c r="DC54">
        <f t="shared" si="3"/>
        <v>0</v>
      </c>
    </row>
    <row r="55" spans="1:107" x14ac:dyDescent="0.2">
      <c r="A55">
        <f>ROW(Source!A184)</f>
        <v>184</v>
      </c>
      <c r="B55">
        <v>53202630</v>
      </c>
      <c r="C55">
        <v>53203262</v>
      </c>
      <c r="D55">
        <v>48831526</v>
      </c>
      <c r="E55">
        <v>1</v>
      </c>
      <c r="F55">
        <v>1</v>
      </c>
      <c r="G55">
        <v>25</v>
      </c>
      <c r="H55">
        <v>3</v>
      </c>
      <c r="I55" t="s">
        <v>211</v>
      </c>
      <c r="J55" t="s">
        <v>212</v>
      </c>
      <c r="K55" t="s">
        <v>213</v>
      </c>
      <c r="L55">
        <v>1339</v>
      </c>
      <c r="N55">
        <v>1007</v>
      </c>
      <c r="O55" t="s">
        <v>50</v>
      </c>
      <c r="P55" t="s">
        <v>50</v>
      </c>
      <c r="Q55">
        <v>1</v>
      </c>
      <c r="W55">
        <v>0</v>
      </c>
      <c r="X55">
        <v>589210780</v>
      </c>
      <c r="Y55">
        <v>1.94</v>
      </c>
      <c r="AA55">
        <v>810.33</v>
      </c>
      <c r="AB55">
        <v>0</v>
      </c>
      <c r="AC55">
        <v>0</v>
      </c>
      <c r="AD55">
        <v>0</v>
      </c>
      <c r="AE55">
        <v>810.33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1.94</v>
      </c>
      <c r="AU55" t="s">
        <v>3</v>
      </c>
      <c r="AV55">
        <v>0</v>
      </c>
      <c r="AW55">
        <v>2</v>
      </c>
      <c r="AX55">
        <v>53203267</v>
      </c>
      <c r="AY55">
        <v>1</v>
      </c>
      <c r="AZ55">
        <v>0</v>
      </c>
      <c r="BA55">
        <v>55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Y55*Source!I184</f>
        <v>5.82</v>
      </c>
      <c r="CY55">
        <f>AA55</f>
        <v>810.33</v>
      </c>
      <c r="CZ55">
        <f>AE55</f>
        <v>810.33</v>
      </c>
      <c r="DA55">
        <f>AI55</f>
        <v>1</v>
      </c>
      <c r="DB55">
        <f t="shared" si="2"/>
        <v>1572.04</v>
      </c>
      <c r="DC55">
        <f t="shared" si="3"/>
        <v>0</v>
      </c>
    </row>
    <row r="56" spans="1:107" x14ac:dyDescent="0.2">
      <c r="A56">
        <f>ROW(Source!A184)</f>
        <v>184</v>
      </c>
      <c r="B56">
        <v>53202630</v>
      </c>
      <c r="C56">
        <v>53203262</v>
      </c>
      <c r="D56">
        <v>48831517</v>
      </c>
      <c r="E56">
        <v>1</v>
      </c>
      <c r="F56">
        <v>1</v>
      </c>
      <c r="G56">
        <v>25</v>
      </c>
      <c r="H56">
        <v>3</v>
      </c>
      <c r="I56" t="s">
        <v>214</v>
      </c>
      <c r="J56" t="s">
        <v>215</v>
      </c>
      <c r="K56" t="s">
        <v>216</v>
      </c>
      <c r="L56">
        <v>1339</v>
      </c>
      <c r="N56">
        <v>1007</v>
      </c>
      <c r="O56" t="s">
        <v>50</v>
      </c>
      <c r="P56" t="s">
        <v>50</v>
      </c>
      <c r="Q56">
        <v>1</v>
      </c>
      <c r="W56">
        <v>0</v>
      </c>
      <c r="X56">
        <v>1949937456</v>
      </c>
      <c r="Y56">
        <v>5.81</v>
      </c>
      <c r="AA56">
        <v>753.67</v>
      </c>
      <c r="AB56">
        <v>0</v>
      </c>
      <c r="AC56">
        <v>0</v>
      </c>
      <c r="AD56">
        <v>0</v>
      </c>
      <c r="AE56">
        <v>753.67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5.81</v>
      </c>
      <c r="AU56" t="s">
        <v>3</v>
      </c>
      <c r="AV56">
        <v>0</v>
      </c>
      <c r="AW56">
        <v>2</v>
      </c>
      <c r="AX56">
        <v>53203268</v>
      </c>
      <c r="AY56">
        <v>1</v>
      </c>
      <c r="AZ56">
        <v>0</v>
      </c>
      <c r="BA56">
        <v>56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Y56*Source!I184</f>
        <v>17.43</v>
      </c>
      <c r="CY56">
        <f>AA56</f>
        <v>753.67</v>
      </c>
      <c r="CZ56">
        <f>AE56</f>
        <v>753.67</v>
      </c>
      <c r="DA56">
        <f>AI56</f>
        <v>1</v>
      </c>
      <c r="DB56">
        <f t="shared" si="2"/>
        <v>4378.82</v>
      </c>
      <c r="DC56">
        <f t="shared" si="3"/>
        <v>0</v>
      </c>
    </row>
    <row r="57" spans="1:107" x14ac:dyDescent="0.2">
      <c r="A57">
        <f>ROW(Source!A185)</f>
        <v>185</v>
      </c>
      <c r="B57">
        <v>53202630</v>
      </c>
      <c r="C57">
        <v>53203269</v>
      </c>
      <c r="D57">
        <v>48814733</v>
      </c>
      <c r="E57">
        <v>25</v>
      </c>
      <c r="F57">
        <v>1</v>
      </c>
      <c r="G57">
        <v>25</v>
      </c>
      <c r="H57">
        <v>1</v>
      </c>
      <c r="I57" t="s">
        <v>204</v>
      </c>
      <c r="J57" t="s">
        <v>3</v>
      </c>
      <c r="K57" t="s">
        <v>205</v>
      </c>
      <c r="L57">
        <v>1191</v>
      </c>
      <c r="N57">
        <v>1013</v>
      </c>
      <c r="O57" t="s">
        <v>206</v>
      </c>
      <c r="P57" t="s">
        <v>206</v>
      </c>
      <c r="Q57">
        <v>1</v>
      </c>
      <c r="W57">
        <v>0</v>
      </c>
      <c r="X57">
        <v>476480486</v>
      </c>
      <c r="Y57">
        <v>83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83</v>
      </c>
      <c r="AU57" t="s">
        <v>3</v>
      </c>
      <c r="AV57">
        <v>1</v>
      </c>
      <c r="AW57">
        <v>2</v>
      </c>
      <c r="AX57">
        <v>53203271</v>
      </c>
      <c r="AY57">
        <v>1</v>
      </c>
      <c r="AZ57">
        <v>0</v>
      </c>
      <c r="BA57">
        <v>57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Y57*Source!I185</f>
        <v>77.19</v>
      </c>
      <c r="CY57">
        <f>AD57</f>
        <v>0</v>
      </c>
      <c r="CZ57">
        <f>AH57</f>
        <v>0</v>
      </c>
      <c r="DA57">
        <f>AL57</f>
        <v>1</v>
      </c>
      <c r="DB57">
        <f t="shared" si="2"/>
        <v>0</v>
      </c>
      <c r="DC57">
        <f t="shared" si="3"/>
        <v>0</v>
      </c>
    </row>
    <row r="58" spans="1:107" x14ac:dyDescent="0.2">
      <c r="A58">
        <f>ROW(Source!A186)</f>
        <v>186</v>
      </c>
      <c r="B58">
        <v>53202630</v>
      </c>
      <c r="C58">
        <v>53203272</v>
      </c>
      <c r="D58">
        <v>48814733</v>
      </c>
      <c r="E58">
        <v>25</v>
      </c>
      <c r="F58">
        <v>1</v>
      </c>
      <c r="G58">
        <v>25</v>
      </c>
      <c r="H58">
        <v>1</v>
      </c>
      <c r="I58" t="s">
        <v>204</v>
      </c>
      <c r="J58" t="s">
        <v>3</v>
      </c>
      <c r="K58" t="s">
        <v>205</v>
      </c>
      <c r="L58">
        <v>1191</v>
      </c>
      <c r="N58">
        <v>1013</v>
      </c>
      <c r="O58" t="s">
        <v>206</v>
      </c>
      <c r="P58" t="s">
        <v>206</v>
      </c>
      <c r="Q58">
        <v>1</v>
      </c>
      <c r="W58">
        <v>0</v>
      </c>
      <c r="X58">
        <v>476480486</v>
      </c>
      <c r="Y58">
        <v>0.65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0.65</v>
      </c>
      <c r="AU58" t="s">
        <v>3</v>
      </c>
      <c r="AV58">
        <v>1</v>
      </c>
      <c r="AW58">
        <v>2</v>
      </c>
      <c r="AX58">
        <v>53203275</v>
      </c>
      <c r="AY58">
        <v>1</v>
      </c>
      <c r="AZ58">
        <v>0</v>
      </c>
      <c r="BA58">
        <v>58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Y58*Source!I186</f>
        <v>18.134999999999998</v>
      </c>
      <c r="CY58">
        <f>AD58</f>
        <v>0</v>
      </c>
      <c r="CZ58">
        <f>AH58</f>
        <v>0</v>
      </c>
      <c r="DA58">
        <f>AL58</f>
        <v>1</v>
      </c>
      <c r="DB58">
        <f t="shared" si="2"/>
        <v>0</v>
      </c>
      <c r="DC58">
        <f t="shared" si="3"/>
        <v>0</v>
      </c>
    </row>
    <row r="59" spans="1:107" x14ac:dyDescent="0.2">
      <c r="A59">
        <f>ROW(Source!A186)</f>
        <v>186</v>
      </c>
      <c r="B59">
        <v>53202630</v>
      </c>
      <c r="C59">
        <v>53203272</v>
      </c>
      <c r="D59">
        <v>48826951</v>
      </c>
      <c r="E59">
        <v>1</v>
      </c>
      <c r="F59">
        <v>1</v>
      </c>
      <c r="G59">
        <v>25</v>
      </c>
      <c r="H59">
        <v>2</v>
      </c>
      <c r="I59" t="s">
        <v>217</v>
      </c>
      <c r="J59" t="s">
        <v>218</v>
      </c>
      <c r="K59" t="s">
        <v>219</v>
      </c>
      <c r="L59">
        <v>1368</v>
      </c>
      <c r="N59">
        <v>1011</v>
      </c>
      <c r="O59" t="s">
        <v>210</v>
      </c>
      <c r="P59" t="s">
        <v>210</v>
      </c>
      <c r="Q59">
        <v>1</v>
      </c>
      <c r="W59">
        <v>0</v>
      </c>
      <c r="X59">
        <v>-1596360565</v>
      </c>
      <c r="Y59">
        <v>0.54</v>
      </c>
      <c r="AA59">
        <v>0</v>
      </c>
      <c r="AB59">
        <v>2191.2199999999998</v>
      </c>
      <c r="AC59">
        <v>808.59</v>
      </c>
      <c r="AD59">
        <v>0</v>
      </c>
      <c r="AE59">
        <v>0</v>
      </c>
      <c r="AF59">
        <v>2191.2199999999998</v>
      </c>
      <c r="AG59">
        <v>808.59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0.54</v>
      </c>
      <c r="AU59" t="s">
        <v>3</v>
      </c>
      <c r="AV59">
        <v>0</v>
      </c>
      <c r="AW59">
        <v>2</v>
      </c>
      <c r="AX59">
        <v>53203276</v>
      </c>
      <c r="AY59">
        <v>1</v>
      </c>
      <c r="AZ59">
        <v>0</v>
      </c>
      <c r="BA59">
        <v>59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Y59*Source!I186</f>
        <v>15.066000000000001</v>
      </c>
      <c r="CY59">
        <f>AB59</f>
        <v>2191.2199999999998</v>
      </c>
      <c r="CZ59">
        <f>AF59</f>
        <v>2191.2199999999998</v>
      </c>
      <c r="DA59">
        <f>AJ59</f>
        <v>1</v>
      </c>
      <c r="DB59">
        <f t="shared" si="2"/>
        <v>1183.26</v>
      </c>
      <c r="DC59">
        <f t="shared" si="3"/>
        <v>436.64</v>
      </c>
    </row>
    <row r="60" spans="1:107" x14ac:dyDescent="0.2">
      <c r="A60">
        <f>ROW(Source!A187)</f>
        <v>187</v>
      </c>
      <c r="B60">
        <v>53202630</v>
      </c>
      <c r="C60">
        <v>53203277</v>
      </c>
      <c r="D60">
        <v>48827727</v>
      </c>
      <c r="E60">
        <v>1</v>
      </c>
      <c r="F60">
        <v>1</v>
      </c>
      <c r="G60">
        <v>25</v>
      </c>
      <c r="H60">
        <v>2</v>
      </c>
      <c r="I60" t="s">
        <v>220</v>
      </c>
      <c r="J60" t="s">
        <v>221</v>
      </c>
      <c r="K60" t="s">
        <v>222</v>
      </c>
      <c r="L60">
        <v>1368</v>
      </c>
      <c r="N60">
        <v>1011</v>
      </c>
      <c r="O60" t="s">
        <v>210</v>
      </c>
      <c r="P60" t="s">
        <v>210</v>
      </c>
      <c r="Q60">
        <v>1</v>
      </c>
      <c r="W60">
        <v>0</v>
      </c>
      <c r="X60">
        <v>1852708047</v>
      </c>
      <c r="Y60">
        <v>3.1E-2</v>
      </c>
      <c r="AA60">
        <v>0</v>
      </c>
      <c r="AB60">
        <v>993.6</v>
      </c>
      <c r="AC60">
        <v>301.8</v>
      </c>
      <c r="AD60">
        <v>0</v>
      </c>
      <c r="AE60">
        <v>0</v>
      </c>
      <c r="AF60">
        <v>993.6</v>
      </c>
      <c r="AG60">
        <v>301.8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3.1E-2</v>
      </c>
      <c r="AU60" t="s">
        <v>3</v>
      </c>
      <c r="AV60">
        <v>0</v>
      </c>
      <c r="AW60">
        <v>2</v>
      </c>
      <c r="AX60">
        <v>53203279</v>
      </c>
      <c r="AY60">
        <v>1</v>
      </c>
      <c r="AZ60">
        <v>0</v>
      </c>
      <c r="BA60">
        <v>60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Y60*Source!I187</f>
        <v>11.532</v>
      </c>
      <c r="CY60">
        <f>AB60</f>
        <v>993.6</v>
      </c>
      <c r="CZ60">
        <f>AF60</f>
        <v>993.6</v>
      </c>
      <c r="DA60">
        <f>AJ60</f>
        <v>1</v>
      </c>
      <c r="DB60">
        <f t="shared" si="2"/>
        <v>30.8</v>
      </c>
      <c r="DC60">
        <f t="shared" si="3"/>
        <v>9.36</v>
      </c>
    </row>
    <row r="61" spans="1:107" x14ac:dyDescent="0.2">
      <c r="A61">
        <f>ROW(Source!A188)</f>
        <v>188</v>
      </c>
      <c r="B61">
        <v>53202630</v>
      </c>
      <c r="C61">
        <v>53203280</v>
      </c>
      <c r="D61">
        <v>48827727</v>
      </c>
      <c r="E61">
        <v>1</v>
      </c>
      <c r="F61">
        <v>1</v>
      </c>
      <c r="G61">
        <v>25</v>
      </c>
      <c r="H61">
        <v>2</v>
      </c>
      <c r="I61" t="s">
        <v>220</v>
      </c>
      <c r="J61" t="s">
        <v>221</v>
      </c>
      <c r="K61" t="s">
        <v>222</v>
      </c>
      <c r="L61">
        <v>1368</v>
      </c>
      <c r="N61">
        <v>1011</v>
      </c>
      <c r="O61" t="s">
        <v>210</v>
      </c>
      <c r="P61" t="s">
        <v>210</v>
      </c>
      <c r="Q61">
        <v>1</v>
      </c>
      <c r="W61">
        <v>0</v>
      </c>
      <c r="X61">
        <v>1852708047</v>
      </c>
      <c r="Y61">
        <v>0.41000000000000003</v>
      </c>
      <c r="AA61">
        <v>0</v>
      </c>
      <c r="AB61">
        <v>993.6</v>
      </c>
      <c r="AC61">
        <v>301.8</v>
      </c>
      <c r="AD61">
        <v>0</v>
      </c>
      <c r="AE61">
        <v>0</v>
      </c>
      <c r="AF61">
        <v>993.6</v>
      </c>
      <c r="AG61">
        <v>301.8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1</v>
      </c>
      <c r="AQ61">
        <v>0</v>
      </c>
      <c r="AR61">
        <v>0</v>
      </c>
      <c r="AS61" t="s">
        <v>3</v>
      </c>
      <c r="AT61">
        <v>0.01</v>
      </c>
      <c r="AU61" t="s">
        <v>57</v>
      </c>
      <c r="AV61">
        <v>0</v>
      </c>
      <c r="AW61">
        <v>2</v>
      </c>
      <c r="AX61">
        <v>53203282</v>
      </c>
      <c r="AY61">
        <v>1</v>
      </c>
      <c r="AZ61">
        <v>0</v>
      </c>
      <c r="BA61">
        <v>61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Y61*Source!I188</f>
        <v>152.52000000000001</v>
      </c>
      <c r="CY61">
        <f>AB61</f>
        <v>993.6</v>
      </c>
      <c r="CZ61">
        <f>AF61</f>
        <v>993.6</v>
      </c>
      <c r="DA61">
        <f>AJ61</f>
        <v>1</v>
      </c>
      <c r="DB61">
        <f>ROUND((ROUND(AT61*CZ61,2)*41),6)</f>
        <v>407.54</v>
      </c>
      <c r="DC61">
        <f>ROUND((ROUND(AT61*AG61,2)*41),6)</f>
        <v>123.82</v>
      </c>
    </row>
    <row r="62" spans="1:107" x14ac:dyDescent="0.2">
      <c r="A62">
        <f>ROW(Source!A189)</f>
        <v>189</v>
      </c>
      <c r="B62">
        <v>53202630</v>
      </c>
      <c r="C62">
        <v>53203283</v>
      </c>
      <c r="D62">
        <v>48814733</v>
      </c>
      <c r="E62">
        <v>25</v>
      </c>
      <c r="F62">
        <v>1</v>
      </c>
      <c r="G62">
        <v>25</v>
      </c>
      <c r="H62">
        <v>1</v>
      </c>
      <c r="I62" t="s">
        <v>204</v>
      </c>
      <c r="J62" t="s">
        <v>3</v>
      </c>
      <c r="K62" t="s">
        <v>205</v>
      </c>
      <c r="L62">
        <v>1191</v>
      </c>
      <c r="N62">
        <v>1013</v>
      </c>
      <c r="O62" t="s">
        <v>206</v>
      </c>
      <c r="P62" t="s">
        <v>206</v>
      </c>
      <c r="Q62">
        <v>1</v>
      </c>
      <c r="W62">
        <v>0</v>
      </c>
      <c r="X62">
        <v>476480486</v>
      </c>
      <c r="Y62">
        <v>231.15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231.15</v>
      </c>
      <c r="AU62" t="s">
        <v>3</v>
      </c>
      <c r="AV62">
        <v>1</v>
      </c>
      <c r="AW62">
        <v>2</v>
      </c>
      <c r="AX62">
        <v>53203290</v>
      </c>
      <c r="AY62">
        <v>1</v>
      </c>
      <c r="AZ62">
        <v>0</v>
      </c>
      <c r="BA62">
        <v>62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Y62*Source!I189</f>
        <v>2773.8</v>
      </c>
      <c r="CY62">
        <f>AD62</f>
        <v>0</v>
      </c>
      <c r="CZ62">
        <f>AH62</f>
        <v>0</v>
      </c>
      <c r="DA62">
        <f>AL62</f>
        <v>1</v>
      </c>
      <c r="DB62">
        <f t="shared" ref="DB62:DB98" si="4">ROUND(ROUND(AT62*CZ62,2),6)</f>
        <v>0</v>
      </c>
      <c r="DC62">
        <f t="shared" ref="DC62:DC98" si="5">ROUND(ROUND(AT62*AG62,2),6)</f>
        <v>0</v>
      </c>
    </row>
    <row r="63" spans="1:107" x14ac:dyDescent="0.2">
      <c r="A63">
        <f>ROW(Source!A189)</f>
        <v>189</v>
      </c>
      <c r="B63">
        <v>53202630</v>
      </c>
      <c r="C63">
        <v>53203283</v>
      </c>
      <c r="D63">
        <v>48827823</v>
      </c>
      <c r="E63">
        <v>1</v>
      </c>
      <c r="F63">
        <v>1</v>
      </c>
      <c r="G63">
        <v>25</v>
      </c>
      <c r="H63">
        <v>2</v>
      </c>
      <c r="I63" t="s">
        <v>223</v>
      </c>
      <c r="J63" t="s">
        <v>224</v>
      </c>
      <c r="K63" t="s">
        <v>225</v>
      </c>
      <c r="L63">
        <v>1368</v>
      </c>
      <c r="N63">
        <v>1011</v>
      </c>
      <c r="O63" t="s">
        <v>210</v>
      </c>
      <c r="P63" t="s">
        <v>210</v>
      </c>
      <c r="Q63">
        <v>1</v>
      </c>
      <c r="W63">
        <v>0</v>
      </c>
      <c r="X63">
        <v>1477925804</v>
      </c>
      <c r="Y63">
        <v>1.2</v>
      </c>
      <c r="AA63">
        <v>0</v>
      </c>
      <c r="AB63">
        <v>285.44</v>
      </c>
      <c r="AC63">
        <v>0.28000000000000003</v>
      </c>
      <c r="AD63">
        <v>0</v>
      </c>
      <c r="AE63">
        <v>0</v>
      </c>
      <c r="AF63">
        <v>285.44</v>
      </c>
      <c r="AG63">
        <v>0.28000000000000003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1.2</v>
      </c>
      <c r="AU63" t="s">
        <v>3</v>
      </c>
      <c r="AV63">
        <v>0</v>
      </c>
      <c r="AW63">
        <v>2</v>
      </c>
      <c r="AX63">
        <v>53203291</v>
      </c>
      <c r="AY63">
        <v>1</v>
      </c>
      <c r="AZ63">
        <v>0</v>
      </c>
      <c r="BA63">
        <v>63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Y63*Source!I189</f>
        <v>14.399999999999999</v>
      </c>
      <c r="CY63">
        <f>AB63</f>
        <v>285.44</v>
      </c>
      <c r="CZ63">
        <f>AF63</f>
        <v>285.44</v>
      </c>
      <c r="DA63">
        <f>AJ63</f>
        <v>1</v>
      </c>
      <c r="DB63">
        <f t="shared" si="4"/>
        <v>342.53</v>
      </c>
      <c r="DC63">
        <f t="shared" si="5"/>
        <v>0.34</v>
      </c>
    </row>
    <row r="64" spans="1:107" x14ac:dyDescent="0.2">
      <c r="A64">
        <f>ROW(Source!A189)</f>
        <v>189</v>
      </c>
      <c r="B64">
        <v>53202630</v>
      </c>
      <c r="C64">
        <v>53203283</v>
      </c>
      <c r="D64">
        <v>48828895</v>
      </c>
      <c r="E64">
        <v>1</v>
      </c>
      <c r="F64">
        <v>1</v>
      </c>
      <c r="G64">
        <v>25</v>
      </c>
      <c r="H64">
        <v>3</v>
      </c>
      <c r="I64" t="s">
        <v>226</v>
      </c>
      <c r="J64" t="s">
        <v>227</v>
      </c>
      <c r="K64" t="s">
        <v>228</v>
      </c>
      <c r="L64">
        <v>1348</v>
      </c>
      <c r="N64">
        <v>1009</v>
      </c>
      <c r="O64" t="s">
        <v>229</v>
      </c>
      <c r="P64" t="s">
        <v>229</v>
      </c>
      <c r="Q64">
        <v>1000</v>
      </c>
      <c r="W64">
        <v>0</v>
      </c>
      <c r="X64">
        <v>-785747182</v>
      </c>
      <c r="Y64">
        <v>0.06</v>
      </c>
      <c r="AA64">
        <v>52914.53</v>
      </c>
      <c r="AB64">
        <v>0</v>
      </c>
      <c r="AC64">
        <v>0</v>
      </c>
      <c r="AD64">
        <v>0</v>
      </c>
      <c r="AE64">
        <v>52914.53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0.06</v>
      </c>
      <c r="AU64" t="s">
        <v>3</v>
      </c>
      <c r="AV64">
        <v>0</v>
      </c>
      <c r="AW64">
        <v>2</v>
      </c>
      <c r="AX64">
        <v>53203292</v>
      </c>
      <c r="AY64">
        <v>1</v>
      </c>
      <c r="AZ64">
        <v>0</v>
      </c>
      <c r="BA64">
        <v>64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Y64*Source!I189</f>
        <v>0.72</v>
      </c>
      <c r="CY64">
        <f>AA64</f>
        <v>52914.53</v>
      </c>
      <c r="CZ64">
        <f>AE64</f>
        <v>52914.53</v>
      </c>
      <c r="DA64">
        <f>AI64</f>
        <v>1</v>
      </c>
      <c r="DB64">
        <f t="shared" si="4"/>
        <v>3174.87</v>
      </c>
      <c r="DC64">
        <f t="shared" si="5"/>
        <v>0</v>
      </c>
    </row>
    <row r="65" spans="1:107" x14ac:dyDescent="0.2">
      <c r="A65">
        <f>ROW(Source!A189)</f>
        <v>189</v>
      </c>
      <c r="B65">
        <v>53202630</v>
      </c>
      <c r="C65">
        <v>53203283</v>
      </c>
      <c r="D65">
        <v>48829630</v>
      </c>
      <c r="E65">
        <v>1</v>
      </c>
      <c r="F65">
        <v>1</v>
      </c>
      <c r="G65">
        <v>25</v>
      </c>
      <c r="H65">
        <v>3</v>
      </c>
      <c r="I65" t="s">
        <v>230</v>
      </c>
      <c r="J65" t="s">
        <v>231</v>
      </c>
      <c r="K65" t="s">
        <v>232</v>
      </c>
      <c r="L65">
        <v>1346</v>
      </c>
      <c r="N65">
        <v>1009</v>
      </c>
      <c r="O65" t="s">
        <v>233</v>
      </c>
      <c r="P65" t="s">
        <v>233</v>
      </c>
      <c r="Q65">
        <v>1</v>
      </c>
      <c r="W65">
        <v>0</v>
      </c>
      <c r="X65">
        <v>-1657742588</v>
      </c>
      <c r="Y65">
        <v>5</v>
      </c>
      <c r="AA65">
        <v>170.28</v>
      </c>
      <c r="AB65">
        <v>0</v>
      </c>
      <c r="AC65">
        <v>0</v>
      </c>
      <c r="AD65">
        <v>0</v>
      </c>
      <c r="AE65">
        <v>170.28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5</v>
      </c>
      <c r="AU65" t="s">
        <v>3</v>
      </c>
      <c r="AV65">
        <v>0</v>
      </c>
      <c r="AW65">
        <v>2</v>
      </c>
      <c r="AX65">
        <v>53203293</v>
      </c>
      <c r="AY65">
        <v>1</v>
      </c>
      <c r="AZ65">
        <v>0</v>
      </c>
      <c r="BA65">
        <v>65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Y65*Source!I189</f>
        <v>60</v>
      </c>
      <c r="CY65">
        <f>AA65</f>
        <v>170.28</v>
      </c>
      <c r="CZ65">
        <f>AE65</f>
        <v>170.28</v>
      </c>
      <c r="DA65">
        <f>AI65</f>
        <v>1</v>
      </c>
      <c r="DB65">
        <f t="shared" si="4"/>
        <v>851.4</v>
      </c>
      <c r="DC65">
        <f t="shared" si="5"/>
        <v>0</v>
      </c>
    </row>
    <row r="66" spans="1:107" x14ac:dyDescent="0.2">
      <c r="A66">
        <f>ROW(Source!A189)</f>
        <v>189</v>
      </c>
      <c r="B66">
        <v>53202630</v>
      </c>
      <c r="C66">
        <v>53203283</v>
      </c>
      <c r="D66">
        <v>48828522</v>
      </c>
      <c r="E66">
        <v>1</v>
      </c>
      <c r="F66">
        <v>1</v>
      </c>
      <c r="G66">
        <v>25</v>
      </c>
      <c r="H66">
        <v>3</v>
      </c>
      <c r="I66" t="s">
        <v>234</v>
      </c>
      <c r="J66" t="s">
        <v>235</v>
      </c>
      <c r="K66" t="s">
        <v>236</v>
      </c>
      <c r="L66">
        <v>1339</v>
      </c>
      <c r="N66">
        <v>1007</v>
      </c>
      <c r="O66" t="s">
        <v>50</v>
      </c>
      <c r="P66" t="s">
        <v>50</v>
      </c>
      <c r="Q66">
        <v>1</v>
      </c>
      <c r="W66">
        <v>0</v>
      </c>
      <c r="X66">
        <v>770955183</v>
      </c>
      <c r="Y66">
        <v>2</v>
      </c>
      <c r="AA66">
        <v>6697.08</v>
      </c>
      <c r="AB66">
        <v>0</v>
      </c>
      <c r="AC66">
        <v>0</v>
      </c>
      <c r="AD66">
        <v>0</v>
      </c>
      <c r="AE66">
        <v>6697.08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2</v>
      </c>
      <c r="AU66" t="s">
        <v>3</v>
      </c>
      <c r="AV66">
        <v>0</v>
      </c>
      <c r="AW66">
        <v>2</v>
      </c>
      <c r="AX66">
        <v>53203294</v>
      </c>
      <c r="AY66">
        <v>1</v>
      </c>
      <c r="AZ66">
        <v>0</v>
      </c>
      <c r="BA66">
        <v>66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Y66*Source!I189</f>
        <v>24</v>
      </c>
      <c r="CY66">
        <f>AA66</f>
        <v>6697.08</v>
      </c>
      <c r="CZ66">
        <f>AE66</f>
        <v>6697.08</v>
      </c>
      <c r="DA66">
        <f>AI66</f>
        <v>1</v>
      </c>
      <c r="DB66">
        <f t="shared" si="4"/>
        <v>13394.16</v>
      </c>
      <c r="DC66">
        <f t="shared" si="5"/>
        <v>0</v>
      </c>
    </row>
    <row r="67" spans="1:107" x14ac:dyDescent="0.2">
      <c r="A67">
        <f>ROW(Source!A189)</f>
        <v>189</v>
      </c>
      <c r="B67">
        <v>53202630</v>
      </c>
      <c r="C67">
        <v>53203283</v>
      </c>
      <c r="D67">
        <v>48828555</v>
      </c>
      <c r="E67">
        <v>1</v>
      </c>
      <c r="F67">
        <v>1</v>
      </c>
      <c r="G67">
        <v>25</v>
      </c>
      <c r="H67">
        <v>3</v>
      </c>
      <c r="I67" t="s">
        <v>237</v>
      </c>
      <c r="J67" t="s">
        <v>238</v>
      </c>
      <c r="K67" t="s">
        <v>239</v>
      </c>
      <c r="L67">
        <v>1339</v>
      </c>
      <c r="N67">
        <v>1007</v>
      </c>
      <c r="O67" t="s">
        <v>50</v>
      </c>
      <c r="P67" t="s">
        <v>50</v>
      </c>
      <c r="Q67">
        <v>1</v>
      </c>
      <c r="W67">
        <v>0</v>
      </c>
      <c r="X67">
        <v>-1878549391</v>
      </c>
      <c r="Y67">
        <v>0.6</v>
      </c>
      <c r="AA67">
        <v>3141.36</v>
      </c>
      <c r="AB67">
        <v>0</v>
      </c>
      <c r="AC67">
        <v>0</v>
      </c>
      <c r="AD67">
        <v>0</v>
      </c>
      <c r="AE67">
        <v>3141.36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0.6</v>
      </c>
      <c r="AU67" t="s">
        <v>3</v>
      </c>
      <c r="AV67">
        <v>0</v>
      </c>
      <c r="AW67">
        <v>2</v>
      </c>
      <c r="AX67">
        <v>53203295</v>
      </c>
      <c r="AY67">
        <v>1</v>
      </c>
      <c r="AZ67">
        <v>0</v>
      </c>
      <c r="BA67">
        <v>67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Y67*Source!I189</f>
        <v>7.1999999999999993</v>
      </c>
      <c r="CY67">
        <f>AA67</f>
        <v>3141.36</v>
      </c>
      <c r="CZ67">
        <f>AE67</f>
        <v>3141.36</v>
      </c>
      <c r="DA67">
        <f>AI67</f>
        <v>1</v>
      </c>
      <c r="DB67">
        <f t="shared" si="4"/>
        <v>1884.82</v>
      </c>
      <c r="DC67">
        <f t="shared" si="5"/>
        <v>0</v>
      </c>
    </row>
    <row r="68" spans="1:107" x14ac:dyDescent="0.2">
      <c r="A68">
        <f>ROW(Source!A190)</f>
        <v>190</v>
      </c>
      <c r="B68">
        <v>53202630</v>
      </c>
      <c r="C68">
        <v>53203296</v>
      </c>
      <c r="D68">
        <v>48814733</v>
      </c>
      <c r="E68">
        <v>25</v>
      </c>
      <c r="F68">
        <v>1</v>
      </c>
      <c r="G68">
        <v>25</v>
      </c>
      <c r="H68">
        <v>1</v>
      </c>
      <c r="I68" t="s">
        <v>204</v>
      </c>
      <c r="J68" t="s">
        <v>3</v>
      </c>
      <c r="K68" t="s">
        <v>205</v>
      </c>
      <c r="L68">
        <v>1191</v>
      </c>
      <c r="N68">
        <v>1013</v>
      </c>
      <c r="O68" t="s">
        <v>206</v>
      </c>
      <c r="P68" t="s">
        <v>206</v>
      </c>
      <c r="Q68">
        <v>1</v>
      </c>
      <c r="W68">
        <v>0</v>
      </c>
      <c r="X68">
        <v>476480486</v>
      </c>
      <c r="Y68">
        <v>68.08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68.08</v>
      </c>
      <c r="AU68" t="s">
        <v>3</v>
      </c>
      <c r="AV68">
        <v>1</v>
      </c>
      <c r="AW68">
        <v>2</v>
      </c>
      <c r="AX68">
        <v>53203304</v>
      </c>
      <c r="AY68">
        <v>1</v>
      </c>
      <c r="AZ68">
        <v>0</v>
      </c>
      <c r="BA68">
        <v>68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Y68*Source!I190</f>
        <v>816.96</v>
      </c>
      <c r="CY68">
        <f>AD68</f>
        <v>0</v>
      </c>
      <c r="CZ68">
        <f>AH68</f>
        <v>0</v>
      </c>
      <c r="DA68">
        <f>AL68</f>
        <v>1</v>
      </c>
      <c r="DB68">
        <f t="shared" si="4"/>
        <v>0</v>
      </c>
      <c r="DC68">
        <f t="shared" si="5"/>
        <v>0</v>
      </c>
    </row>
    <row r="69" spans="1:107" x14ac:dyDescent="0.2">
      <c r="A69">
        <f>ROW(Source!A190)</f>
        <v>190</v>
      </c>
      <c r="B69">
        <v>53202630</v>
      </c>
      <c r="C69">
        <v>53203296</v>
      </c>
      <c r="D69">
        <v>48827141</v>
      </c>
      <c r="E69">
        <v>1</v>
      </c>
      <c r="F69">
        <v>1</v>
      </c>
      <c r="G69">
        <v>25</v>
      </c>
      <c r="H69">
        <v>2</v>
      </c>
      <c r="I69" t="s">
        <v>240</v>
      </c>
      <c r="J69" t="s">
        <v>241</v>
      </c>
      <c r="K69" t="s">
        <v>242</v>
      </c>
      <c r="L69">
        <v>1368</v>
      </c>
      <c r="N69">
        <v>1011</v>
      </c>
      <c r="O69" t="s">
        <v>210</v>
      </c>
      <c r="P69" t="s">
        <v>210</v>
      </c>
      <c r="Q69">
        <v>1</v>
      </c>
      <c r="W69">
        <v>0</v>
      </c>
      <c r="X69">
        <v>-95869070</v>
      </c>
      <c r="Y69">
        <v>2.19</v>
      </c>
      <c r="AA69">
        <v>0</v>
      </c>
      <c r="AB69">
        <v>1942.21</v>
      </c>
      <c r="AC69">
        <v>436.39</v>
      </c>
      <c r="AD69">
        <v>0</v>
      </c>
      <c r="AE69">
        <v>0</v>
      </c>
      <c r="AF69">
        <v>1942.21</v>
      </c>
      <c r="AG69">
        <v>436.39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2.19</v>
      </c>
      <c r="AU69" t="s">
        <v>3</v>
      </c>
      <c r="AV69">
        <v>0</v>
      </c>
      <c r="AW69">
        <v>2</v>
      </c>
      <c r="AX69">
        <v>53203305</v>
      </c>
      <c r="AY69">
        <v>1</v>
      </c>
      <c r="AZ69">
        <v>0</v>
      </c>
      <c r="BA69">
        <v>69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Y69*Source!I190</f>
        <v>26.28</v>
      </c>
      <c r="CY69">
        <f>AB69</f>
        <v>1942.21</v>
      </c>
      <c r="CZ69">
        <f>AF69</f>
        <v>1942.21</v>
      </c>
      <c r="DA69">
        <f>AJ69</f>
        <v>1</v>
      </c>
      <c r="DB69">
        <f t="shared" si="4"/>
        <v>4253.4399999999996</v>
      </c>
      <c r="DC69">
        <f t="shared" si="5"/>
        <v>955.69</v>
      </c>
    </row>
    <row r="70" spans="1:107" x14ac:dyDescent="0.2">
      <c r="A70">
        <f>ROW(Source!A190)</f>
        <v>190</v>
      </c>
      <c r="B70">
        <v>53202630</v>
      </c>
      <c r="C70">
        <v>53203296</v>
      </c>
      <c r="D70">
        <v>48829642</v>
      </c>
      <c r="E70">
        <v>1</v>
      </c>
      <c r="F70">
        <v>1</v>
      </c>
      <c r="G70">
        <v>25</v>
      </c>
      <c r="H70">
        <v>3</v>
      </c>
      <c r="I70" t="s">
        <v>243</v>
      </c>
      <c r="J70" t="s">
        <v>244</v>
      </c>
      <c r="K70" t="s">
        <v>245</v>
      </c>
      <c r="L70">
        <v>1327</v>
      </c>
      <c r="N70">
        <v>1005</v>
      </c>
      <c r="O70" t="s">
        <v>246</v>
      </c>
      <c r="P70" t="s">
        <v>246</v>
      </c>
      <c r="Q70">
        <v>1</v>
      </c>
      <c r="W70">
        <v>0</v>
      </c>
      <c r="X70">
        <v>-385315686</v>
      </c>
      <c r="Y70">
        <v>2</v>
      </c>
      <c r="AA70">
        <v>83.45</v>
      </c>
      <c r="AB70">
        <v>0</v>
      </c>
      <c r="AC70">
        <v>0</v>
      </c>
      <c r="AD70">
        <v>0</v>
      </c>
      <c r="AE70">
        <v>83.45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2</v>
      </c>
      <c r="AU70" t="s">
        <v>3</v>
      </c>
      <c r="AV70">
        <v>0</v>
      </c>
      <c r="AW70">
        <v>2</v>
      </c>
      <c r="AX70">
        <v>53203306</v>
      </c>
      <c r="AY70">
        <v>1</v>
      </c>
      <c r="AZ70">
        <v>0</v>
      </c>
      <c r="BA70">
        <v>70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Y70*Source!I190</f>
        <v>24</v>
      </c>
      <c r="CY70">
        <f>AA70</f>
        <v>83.45</v>
      </c>
      <c r="CZ70">
        <f>AE70</f>
        <v>83.45</v>
      </c>
      <c r="DA70">
        <f>AI70</f>
        <v>1</v>
      </c>
      <c r="DB70">
        <f t="shared" si="4"/>
        <v>166.9</v>
      </c>
      <c r="DC70">
        <f t="shared" si="5"/>
        <v>0</v>
      </c>
    </row>
    <row r="71" spans="1:107" x14ac:dyDescent="0.2">
      <c r="A71">
        <f>ROW(Source!A190)</f>
        <v>190</v>
      </c>
      <c r="B71">
        <v>53202630</v>
      </c>
      <c r="C71">
        <v>53203296</v>
      </c>
      <c r="D71">
        <v>48829679</v>
      </c>
      <c r="E71">
        <v>1</v>
      </c>
      <c r="F71">
        <v>1</v>
      </c>
      <c r="G71">
        <v>25</v>
      </c>
      <c r="H71">
        <v>3</v>
      </c>
      <c r="I71" t="s">
        <v>247</v>
      </c>
      <c r="J71" t="s">
        <v>248</v>
      </c>
      <c r="K71" t="s">
        <v>249</v>
      </c>
      <c r="L71">
        <v>1346</v>
      </c>
      <c r="N71">
        <v>1009</v>
      </c>
      <c r="O71" t="s">
        <v>233</v>
      </c>
      <c r="P71" t="s">
        <v>233</v>
      </c>
      <c r="Q71">
        <v>1</v>
      </c>
      <c r="W71">
        <v>0</v>
      </c>
      <c r="X71">
        <v>-51070253</v>
      </c>
      <c r="Y71">
        <v>0.3</v>
      </c>
      <c r="AA71">
        <v>166.07</v>
      </c>
      <c r="AB71">
        <v>0</v>
      </c>
      <c r="AC71">
        <v>0</v>
      </c>
      <c r="AD71">
        <v>0</v>
      </c>
      <c r="AE71">
        <v>166.07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0.3</v>
      </c>
      <c r="AU71" t="s">
        <v>3</v>
      </c>
      <c r="AV71">
        <v>0</v>
      </c>
      <c r="AW71">
        <v>2</v>
      </c>
      <c r="AX71">
        <v>53203307</v>
      </c>
      <c r="AY71">
        <v>1</v>
      </c>
      <c r="AZ71">
        <v>0</v>
      </c>
      <c r="BA71">
        <v>71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Y71*Source!I190</f>
        <v>3.5999999999999996</v>
      </c>
      <c r="CY71">
        <f>AA71</f>
        <v>166.07</v>
      </c>
      <c r="CZ71">
        <f>AE71</f>
        <v>166.07</v>
      </c>
      <c r="DA71">
        <f>AI71</f>
        <v>1</v>
      </c>
      <c r="DB71">
        <f t="shared" si="4"/>
        <v>49.82</v>
      </c>
      <c r="DC71">
        <f t="shared" si="5"/>
        <v>0</v>
      </c>
    </row>
    <row r="72" spans="1:107" x14ac:dyDescent="0.2">
      <c r="A72">
        <f>ROW(Source!A190)</f>
        <v>190</v>
      </c>
      <c r="B72">
        <v>53202630</v>
      </c>
      <c r="C72">
        <v>53203296</v>
      </c>
      <c r="D72">
        <v>48829817</v>
      </c>
      <c r="E72">
        <v>1</v>
      </c>
      <c r="F72">
        <v>1</v>
      </c>
      <c r="G72">
        <v>25</v>
      </c>
      <c r="H72">
        <v>3</v>
      </c>
      <c r="I72" t="s">
        <v>250</v>
      </c>
      <c r="J72" t="s">
        <v>251</v>
      </c>
      <c r="K72" t="s">
        <v>252</v>
      </c>
      <c r="L72">
        <v>1339</v>
      </c>
      <c r="N72">
        <v>1007</v>
      </c>
      <c r="O72" t="s">
        <v>50</v>
      </c>
      <c r="P72" t="s">
        <v>50</v>
      </c>
      <c r="Q72">
        <v>1</v>
      </c>
      <c r="W72">
        <v>0</v>
      </c>
      <c r="X72">
        <v>924487879</v>
      </c>
      <c r="Y72">
        <v>7</v>
      </c>
      <c r="AA72">
        <v>33.729999999999997</v>
      </c>
      <c r="AB72">
        <v>0</v>
      </c>
      <c r="AC72">
        <v>0</v>
      </c>
      <c r="AD72">
        <v>0</v>
      </c>
      <c r="AE72">
        <v>33.729999999999997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7</v>
      </c>
      <c r="AU72" t="s">
        <v>3</v>
      </c>
      <c r="AV72">
        <v>0</v>
      </c>
      <c r="AW72">
        <v>2</v>
      </c>
      <c r="AX72">
        <v>53203308</v>
      </c>
      <c r="AY72">
        <v>1</v>
      </c>
      <c r="AZ72">
        <v>0</v>
      </c>
      <c r="BA72">
        <v>72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Y72*Source!I190</f>
        <v>84</v>
      </c>
      <c r="CY72">
        <f>AA72</f>
        <v>33.729999999999997</v>
      </c>
      <c r="CZ72">
        <f>AE72</f>
        <v>33.729999999999997</v>
      </c>
      <c r="DA72">
        <f>AI72</f>
        <v>1</v>
      </c>
      <c r="DB72">
        <f t="shared" si="4"/>
        <v>236.11</v>
      </c>
      <c r="DC72">
        <f t="shared" si="5"/>
        <v>0</v>
      </c>
    </row>
    <row r="73" spans="1:107" x14ac:dyDescent="0.2">
      <c r="A73">
        <f>ROW(Source!A190)</f>
        <v>190</v>
      </c>
      <c r="B73">
        <v>53202630</v>
      </c>
      <c r="C73">
        <v>53203296</v>
      </c>
      <c r="D73">
        <v>48831099</v>
      </c>
      <c r="E73">
        <v>1</v>
      </c>
      <c r="F73">
        <v>1</v>
      </c>
      <c r="G73">
        <v>25</v>
      </c>
      <c r="H73">
        <v>3</v>
      </c>
      <c r="I73" t="s">
        <v>173</v>
      </c>
      <c r="J73" t="s">
        <v>175</v>
      </c>
      <c r="K73" t="s">
        <v>174</v>
      </c>
      <c r="L73">
        <v>1354</v>
      </c>
      <c r="N73">
        <v>1010</v>
      </c>
      <c r="O73" t="s">
        <v>70</v>
      </c>
      <c r="P73" t="s">
        <v>70</v>
      </c>
      <c r="Q73">
        <v>1</v>
      </c>
      <c r="W73">
        <v>0</v>
      </c>
      <c r="X73">
        <v>-800209048</v>
      </c>
      <c r="Y73">
        <v>10</v>
      </c>
      <c r="AA73">
        <v>8631.6</v>
      </c>
      <c r="AB73">
        <v>0</v>
      </c>
      <c r="AC73">
        <v>0</v>
      </c>
      <c r="AD73">
        <v>0</v>
      </c>
      <c r="AE73">
        <v>8631.6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3</v>
      </c>
      <c r="AT73">
        <v>10</v>
      </c>
      <c r="AU73" t="s">
        <v>3</v>
      </c>
      <c r="AV73">
        <v>0</v>
      </c>
      <c r="AW73">
        <v>1</v>
      </c>
      <c r="AX73">
        <v>-1</v>
      </c>
      <c r="AY73">
        <v>0</v>
      </c>
      <c r="AZ73">
        <v>0</v>
      </c>
      <c r="BA73" t="s">
        <v>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Y73*Source!I190</f>
        <v>120</v>
      </c>
      <c r="CY73">
        <f>AA73</f>
        <v>8631.6</v>
      </c>
      <c r="CZ73">
        <f>AE73</f>
        <v>8631.6</v>
      </c>
      <c r="DA73">
        <f>AI73</f>
        <v>1</v>
      </c>
      <c r="DB73">
        <f t="shared" si="4"/>
        <v>86316</v>
      </c>
      <c r="DC73">
        <f t="shared" si="5"/>
        <v>0</v>
      </c>
    </row>
    <row r="74" spans="1:107" x14ac:dyDescent="0.2">
      <c r="A74">
        <f>ROW(Source!A190)</f>
        <v>190</v>
      </c>
      <c r="B74">
        <v>53202630</v>
      </c>
      <c r="C74">
        <v>53203296</v>
      </c>
      <c r="D74">
        <v>48831518</v>
      </c>
      <c r="E74">
        <v>1</v>
      </c>
      <c r="F74">
        <v>1</v>
      </c>
      <c r="G74">
        <v>25</v>
      </c>
      <c r="H74">
        <v>3</v>
      </c>
      <c r="I74" t="s">
        <v>253</v>
      </c>
      <c r="J74" t="s">
        <v>254</v>
      </c>
      <c r="K74" t="s">
        <v>255</v>
      </c>
      <c r="L74">
        <v>1339</v>
      </c>
      <c r="N74">
        <v>1007</v>
      </c>
      <c r="O74" t="s">
        <v>50</v>
      </c>
      <c r="P74" t="s">
        <v>50</v>
      </c>
      <c r="Q74">
        <v>1</v>
      </c>
      <c r="W74">
        <v>0</v>
      </c>
      <c r="X74">
        <v>2077475540</v>
      </c>
      <c r="Y74">
        <v>0.15840000000000001</v>
      </c>
      <c r="AA74">
        <v>3148.82</v>
      </c>
      <c r="AB74">
        <v>0</v>
      </c>
      <c r="AC74">
        <v>0</v>
      </c>
      <c r="AD74">
        <v>0</v>
      </c>
      <c r="AE74">
        <v>3148.82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0.15840000000000001</v>
      </c>
      <c r="AU74" t="s">
        <v>3</v>
      </c>
      <c r="AV74">
        <v>0</v>
      </c>
      <c r="AW74">
        <v>2</v>
      </c>
      <c r="AX74">
        <v>53203309</v>
      </c>
      <c r="AY74">
        <v>1</v>
      </c>
      <c r="AZ74">
        <v>0</v>
      </c>
      <c r="BA74">
        <v>73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Y74*Source!I190</f>
        <v>1.9008000000000003</v>
      </c>
      <c r="CY74">
        <f>AA74</f>
        <v>3148.82</v>
      </c>
      <c r="CZ74">
        <f>AE74</f>
        <v>3148.82</v>
      </c>
      <c r="DA74">
        <f>AI74</f>
        <v>1</v>
      </c>
      <c r="DB74">
        <f t="shared" si="4"/>
        <v>498.77</v>
      </c>
      <c r="DC74">
        <f t="shared" si="5"/>
        <v>0</v>
      </c>
    </row>
    <row r="75" spans="1:107" x14ac:dyDescent="0.2">
      <c r="A75">
        <f>ROW(Source!A226)</f>
        <v>226</v>
      </c>
      <c r="B75">
        <v>53202630</v>
      </c>
      <c r="C75">
        <v>53203312</v>
      </c>
      <c r="D75">
        <v>48814733</v>
      </c>
      <c r="E75">
        <v>25</v>
      </c>
      <c r="F75">
        <v>1</v>
      </c>
      <c r="G75">
        <v>25</v>
      </c>
      <c r="H75">
        <v>1</v>
      </c>
      <c r="I75" t="s">
        <v>204</v>
      </c>
      <c r="J75" t="s">
        <v>3</v>
      </c>
      <c r="K75" t="s">
        <v>205</v>
      </c>
      <c r="L75">
        <v>1191</v>
      </c>
      <c r="N75">
        <v>1013</v>
      </c>
      <c r="O75" t="s">
        <v>206</v>
      </c>
      <c r="P75" t="s">
        <v>206</v>
      </c>
      <c r="Q75">
        <v>1</v>
      </c>
      <c r="W75">
        <v>0</v>
      </c>
      <c r="X75">
        <v>476480486</v>
      </c>
      <c r="Y75">
        <v>231.15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231.15</v>
      </c>
      <c r="AU75" t="s">
        <v>3</v>
      </c>
      <c r="AV75">
        <v>1</v>
      </c>
      <c r="AW75">
        <v>2</v>
      </c>
      <c r="AX75">
        <v>53203319</v>
      </c>
      <c r="AY75">
        <v>1</v>
      </c>
      <c r="AZ75">
        <v>0</v>
      </c>
      <c r="BA75">
        <v>75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Y75*Source!I226</f>
        <v>138.69</v>
      </c>
      <c r="CY75">
        <f>AD75</f>
        <v>0</v>
      </c>
      <c r="CZ75">
        <f>AH75</f>
        <v>0</v>
      </c>
      <c r="DA75">
        <f>AL75</f>
        <v>1</v>
      </c>
      <c r="DB75">
        <f t="shared" si="4"/>
        <v>0</v>
      </c>
      <c r="DC75">
        <f t="shared" si="5"/>
        <v>0</v>
      </c>
    </row>
    <row r="76" spans="1:107" x14ac:dyDescent="0.2">
      <c r="A76">
        <f>ROW(Source!A226)</f>
        <v>226</v>
      </c>
      <c r="B76">
        <v>53202630</v>
      </c>
      <c r="C76">
        <v>53203312</v>
      </c>
      <c r="D76">
        <v>48827823</v>
      </c>
      <c r="E76">
        <v>1</v>
      </c>
      <c r="F76">
        <v>1</v>
      </c>
      <c r="G76">
        <v>25</v>
      </c>
      <c r="H76">
        <v>2</v>
      </c>
      <c r="I76" t="s">
        <v>223</v>
      </c>
      <c r="J76" t="s">
        <v>224</v>
      </c>
      <c r="K76" t="s">
        <v>225</v>
      </c>
      <c r="L76">
        <v>1368</v>
      </c>
      <c r="N76">
        <v>1011</v>
      </c>
      <c r="O76" t="s">
        <v>210</v>
      </c>
      <c r="P76" t="s">
        <v>210</v>
      </c>
      <c r="Q76">
        <v>1</v>
      </c>
      <c r="W76">
        <v>0</v>
      </c>
      <c r="X76">
        <v>1477925804</v>
      </c>
      <c r="Y76">
        <v>1.2</v>
      </c>
      <c r="AA76">
        <v>0</v>
      </c>
      <c r="AB76">
        <v>285.44</v>
      </c>
      <c r="AC76">
        <v>0.28000000000000003</v>
      </c>
      <c r="AD76">
        <v>0</v>
      </c>
      <c r="AE76">
        <v>0</v>
      </c>
      <c r="AF76">
        <v>285.44</v>
      </c>
      <c r="AG76">
        <v>0.28000000000000003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1.2</v>
      </c>
      <c r="AU76" t="s">
        <v>3</v>
      </c>
      <c r="AV76">
        <v>0</v>
      </c>
      <c r="AW76">
        <v>2</v>
      </c>
      <c r="AX76">
        <v>53203320</v>
      </c>
      <c r="AY76">
        <v>1</v>
      </c>
      <c r="AZ76">
        <v>0</v>
      </c>
      <c r="BA76">
        <v>76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Y76*Source!I226</f>
        <v>0.72</v>
      </c>
      <c r="CY76">
        <f>AB76</f>
        <v>285.44</v>
      </c>
      <c r="CZ76">
        <f>AF76</f>
        <v>285.44</v>
      </c>
      <c r="DA76">
        <f>AJ76</f>
        <v>1</v>
      </c>
      <c r="DB76">
        <f t="shared" si="4"/>
        <v>342.53</v>
      </c>
      <c r="DC76">
        <f t="shared" si="5"/>
        <v>0.34</v>
      </c>
    </row>
    <row r="77" spans="1:107" x14ac:dyDescent="0.2">
      <c r="A77">
        <f>ROW(Source!A226)</f>
        <v>226</v>
      </c>
      <c r="B77">
        <v>53202630</v>
      </c>
      <c r="C77">
        <v>53203312</v>
      </c>
      <c r="D77">
        <v>48828895</v>
      </c>
      <c r="E77">
        <v>1</v>
      </c>
      <c r="F77">
        <v>1</v>
      </c>
      <c r="G77">
        <v>25</v>
      </c>
      <c r="H77">
        <v>3</v>
      </c>
      <c r="I77" t="s">
        <v>226</v>
      </c>
      <c r="J77" t="s">
        <v>227</v>
      </c>
      <c r="K77" t="s">
        <v>228</v>
      </c>
      <c r="L77">
        <v>1348</v>
      </c>
      <c r="N77">
        <v>1009</v>
      </c>
      <c r="O77" t="s">
        <v>229</v>
      </c>
      <c r="P77" t="s">
        <v>229</v>
      </c>
      <c r="Q77">
        <v>1000</v>
      </c>
      <c r="W77">
        <v>0</v>
      </c>
      <c r="X77">
        <v>-785747182</v>
      </c>
      <c r="Y77">
        <v>0.06</v>
      </c>
      <c r="AA77">
        <v>52914.53</v>
      </c>
      <c r="AB77">
        <v>0</v>
      </c>
      <c r="AC77">
        <v>0</v>
      </c>
      <c r="AD77">
        <v>0</v>
      </c>
      <c r="AE77">
        <v>52914.53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0.06</v>
      </c>
      <c r="AU77" t="s">
        <v>3</v>
      </c>
      <c r="AV77">
        <v>0</v>
      </c>
      <c r="AW77">
        <v>2</v>
      </c>
      <c r="AX77">
        <v>53203321</v>
      </c>
      <c r="AY77">
        <v>1</v>
      </c>
      <c r="AZ77">
        <v>0</v>
      </c>
      <c r="BA77">
        <v>77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Y77*Source!I226</f>
        <v>3.5999999999999997E-2</v>
      </c>
      <c r="CY77">
        <f>AA77</f>
        <v>52914.53</v>
      </c>
      <c r="CZ77">
        <f>AE77</f>
        <v>52914.53</v>
      </c>
      <c r="DA77">
        <f>AI77</f>
        <v>1</v>
      </c>
      <c r="DB77">
        <f t="shared" si="4"/>
        <v>3174.87</v>
      </c>
      <c r="DC77">
        <f t="shared" si="5"/>
        <v>0</v>
      </c>
    </row>
    <row r="78" spans="1:107" x14ac:dyDescent="0.2">
      <c r="A78">
        <f>ROW(Source!A226)</f>
        <v>226</v>
      </c>
      <c r="B78">
        <v>53202630</v>
      </c>
      <c r="C78">
        <v>53203312</v>
      </c>
      <c r="D78">
        <v>48829630</v>
      </c>
      <c r="E78">
        <v>1</v>
      </c>
      <c r="F78">
        <v>1</v>
      </c>
      <c r="G78">
        <v>25</v>
      </c>
      <c r="H78">
        <v>3</v>
      </c>
      <c r="I78" t="s">
        <v>230</v>
      </c>
      <c r="J78" t="s">
        <v>231</v>
      </c>
      <c r="K78" t="s">
        <v>232</v>
      </c>
      <c r="L78">
        <v>1346</v>
      </c>
      <c r="N78">
        <v>1009</v>
      </c>
      <c r="O78" t="s">
        <v>233</v>
      </c>
      <c r="P78" t="s">
        <v>233</v>
      </c>
      <c r="Q78">
        <v>1</v>
      </c>
      <c r="W78">
        <v>0</v>
      </c>
      <c r="X78">
        <v>-1657742588</v>
      </c>
      <c r="Y78">
        <v>5</v>
      </c>
      <c r="AA78">
        <v>170.28</v>
      </c>
      <c r="AB78">
        <v>0</v>
      </c>
      <c r="AC78">
        <v>0</v>
      </c>
      <c r="AD78">
        <v>0</v>
      </c>
      <c r="AE78">
        <v>170.28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5</v>
      </c>
      <c r="AU78" t="s">
        <v>3</v>
      </c>
      <c r="AV78">
        <v>0</v>
      </c>
      <c r="AW78">
        <v>2</v>
      </c>
      <c r="AX78">
        <v>53203322</v>
      </c>
      <c r="AY78">
        <v>1</v>
      </c>
      <c r="AZ78">
        <v>0</v>
      </c>
      <c r="BA78">
        <v>78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Y78*Source!I226</f>
        <v>3</v>
      </c>
      <c r="CY78">
        <f>AA78</f>
        <v>170.28</v>
      </c>
      <c r="CZ78">
        <f>AE78</f>
        <v>170.28</v>
      </c>
      <c r="DA78">
        <f>AI78</f>
        <v>1</v>
      </c>
      <c r="DB78">
        <f t="shared" si="4"/>
        <v>851.4</v>
      </c>
      <c r="DC78">
        <f t="shared" si="5"/>
        <v>0</v>
      </c>
    </row>
    <row r="79" spans="1:107" x14ac:dyDescent="0.2">
      <c r="A79">
        <f>ROW(Source!A226)</f>
        <v>226</v>
      </c>
      <c r="B79">
        <v>53202630</v>
      </c>
      <c r="C79">
        <v>53203312</v>
      </c>
      <c r="D79">
        <v>48828522</v>
      </c>
      <c r="E79">
        <v>1</v>
      </c>
      <c r="F79">
        <v>1</v>
      </c>
      <c r="G79">
        <v>25</v>
      </c>
      <c r="H79">
        <v>3</v>
      </c>
      <c r="I79" t="s">
        <v>234</v>
      </c>
      <c r="J79" t="s">
        <v>235</v>
      </c>
      <c r="K79" t="s">
        <v>236</v>
      </c>
      <c r="L79">
        <v>1339</v>
      </c>
      <c r="N79">
        <v>1007</v>
      </c>
      <c r="O79" t="s">
        <v>50</v>
      </c>
      <c r="P79" t="s">
        <v>50</v>
      </c>
      <c r="Q79">
        <v>1</v>
      </c>
      <c r="W79">
        <v>0</v>
      </c>
      <c r="X79">
        <v>770955183</v>
      </c>
      <c r="Y79">
        <v>2</v>
      </c>
      <c r="AA79">
        <v>6697.08</v>
      </c>
      <c r="AB79">
        <v>0</v>
      </c>
      <c r="AC79">
        <v>0</v>
      </c>
      <c r="AD79">
        <v>0</v>
      </c>
      <c r="AE79">
        <v>6697.08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2</v>
      </c>
      <c r="AU79" t="s">
        <v>3</v>
      </c>
      <c r="AV79">
        <v>0</v>
      </c>
      <c r="AW79">
        <v>2</v>
      </c>
      <c r="AX79">
        <v>53203323</v>
      </c>
      <c r="AY79">
        <v>1</v>
      </c>
      <c r="AZ79">
        <v>0</v>
      </c>
      <c r="BA79">
        <v>79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Y79*Source!I226</f>
        <v>1.2</v>
      </c>
      <c r="CY79">
        <f>AA79</f>
        <v>6697.08</v>
      </c>
      <c r="CZ79">
        <f>AE79</f>
        <v>6697.08</v>
      </c>
      <c r="DA79">
        <f>AI79</f>
        <v>1</v>
      </c>
      <c r="DB79">
        <f t="shared" si="4"/>
        <v>13394.16</v>
      </c>
      <c r="DC79">
        <f t="shared" si="5"/>
        <v>0</v>
      </c>
    </row>
    <row r="80" spans="1:107" x14ac:dyDescent="0.2">
      <c r="A80">
        <f>ROW(Source!A226)</f>
        <v>226</v>
      </c>
      <c r="B80">
        <v>53202630</v>
      </c>
      <c r="C80">
        <v>53203312</v>
      </c>
      <c r="D80">
        <v>48828555</v>
      </c>
      <c r="E80">
        <v>1</v>
      </c>
      <c r="F80">
        <v>1</v>
      </c>
      <c r="G80">
        <v>25</v>
      </c>
      <c r="H80">
        <v>3</v>
      </c>
      <c r="I80" t="s">
        <v>237</v>
      </c>
      <c r="J80" t="s">
        <v>238</v>
      </c>
      <c r="K80" t="s">
        <v>239</v>
      </c>
      <c r="L80">
        <v>1339</v>
      </c>
      <c r="N80">
        <v>1007</v>
      </c>
      <c r="O80" t="s">
        <v>50</v>
      </c>
      <c r="P80" t="s">
        <v>50</v>
      </c>
      <c r="Q80">
        <v>1</v>
      </c>
      <c r="W80">
        <v>0</v>
      </c>
      <c r="X80">
        <v>-1878549391</v>
      </c>
      <c r="Y80">
        <v>0.6</v>
      </c>
      <c r="AA80">
        <v>3141.36</v>
      </c>
      <c r="AB80">
        <v>0</v>
      </c>
      <c r="AC80">
        <v>0</v>
      </c>
      <c r="AD80">
        <v>0</v>
      </c>
      <c r="AE80">
        <v>3141.36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0.6</v>
      </c>
      <c r="AU80" t="s">
        <v>3</v>
      </c>
      <c r="AV80">
        <v>0</v>
      </c>
      <c r="AW80">
        <v>2</v>
      </c>
      <c r="AX80">
        <v>53203324</v>
      </c>
      <c r="AY80">
        <v>1</v>
      </c>
      <c r="AZ80">
        <v>0</v>
      </c>
      <c r="BA80">
        <v>80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Y80*Source!I226</f>
        <v>0.36</v>
      </c>
      <c r="CY80">
        <f>AA80</f>
        <v>3141.36</v>
      </c>
      <c r="CZ80">
        <f>AE80</f>
        <v>3141.36</v>
      </c>
      <c r="DA80">
        <f>AI80</f>
        <v>1</v>
      </c>
      <c r="DB80">
        <f t="shared" si="4"/>
        <v>1884.82</v>
      </c>
      <c r="DC80">
        <f t="shared" si="5"/>
        <v>0</v>
      </c>
    </row>
    <row r="81" spans="1:107" x14ac:dyDescent="0.2">
      <c r="A81">
        <f>ROW(Source!A227)</f>
        <v>227</v>
      </c>
      <c r="B81">
        <v>53202630</v>
      </c>
      <c r="C81">
        <v>53203325</v>
      </c>
      <c r="D81">
        <v>48814733</v>
      </c>
      <c r="E81">
        <v>25</v>
      </c>
      <c r="F81">
        <v>1</v>
      </c>
      <c r="G81">
        <v>25</v>
      </c>
      <c r="H81">
        <v>1</v>
      </c>
      <c r="I81" t="s">
        <v>204</v>
      </c>
      <c r="J81" t="s">
        <v>3</v>
      </c>
      <c r="K81" t="s">
        <v>205</v>
      </c>
      <c r="L81">
        <v>1191</v>
      </c>
      <c r="N81">
        <v>1013</v>
      </c>
      <c r="O81" t="s">
        <v>206</v>
      </c>
      <c r="P81" t="s">
        <v>206</v>
      </c>
      <c r="Q81">
        <v>1</v>
      </c>
      <c r="W81">
        <v>0</v>
      </c>
      <c r="X81">
        <v>476480486</v>
      </c>
      <c r="Y81">
        <v>24.16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24.16</v>
      </c>
      <c r="AU81" t="s">
        <v>3</v>
      </c>
      <c r="AV81">
        <v>1</v>
      </c>
      <c r="AW81">
        <v>2</v>
      </c>
      <c r="AX81">
        <v>53203328</v>
      </c>
      <c r="AY81">
        <v>1</v>
      </c>
      <c r="AZ81">
        <v>0</v>
      </c>
      <c r="BA81">
        <v>81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Y81*Source!I227</f>
        <v>10.872</v>
      </c>
      <c r="CY81">
        <f>AD81</f>
        <v>0</v>
      </c>
      <c r="CZ81">
        <f>AH81</f>
        <v>0</v>
      </c>
      <c r="DA81">
        <f>AL81</f>
        <v>1</v>
      </c>
      <c r="DB81">
        <f t="shared" si="4"/>
        <v>0</v>
      </c>
      <c r="DC81">
        <f t="shared" si="5"/>
        <v>0</v>
      </c>
    </row>
    <row r="82" spans="1:107" x14ac:dyDescent="0.2">
      <c r="A82">
        <f>ROW(Source!A227)</f>
        <v>227</v>
      </c>
      <c r="B82">
        <v>53202630</v>
      </c>
      <c r="C82">
        <v>53203325</v>
      </c>
      <c r="D82">
        <v>48826950</v>
      </c>
      <c r="E82">
        <v>1</v>
      </c>
      <c r="F82">
        <v>1</v>
      </c>
      <c r="G82">
        <v>25</v>
      </c>
      <c r="H82">
        <v>2</v>
      </c>
      <c r="I82" t="s">
        <v>207</v>
      </c>
      <c r="J82" t="s">
        <v>208</v>
      </c>
      <c r="K82" t="s">
        <v>209</v>
      </c>
      <c r="L82">
        <v>1368</v>
      </c>
      <c r="N82">
        <v>1011</v>
      </c>
      <c r="O82" t="s">
        <v>210</v>
      </c>
      <c r="P82" t="s">
        <v>210</v>
      </c>
      <c r="Q82">
        <v>1</v>
      </c>
      <c r="W82">
        <v>0</v>
      </c>
      <c r="X82">
        <v>-1632395109</v>
      </c>
      <c r="Y82">
        <v>2.02</v>
      </c>
      <c r="AA82">
        <v>0</v>
      </c>
      <c r="AB82">
        <v>779.95</v>
      </c>
      <c r="AC82">
        <v>426.8</v>
      </c>
      <c r="AD82">
        <v>0</v>
      </c>
      <c r="AE82">
        <v>0</v>
      </c>
      <c r="AF82">
        <v>779.95</v>
      </c>
      <c r="AG82">
        <v>426.8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2.02</v>
      </c>
      <c r="AU82" t="s">
        <v>3</v>
      </c>
      <c r="AV82">
        <v>0</v>
      </c>
      <c r="AW82">
        <v>2</v>
      </c>
      <c r="AX82">
        <v>53203329</v>
      </c>
      <c r="AY82">
        <v>1</v>
      </c>
      <c r="AZ82">
        <v>0</v>
      </c>
      <c r="BA82">
        <v>82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Y82*Source!I227</f>
        <v>0.90900000000000003</v>
      </c>
      <c r="CY82">
        <f>AB82</f>
        <v>779.95</v>
      </c>
      <c r="CZ82">
        <f>AF82</f>
        <v>779.95</v>
      </c>
      <c r="DA82">
        <f>AJ82</f>
        <v>1</v>
      </c>
      <c r="DB82">
        <f t="shared" si="4"/>
        <v>1575.5</v>
      </c>
      <c r="DC82">
        <f t="shared" si="5"/>
        <v>862.14</v>
      </c>
    </row>
    <row r="83" spans="1:107" x14ac:dyDescent="0.2">
      <c r="A83">
        <f>ROW(Source!A228)</f>
        <v>228</v>
      </c>
      <c r="B83">
        <v>53202630</v>
      </c>
      <c r="C83">
        <v>53203330</v>
      </c>
      <c r="D83">
        <v>48814733</v>
      </c>
      <c r="E83">
        <v>25</v>
      </c>
      <c r="F83">
        <v>1</v>
      </c>
      <c r="G83">
        <v>25</v>
      </c>
      <c r="H83">
        <v>1</v>
      </c>
      <c r="I83" t="s">
        <v>204</v>
      </c>
      <c r="J83" t="s">
        <v>3</v>
      </c>
      <c r="K83" t="s">
        <v>205</v>
      </c>
      <c r="L83">
        <v>1191</v>
      </c>
      <c r="N83">
        <v>1013</v>
      </c>
      <c r="O83" t="s">
        <v>206</v>
      </c>
      <c r="P83" t="s">
        <v>206</v>
      </c>
      <c r="Q83">
        <v>1</v>
      </c>
      <c r="W83">
        <v>0</v>
      </c>
      <c r="X83">
        <v>476480486</v>
      </c>
      <c r="Y83">
        <v>67.150000000000006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67.150000000000006</v>
      </c>
      <c r="AU83" t="s">
        <v>3</v>
      </c>
      <c r="AV83">
        <v>1</v>
      </c>
      <c r="AW83">
        <v>2</v>
      </c>
      <c r="AX83">
        <v>53203332</v>
      </c>
      <c r="AY83">
        <v>1</v>
      </c>
      <c r="AZ83">
        <v>0</v>
      </c>
      <c r="BA83">
        <v>83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Y83*Source!I228</f>
        <v>10.0725</v>
      </c>
      <c r="CY83">
        <f>AD83</f>
        <v>0</v>
      </c>
      <c r="CZ83">
        <f>AH83</f>
        <v>0</v>
      </c>
      <c r="DA83">
        <f>AL83</f>
        <v>1</v>
      </c>
      <c r="DB83">
        <f t="shared" si="4"/>
        <v>0</v>
      </c>
      <c r="DC83">
        <f t="shared" si="5"/>
        <v>0</v>
      </c>
    </row>
    <row r="84" spans="1:107" x14ac:dyDescent="0.2">
      <c r="A84">
        <f>ROW(Source!A229)</f>
        <v>229</v>
      </c>
      <c r="B84">
        <v>53202630</v>
      </c>
      <c r="C84">
        <v>53203333</v>
      </c>
      <c r="D84">
        <v>48814733</v>
      </c>
      <c r="E84">
        <v>25</v>
      </c>
      <c r="F84">
        <v>1</v>
      </c>
      <c r="G84">
        <v>25</v>
      </c>
      <c r="H84">
        <v>1</v>
      </c>
      <c r="I84" t="s">
        <v>204</v>
      </c>
      <c r="J84" t="s">
        <v>3</v>
      </c>
      <c r="K84" t="s">
        <v>205</v>
      </c>
      <c r="L84">
        <v>1191</v>
      </c>
      <c r="N84">
        <v>1013</v>
      </c>
      <c r="O84" t="s">
        <v>206</v>
      </c>
      <c r="P84" t="s">
        <v>206</v>
      </c>
      <c r="Q84">
        <v>1</v>
      </c>
      <c r="W84">
        <v>0</v>
      </c>
      <c r="X84">
        <v>476480486</v>
      </c>
      <c r="Y84">
        <v>68.08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68.08</v>
      </c>
      <c r="AU84" t="s">
        <v>3</v>
      </c>
      <c r="AV84">
        <v>1</v>
      </c>
      <c r="AW84">
        <v>2</v>
      </c>
      <c r="AX84">
        <v>53203341</v>
      </c>
      <c r="AY84">
        <v>1</v>
      </c>
      <c r="AZ84">
        <v>0</v>
      </c>
      <c r="BA84">
        <v>84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Y84*Source!I229</f>
        <v>40.847999999999999</v>
      </c>
      <c r="CY84">
        <f>AD84</f>
        <v>0</v>
      </c>
      <c r="CZ84">
        <f>AH84</f>
        <v>0</v>
      </c>
      <c r="DA84">
        <f>AL84</f>
        <v>1</v>
      </c>
      <c r="DB84">
        <f t="shared" si="4"/>
        <v>0</v>
      </c>
      <c r="DC84">
        <f t="shared" si="5"/>
        <v>0</v>
      </c>
    </row>
    <row r="85" spans="1:107" x14ac:dyDescent="0.2">
      <c r="A85">
        <f>ROW(Source!A229)</f>
        <v>229</v>
      </c>
      <c r="B85">
        <v>53202630</v>
      </c>
      <c r="C85">
        <v>53203333</v>
      </c>
      <c r="D85">
        <v>48827141</v>
      </c>
      <c r="E85">
        <v>1</v>
      </c>
      <c r="F85">
        <v>1</v>
      </c>
      <c r="G85">
        <v>25</v>
      </c>
      <c r="H85">
        <v>2</v>
      </c>
      <c r="I85" t="s">
        <v>240</v>
      </c>
      <c r="J85" t="s">
        <v>241</v>
      </c>
      <c r="K85" t="s">
        <v>242</v>
      </c>
      <c r="L85">
        <v>1368</v>
      </c>
      <c r="N85">
        <v>1011</v>
      </c>
      <c r="O85" t="s">
        <v>210</v>
      </c>
      <c r="P85" t="s">
        <v>210</v>
      </c>
      <c r="Q85">
        <v>1</v>
      </c>
      <c r="W85">
        <v>0</v>
      </c>
      <c r="X85">
        <v>-95869070</v>
      </c>
      <c r="Y85">
        <v>2.19</v>
      </c>
      <c r="AA85">
        <v>0</v>
      </c>
      <c r="AB85">
        <v>1942.21</v>
      </c>
      <c r="AC85">
        <v>436.39</v>
      </c>
      <c r="AD85">
        <v>0</v>
      </c>
      <c r="AE85">
        <v>0</v>
      </c>
      <c r="AF85">
        <v>1942.21</v>
      </c>
      <c r="AG85">
        <v>436.39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2.19</v>
      </c>
      <c r="AU85" t="s">
        <v>3</v>
      </c>
      <c r="AV85">
        <v>0</v>
      </c>
      <c r="AW85">
        <v>2</v>
      </c>
      <c r="AX85">
        <v>53203342</v>
      </c>
      <c r="AY85">
        <v>1</v>
      </c>
      <c r="AZ85">
        <v>0</v>
      </c>
      <c r="BA85">
        <v>85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Y85*Source!I229</f>
        <v>1.3139999999999998</v>
      </c>
      <c r="CY85">
        <f>AB85</f>
        <v>1942.21</v>
      </c>
      <c r="CZ85">
        <f>AF85</f>
        <v>1942.21</v>
      </c>
      <c r="DA85">
        <f>AJ85</f>
        <v>1</v>
      </c>
      <c r="DB85">
        <f t="shared" si="4"/>
        <v>4253.4399999999996</v>
      </c>
      <c r="DC85">
        <f t="shared" si="5"/>
        <v>955.69</v>
      </c>
    </row>
    <row r="86" spans="1:107" x14ac:dyDescent="0.2">
      <c r="A86">
        <f>ROW(Source!A229)</f>
        <v>229</v>
      </c>
      <c r="B86">
        <v>53202630</v>
      </c>
      <c r="C86">
        <v>53203333</v>
      </c>
      <c r="D86">
        <v>48829642</v>
      </c>
      <c r="E86">
        <v>1</v>
      </c>
      <c r="F86">
        <v>1</v>
      </c>
      <c r="G86">
        <v>25</v>
      </c>
      <c r="H86">
        <v>3</v>
      </c>
      <c r="I86" t="s">
        <v>243</v>
      </c>
      <c r="J86" t="s">
        <v>244</v>
      </c>
      <c r="K86" t="s">
        <v>245</v>
      </c>
      <c r="L86">
        <v>1327</v>
      </c>
      <c r="N86">
        <v>1005</v>
      </c>
      <c r="O86" t="s">
        <v>246</v>
      </c>
      <c r="P86" t="s">
        <v>246</v>
      </c>
      <c r="Q86">
        <v>1</v>
      </c>
      <c r="W86">
        <v>0</v>
      </c>
      <c r="X86">
        <v>-385315686</v>
      </c>
      <c r="Y86">
        <v>2</v>
      </c>
      <c r="AA86">
        <v>83.45</v>
      </c>
      <c r="AB86">
        <v>0</v>
      </c>
      <c r="AC86">
        <v>0</v>
      </c>
      <c r="AD86">
        <v>0</v>
      </c>
      <c r="AE86">
        <v>83.45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2</v>
      </c>
      <c r="AU86" t="s">
        <v>3</v>
      </c>
      <c r="AV86">
        <v>0</v>
      </c>
      <c r="AW86">
        <v>2</v>
      </c>
      <c r="AX86">
        <v>53203343</v>
      </c>
      <c r="AY86">
        <v>1</v>
      </c>
      <c r="AZ86">
        <v>0</v>
      </c>
      <c r="BA86">
        <v>86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Y86*Source!I229</f>
        <v>1.2</v>
      </c>
      <c r="CY86">
        <f>AA86</f>
        <v>83.45</v>
      </c>
      <c r="CZ86">
        <f>AE86</f>
        <v>83.45</v>
      </c>
      <c r="DA86">
        <f>AI86</f>
        <v>1</v>
      </c>
      <c r="DB86">
        <f t="shared" si="4"/>
        <v>166.9</v>
      </c>
      <c r="DC86">
        <f t="shared" si="5"/>
        <v>0</v>
      </c>
    </row>
    <row r="87" spans="1:107" x14ac:dyDescent="0.2">
      <c r="A87">
        <f>ROW(Source!A229)</f>
        <v>229</v>
      </c>
      <c r="B87">
        <v>53202630</v>
      </c>
      <c r="C87">
        <v>53203333</v>
      </c>
      <c r="D87">
        <v>48829679</v>
      </c>
      <c r="E87">
        <v>1</v>
      </c>
      <c r="F87">
        <v>1</v>
      </c>
      <c r="G87">
        <v>25</v>
      </c>
      <c r="H87">
        <v>3</v>
      </c>
      <c r="I87" t="s">
        <v>247</v>
      </c>
      <c r="J87" t="s">
        <v>248</v>
      </c>
      <c r="K87" t="s">
        <v>249</v>
      </c>
      <c r="L87">
        <v>1346</v>
      </c>
      <c r="N87">
        <v>1009</v>
      </c>
      <c r="O87" t="s">
        <v>233</v>
      </c>
      <c r="P87" t="s">
        <v>233</v>
      </c>
      <c r="Q87">
        <v>1</v>
      </c>
      <c r="W87">
        <v>0</v>
      </c>
      <c r="X87">
        <v>-51070253</v>
      </c>
      <c r="Y87">
        <v>0.3</v>
      </c>
      <c r="AA87">
        <v>166.07</v>
      </c>
      <c r="AB87">
        <v>0</v>
      </c>
      <c r="AC87">
        <v>0</v>
      </c>
      <c r="AD87">
        <v>0</v>
      </c>
      <c r="AE87">
        <v>166.07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0.3</v>
      </c>
      <c r="AU87" t="s">
        <v>3</v>
      </c>
      <c r="AV87">
        <v>0</v>
      </c>
      <c r="AW87">
        <v>2</v>
      </c>
      <c r="AX87">
        <v>53203344</v>
      </c>
      <c r="AY87">
        <v>1</v>
      </c>
      <c r="AZ87">
        <v>0</v>
      </c>
      <c r="BA87">
        <v>87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Y87*Source!I229</f>
        <v>0.18</v>
      </c>
      <c r="CY87">
        <f>AA87</f>
        <v>166.07</v>
      </c>
      <c r="CZ87">
        <f>AE87</f>
        <v>166.07</v>
      </c>
      <c r="DA87">
        <f>AI87</f>
        <v>1</v>
      </c>
      <c r="DB87">
        <f t="shared" si="4"/>
        <v>49.82</v>
      </c>
      <c r="DC87">
        <f t="shared" si="5"/>
        <v>0</v>
      </c>
    </row>
    <row r="88" spans="1:107" x14ac:dyDescent="0.2">
      <c r="A88">
        <f>ROW(Source!A229)</f>
        <v>229</v>
      </c>
      <c r="B88">
        <v>53202630</v>
      </c>
      <c r="C88">
        <v>53203333</v>
      </c>
      <c r="D88">
        <v>48829817</v>
      </c>
      <c r="E88">
        <v>1</v>
      </c>
      <c r="F88">
        <v>1</v>
      </c>
      <c r="G88">
        <v>25</v>
      </c>
      <c r="H88">
        <v>3</v>
      </c>
      <c r="I88" t="s">
        <v>250</v>
      </c>
      <c r="J88" t="s">
        <v>251</v>
      </c>
      <c r="K88" t="s">
        <v>252</v>
      </c>
      <c r="L88">
        <v>1339</v>
      </c>
      <c r="N88">
        <v>1007</v>
      </c>
      <c r="O88" t="s">
        <v>50</v>
      </c>
      <c r="P88" t="s">
        <v>50</v>
      </c>
      <c r="Q88">
        <v>1</v>
      </c>
      <c r="W88">
        <v>0</v>
      </c>
      <c r="X88">
        <v>924487879</v>
      </c>
      <c r="Y88">
        <v>7</v>
      </c>
      <c r="AA88">
        <v>33.729999999999997</v>
      </c>
      <c r="AB88">
        <v>0</v>
      </c>
      <c r="AC88">
        <v>0</v>
      </c>
      <c r="AD88">
        <v>0</v>
      </c>
      <c r="AE88">
        <v>33.729999999999997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7</v>
      </c>
      <c r="AU88" t="s">
        <v>3</v>
      </c>
      <c r="AV88">
        <v>0</v>
      </c>
      <c r="AW88">
        <v>2</v>
      </c>
      <c r="AX88">
        <v>53203345</v>
      </c>
      <c r="AY88">
        <v>1</v>
      </c>
      <c r="AZ88">
        <v>0</v>
      </c>
      <c r="BA88">
        <v>88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Y88*Source!I229</f>
        <v>4.2</v>
      </c>
      <c r="CY88">
        <f>AA88</f>
        <v>33.729999999999997</v>
      </c>
      <c r="CZ88">
        <f>AE88</f>
        <v>33.729999999999997</v>
      </c>
      <c r="DA88">
        <f>AI88</f>
        <v>1</v>
      </c>
      <c r="DB88">
        <f t="shared" si="4"/>
        <v>236.11</v>
      </c>
      <c r="DC88">
        <f t="shared" si="5"/>
        <v>0</v>
      </c>
    </row>
    <row r="89" spans="1:107" x14ac:dyDescent="0.2">
      <c r="A89">
        <f>ROW(Source!A229)</f>
        <v>229</v>
      </c>
      <c r="B89">
        <v>53202630</v>
      </c>
      <c r="C89">
        <v>53203333</v>
      </c>
      <c r="D89">
        <v>48831099</v>
      </c>
      <c r="E89">
        <v>1</v>
      </c>
      <c r="F89">
        <v>1</v>
      </c>
      <c r="G89">
        <v>25</v>
      </c>
      <c r="H89">
        <v>3</v>
      </c>
      <c r="I89" t="s">
        <v>173</v>
      </c>
      <c r="J89" t="s">
        <v>175</v>
      </c>
      <c r="K89" t="s">
        <v>174</v>
      </c>
      <c r="L89">
        <v>1354</v>
      </c>
      <c r="N89">
        <v>1010</v>
      </c>
      <c r="O89" t="s">
        <v>70</v>
      </c>
      <c r="P89" t="s">
        <v>70</v>
      </c>
      <c r="Q89">
        <v>1</v>
      </c>
      <c r="W89">
        <v>0</v>
      </c>
      <c r="X89">
        <v>-800209048</v>
      </c>
      <c r="Y89">
        <v>10</v>
      </c>
      <c r="AA89">
        <v>8631.6</v>
      </c>
      <c r="AB89">
        <v>0</v>
      </c>
      <c r="AC89">
        <v>0</v>
      </c>
      <c r="AD89">
        <v>0</v>
      </c>
      <c r="AE89">
        <v>8631.6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3</v>
      </c>
      <c r="AT89">
        <v>10</v>
      </c>
      <c r="AU89" t="s">
        <v>3</v>
      </c>
      <c r="AV89">
        <v>0</v>
      </c>
      <c r="AW89">
        <v>1</v>
      </c>
      <c r="AX89">
        <v>-1</v>
      </c>
      <c r="AY89">
        <v>0</v>
      </c>
      <c r="AZ89">
        <v>0</v>
      </c>
      <c r="BA89" t="s">
        <v>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Y89*Source!I229</f>
        <v>6</v>
      </c>
      <c r="CY89">
        <f>AA89</f>
        <v>8631.6</v>
      </c>
      <c r="CZ89">
        <f>AE89</f>
        <v>8631.6</v>
      </c>
      <c r="DA89">
        <f>AI89</f>
        <v>1</v>
      </c>
      <c r="DB89">
        <f t="shared" si="4"/>
        <v>86316</v>
      </c>
      <c r="DC89">
        <f t="shared" si="5"/>
        <v>0</v>
      </c>
    </row>
    <row r="90" spans="1:107" x14ac:dyDescent="0.2">
      <c r="A90">
        <f>ROW(Source!A229)</f>
        <v>229</v>
      </c>
      <c r="B90">
        <v>53202630</v>
      </c>
      <c r="C90">
        <v>53203333</v>
      </c>
      <c r="D90">
        <v>48831518</v>
      </c>
      <c r="E90">
        <v>1</v>
      </c>
      <c r="F90">
        <v>1</v>
      </c>
      <c r="G90">
        <v>25</v>
      </c>
      <c r="H90">
        <v>3</v>
      </c>
      <c r="I90" t="s">
        <v>253</v>
      </c>
      <c r="J90" t="s">
        <v>254</v>
      </c>
      <c r="K90" t="s">
        <v>255</v>
      </c>
      <c r="L90">
        <v>1339</v>
      </c>
      <c r="N90">
        <v>1007</v>
      </c>
      <c r="O90" t="s">
        <v>50</v>
      </c>
      <c r="P90" t="s">
        <v>50</v>
      </c>
      <c r="Q90">
        <v>1</v>
      </c>
      <c r="W90">
        <v>0</v>
      </c>
      <c r="X90">
        <v>2077475540</v>
      </c>
      <c r="Y90">
        <v>0.15840000000000001</v>
      </c>
      <c r="AA90">
        <v>3148.82</v>
      </c>
      <c r="AB90">
        <v>0</v>
      </c>
      <c r="AC90">
        <v>0</v>
      </c>
      <c r="AD90">
        <v>0</v>
      </c>
      <c r="AE90">
        <v>3148.82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0.15840000000000001</v>
      </c>
      <c r="AU90" t="s">
        <v>3</v>
      </c>
      <c r="AV90">
        <v>0</v>
      </c>
      <c r="AW90">
        <v>2</v>
      </c>
      <c r="AX90">
        <v>53203346</v>
      </c>
      <c r="AY90">
        <v>1</v>
      </c>
      <c r="AZ90">
        <v>0</v>
      </c>
      <c r="BA90">
        <v>89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Y90*Source!I229</f>
        <v>9.5039999999999999E-2</v>
      </c>
      <c r="CY90">
        <f>AA90</f>
        <v>3148.82</v>
      </c>
      <c r="CZ90">
        <f>AE90</f>
        <v>3148.82</v>
      </c>
      <c r="DA90">
        <f>AI90</f>
        <v>1</v>
      </c>
      <c r="DB90">
        <f t="shared" si="4"/>
        <v>498.77</v>
      </c>
      <c r="DC90">
        <f t="shared" si="5"/>
        <v>0</v>
      </c>
    </row>
    <row r="91" spans="1:107" x14ac:dyDescent="0.2">
      <c r="A91">
        <f>ROW(Source!A265)</f>
        <v>265</v>
      </c>
      <c r="B91">
        <v>53202630</v>
      </c>
      <c r="C91">
        <v>53203349</v>
      </c>
      <c r="D91">
        <v>48814733</v>
      </c>
      <c r="E91">
        <v>25</v>
      </c>
      <c r="F91">
        <v>1</v>
      </c>
      <c r="G91">
        <v>25</v>
      </c>
      <c r="H91">
        <v>1</v>
      </c>
      <c r="I91" t="s">
        <v>204</v>
      </c>
      <c r="J91" t="s">
        <v>3</v>
      </c>
      <c r="K91" t="s">
        <v>205</v>
      </c>
      <c r="L91">
        <v>1191</v>
      </c>
      <c r="N91">
        <v>1013</v>
      </c>
      <c r="O91" t="s">
        <v>206</v>
      </c>
      <c r="P91" t="s">
        <v>206</v>
      </c>
      <c r="Q91">
        <v>1</v>
      </c>
      <c r="W91">
        <v>0</v>
      </c>
      <c r="X91">
        <v>476480486</v>
      </c>
      <c r="Y91">
        <v>60.86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60.86</v>
      </c>
      <c r="AU91" t="s">
        <v>3</v>
      </c>
      <c r="AV91">
        <v>1</v>
      </c>
      <c r="AW91">
        <v>2</v>
      </c>
      <c r="AX91">
        <v>53203355</v>
      </c>
      <c r="AY91">
        <v>1</v>
      </c>
      <c r="AZ91">
        <v>0</v>
      </c>
      <c r="BA91">
        <v>91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Y91*Source!I265</f>
        <v>730.31999999999994</v>
      </c>
      <c r="CY91">
        <f>AD91</f>
        <v>0</v>
      </c>
      <c r="CZ91">
        <f>AH91</f>
        <v>0</v>
      </c>
      <c r="DA91">
        <f>AL91</f>
        <v>1</v>
      </c>
      <c r="DB91">
        <f t="shared" si="4"/>
        <v>0</v>
      </c>
      <c r="DC91">
        <f t="shared" si="5"/>
        <v>0</v>
      </c>
    </row>
    <row r="92" spans="1:107" x14ac:dyDescent="0.2">
      <c r="A92">
        <f>ROW(Source!A265)</f>
        <v>265</v>
      </c>
      <c r="B92">
        <v>53202630</v>
      </c>
      <c r="C92">
        <v>53203349</v>
      </c>
      <c r="D92">
        <v>48827141</v>
      </c>
      <c r="E92">
        <v>1</v>
      </c>
      <c r="F92">
        <v>1</v>
      </c>
      <c r="G92">
        <v>25</v>
      </c>
      <c r="H92">
        <v>2</v>
      </c>
      <c r="I92" t="s">
        <v>240</v>
      </c>
      <c r="J92" t="s">
        <v>241</v>
      </c>
      <c r="K92" t="s">
        <v>242</v>
      </c>
      <c r="L92">
        <v>1368</v>
      </c>
      <c r="N92">
        <v>1011</v>
      </c>
      <c r="O92" t="s">
        <v>210</v>
      </c>
      <c r="P92" t="s">
        <v>210</v>
      </c>
      <c r="Q92">
        <v>1</v>
      </c>
      <c r="W92">
        <v>0</v>
      </c>
      <c r="X92">
        <v>-95869070</v>
      </c>
      <c r="Y92">
        <v>5.12</v>
      </c>
      <c r="AA92">
        <v>0</v>
      </c>
      <c r="AB92">
        <v>1942.21</v>
      </c>
      <c r="AC92">
        <v>436.39</v>
      </c>
      <c r="AD92">
        <v>0</v>
      </c>
      <c r="AE92">
        <v>0</v>
      </c>
      <c r="AF92">
        <v>1942.21</v>
      </c>
      <c r="AG92">
        <v>436.39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5.12</v>
      </c>
      <c r="AU92" t="s">
        <v>3</v>
      </c>
      <c r="AV92">
        <v>0</v>
      </c>
      <c r="AW92">
        <v>2</v>
      </c>
      <c r="AX92">
        <v>53203356</v>
      </c>
      <c r="AY92">
        <v>1</v>
      </c>
      <c r="AZ92">
        <v>0</v>
      </c>
      <c r="BA92">
        <v>92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Y92*Source!I265</f>
        <v>61.44</v>
      </c>
      <c r="CY92">
        <f>AB92</f>
        <v>1942.21</v>
      </c>
      <c r="CZ92">
        <f>AF92</f>
        <v>1942.21</v>
      </c>
      <c r="DA92">
        <f>AJ92</f>
        <v>1</v>
      </c>
      <c r="DB92">
        <f t="shared" si="4"/>
        <v>9944.1200000000008</v>
      </c>
      <c r="DC92">
        <f t="shared" si="5"/>
        <v>2234.3200000000002</v>
      </c>
    </row>
    <row r="93" spans="1:107" x14ac:dyDescent="0.2">
      <c r="A93">
        <f>ROW(Source!A265)</f>
        <v>265</v>
      </c>
      <c r="B93">
        <v>53202630</v>
      </c>
      <c r="C93">
        <v>53203349</v>
      </c>
      <c r="D93">
        <v>48829642</v>
      </c>
      <c r="E93">
        <v>1</v>
      </c>
      <c r="F93">
        <v>1</v>
      </c>
      <c r="G93">
        <v>25</v>
      </c>
      <c r="H93">
        <v>3</v>
      </c>
      <c r="I93" t="s">
        <v>243</v>
      </c>
      <c r="J93" t="s">
        <v>244</v>
      </c>
      <c r="K93" t="s">
        <v>245</v>
      </c>
      <c r="L93">
        <v>1327</v>
      </c>
      <c r="N93">
        <v>1005</v>
      </c>
      <c r="O93" t="s">
        <v>246</v>
      </c>
      <c r="P93" t="s">
        <v>246</v>
      </c>
      <c r="Q93">
        <v>1</v>
      </c>
      <c r="W93">
        <v>0</v>
      </c>
      <c r="X93">
        <v>-385315686</v>
      </c>
      <c r="Y93">
        <v>2</v>
      </c>
      <c r="AA93">
        <v>83.45</v>
      </c>
      <c r="AB93">
        <v>0</v>
      </c>
      <c r="AC93">
        <v>0</v>
      </c>
      <c r="AD93">
        <v>0</v>
      </c>
      <c r="AE93">
        <v>83.45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2</v>
      </c>
      <c r="AU93" t="s">
        <v>3</v>
      </c>
      <c r="AV93">
        <v>0</v>
      </c>
      <c r="AW93">
        <v>2</v>
      </c>
      <c r="AX93">
        <v>53203357</v>
      </c>
      <c r="AY93">
        <v>1</v>
      </c>
      <c r="AZ93">
        <v>0</v>
      </c>
      <c r="BA93">
        <v>93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Y93*Source!I265</f>
        <v>24</v>
      </c>
      <c r="CY93">
        <f>AA93</f>
        <v>83.45</v>
      </c>
      <c r="CZ93">
        <f>AE93</f>
        <v>83.45</v>
      </c>
      <c r="DA93">
        <f>AI93</f>
        <v>1</v>
      </c>
      <c r="DB93">
        <f t="shared" si="4"/>
        <v>166.9</v>
      </c>
      <c r="DC93">
        <f t="shared" si="5"/>
        <v>0</v>
      </c>
    </row>
    <row r="94" spans="1:107" x14ac:dyDescent="0.2">
      <c r="A94">
        <f>ROW(Source!A265)</f>
        <v>265</v>
      </c>
      <c r="B94">
        <v>53202630</v>
      </c>
      <c r="C94">
        <v>53203349</v>
      </c>
      <c r="D94">
        <v>48829679</v>
      </c>
      <c r="E94">
        <v>1</v>
      </c>
      <c r="F94">
        <v>1</v>
      </c>
      <c r="G94">
        <v>25</v>
      </c>
      <c r="H94">
        <v>3</v>
      </c>
      <c r="I94" t="s">
        <v>247</v>
      </c>
      <c r="J94" t="s">
        <v>248</v>
      </c>
      <c r="K94" t="s">
        <v>249</v>
      </c>
      <c r="L94">
        <v>1346</v>
      </c>
      <c r="N94">
        <v>1009</v>
      </c>
      <c r="O94" t="s">
        <v>233</v>
      </c>
      <c r="P94" t="s">
        <v>233</v>
      </c>
      <c r="Q94">
        <v>1</v>
      </c>
      <c r="W94">
        <v>0</v>
      </c>
      <c r="X94">
        <v>-51070253</v>
      </c>
      <c r="Y94">
        <v>7.0000000000000007E-2</v>
      </c>
      <c r="AA94">
        <v>166.07</v>
      </c>
      <c r="AB94">
        <v>0</v>
      </c>
      <c r="AC94">
        <v>0</v>
      </c>
      <c r="AD94">
        <v>0</v>
      </c>
      <c r="AE94">
        <v>166.07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7.0000000000000007E-2</v>
      </c>
      <c r="AU94" t="s">
        <v>3</v>
      </c>
      <c r="AV94">
        <v>0</v>
      </c>
      <c r="AW94">
        <v>2</v>
      </c>
      <c r="AX94">
        <v>53203358</v>
      </c>
      <c r="AY94">
        <v>1</v>
      </c>
      <c r="AZ94">
        <v>0</v>
      </c>
      <c r="BA94">
        <v>94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Y94*Source!I265</f>
        <v>0.84000000000000008</v>
      </c>
      <c r="CY94">
        <f>AA94</f>
        <v>166.07</v>
      </c>
      <c r="CZ94">
        <f>AE94</f>
        <v>166.07</v>
      </c>
      <c r="DA94">
        <f>AI94</f>
        <v>1</v>
      </c>
      <c r="DB94">
        <f t="shared" si="4"/>
        <v>11.62</v>
      </c>
      <c r="DC94">
        <f t="shared" si="5"/>
        <v>0</v>
      </c>
    </row>
    <row r="95" spans="1:107" x14ac:dyDescent="0.2">
      <c r="A95">
        <f>ROW(Source!A265)</f>
        <v>265</v>
      </c>
      <c r="B95">
        <v>53202630</v>
      </c>
      <c r="C95">
        <v>53203349</v>
      </c>
      <c r="D95">
        <v>48829817</v>
      </c>
      <c r="E95">
        <v>1</v>
      </c>
      <c r="F95">
        <v>1</v>
      </c>
      <c r="G95">
        <v>25</v>
      </c>
      <c r="H95">
        <v>3</v>
      </c>
      <c r="I95" t="s">
        <v>250</v>
      </c>
      <c r="J95" t="s">
        <v>251</v>
      </c>
      <c r="K95" t="s">
        <v>252</v>
      </c>
      <c r="L95">
        <v>1339</v>
      </c>
      <c r="N95">
        <v>1007</v>
      </c>
      <c r="O95" t="s">
        <v>50</v>
      </c>
      <c r="P95" t="s">
        <v>50</v>
      </c>
      <c r="Q95">
        <v>1</v>
      </c>
      <c r="W95">
        <v>0</v>
      </c>
      <c r="X95">
        <v>924487879</v>
      </c>
      <c r="Y95">
        <v>15</v>
      </c>
      <c r="AA95">
        <v>33.729999999999997</v>
      </c>
      <c r="AB95">
        <v>0</v>
      </c>
      <c r="AC95">
        <v>0</v>
      </c>
      <c r="AD95">
        <v>0</v>
      </c>
      <c r="AE95">
        <v>33.729999999999997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15</v>
      </c>
      <c r="AU95" t="s">
        <v>3</v>
      </c>
      <c r="AV95">
        <v>0</v>
      </c>
      <c r="AW95">
        <v>2</v>
      </c>
      <c r="AX95">
        <v>53203359</v>
      </c>
      <c r="AY95">
        <v>1</v>
      </c>
      <c r="AZ95">
        <v>0</v>
      </c>
      <c r="BA95">
        <v>95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Y95*Source!I265</f>
        <v>180</v>
      </c>
      <c r="CY95">
        <f>AA95</f>
        <v>33.729999999999997</v>
      </c>
      <c r="CZ95">
        <f>AE95</f>
        <v>33.729999999999997</v>
      </c>
      <c r="DA95">
        <f>AI95</f>
        <v>1</v>
      </c>
      <c r="DB95">
        <f t="shared" si="4"/>
        <v>505.95</v>
      </c>
      <c r="DC95">
        <f t="shared" si="5"/>
        <v>0</v>
      </c>
    </row>
    <row r="96" spans="1:107" x14ac:dyDescent="0.2">
      <c r="A96">
        <f>ROW(Source!A266)</f>
        <v>266</v>
      </c>
      <c r="B96">
        <v>53202630</v>
      </c>
      <c r="C96">
        <v>53203360</v>
      </c>
      <c r="D96">
        <v>48814733</v>
      </c>
      <c r="E96">
        <v>25</v>
      </c>
      <c r="F96">
        <v>1</v>
      </c>
      <c r="G96">
        <v>25</v>
      </c>
      <c r="H96">
        <v>1</v>
      </c>
      <c r="I96" t="s">
        <v>204</v>
      </c>
      <c r="J96" t="s">
        <v>3</v>
      </c>
      <c r="K96" t="s">
        <v>205</v>
      </c>
      <c r="L96">
        <v>1191</v>
      </c>
      <c r="N96">
        <v>1013</v>
      </c>
      <c r="O96" t="s">
        <v>206</v>
      </c>
      <c r="P96" t="s">
        <v>206</v>
      </c>
      <c r="Q96">
        <v>1</v>
      </c>
      <c r="W96">
        <v>0</v>
      </c>
      <c r="X96">
        <v>476480486</v>
      </c>
      <c r="Y96">
        <v>18.89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18.89</v>
      </c>
      <c r="AU96" t="s">
        <v>3</v>
      </c>
      <c r="AV96">
        <v>1</v>
      </c>
      <c r="AW96">
        <v>2</v>
      </c>
      <c r="AX96">
        <v>53203364</v>
      </c>
      <c r="AY96">
        <v>1</v>
      </c>
      <c r="AZ96">
        <v>0</v>
      </c>
      <c r="BA96">
        <v>96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Y96*Source!I266</f>
        <v>228.9468</v>
      </c>
      <c r="CY96">
        <f>AD96</f>
        <v>0</v>
      </c>
      <c r="CZ96">
        <f>AH96</f>
        <v>0</v>
      </c>
      <c r="DA96">
        <f>AL96</f>
        <v>1</v>
      </c>
      <c r="DB96">
        <f t="shared" si="4"/>
        <v>0</v>
      </c>
      <c r="DC96">
        <f t="shared" si="5"/>
        <v>0</v>
      </c>
    </row>
    <row r="97" spans="1:107" x14ac:dyDescent="0.2">
      <c r="A97">
        <f>ROW(Source!A266)</f>
        <v>266</v>
      </c>
      <c r="B97">
        <v>53202630</v>
      </c>
      <c r="C97">
        <v>53203360</v>
      </c>
      <c r="D97">
        <v>48831476</v>
      </c>
      <c r="E97">
        <v>1</v>
      </c>
      <c r="F97">
        <v>1</v>
      </c>
      <c r="G97">
        <v>25</v>
      </c>
      <c r="H97">
        <v>3</v>
      </c>
      <c r="I97" t="s">
        <v>256</v>
      </c>
      <c r="J97" t="s">
        <v>257</v>
      </c>
      <c r="K97" t="s">
        <v>258</v>
      </c>
      <c r="L97">
        <v>1346</v>
      </c>
      <c r="N97">
        <v>1009</v>
      </c>
      <c r="O97" t="s">
        <v>233</v>
      </c>
      <c r="P97" t="s">
        <v>233</v>
      </c>
      <c r="Q97">
        <v>1</v>
      </c>
      <c r="W97">
        <v>0</v>
      </c>
      <c r="X97">
        <v>253361717</v>
      </c>
      <c r="Y97">
        <v>0.7</v>
      </c>
      <c r="AA97">
        <v>32.549999999999997</v>
      </c>
      <c r="AB97">
        <v>0</v>
      </c>
      <c r="AC97">
        <v>0</v>
      </c>
      <c r="AD97">
        <v>0</v>
      </c>
      <c r="AE97">
        <v>32.549999999999997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0.7</v>
      </c>
      <c r="AU97" t="s">
        <v>3</v>
      </c>
      <c r="AV97">
        <v>0</v>
      </c>
      <c r="AW97">
        <v>2</v>
      </c>
      <c r="AX97">
        <v>53203365</v>
      </c>
      <c r="AY97">
        <v>1</v>
      </c>
      <c r="AZ97">
        <v>0</v>
      </c>
      <c r="BA97">
        <v>97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Y97*Source!I266</f>
        <v>8.4839999999999982</v>
      </c>
      <c r="CY97">
        <f>AA97</f>
        <v>32.549999999999997</v>
      </c>
      <c r="CZ97">
        <f>AE97</f>
        <v>32.549999999999997</v>
      </c>
      <c r="DA97">
        <f>AI97</f>
        <v>1</v>
      </c>
      <c r="DB97">
        <f t="shared" si="4"/>
        <v>22.79</v>
      </c>
      <c r="DC97">
        <f t="shared" si="5"/>
        <v>0</v>
      </c>
    </row>
    <row r="98" spans="1:107" x14ac:dyDescent="0.2">
      <c r="A98">
        <f>ROW(Source!A266)</f>
        <v>266</v>
      </c>
      <c r="B98">
        <v>53202630</v>
      </c>
      <c r="C98">
        <v>53203360</v>
      </c>
      <c r="D98">
        <v>48831482</v>
      </c>
      <c r="E98">
        <v>1</v>
      </c>
      <c r="F98">
        <v>1</v>
      </c>
      <c r="G98">
        <v>25</v>
      </c>
      <c r="H98">
        <v>3</v>
      </c>
      <c r="I98" t="s">
        <v>259</v>
      </c>
      <c r="J98" t="s">
        <v>260</v>
      </c>
      <c r="K98" t="s">
        <v>261</v>
      </c>
      <c r="L98">
        <v>1346</v>
      </c>
      <c r="N98">
        <v>1009</v>
      </c>
      <c r="O98" t="s">
        <v>233</v>
      </c>
      <c r="P98" t="s">
        <v>233</v>
      </c>
      <c r="Q98">
        <v>1</v>
      </c>
      <c r="W98">
        <v>0</v>
      </c>
      <c r="X98">
        <v>1241851292</v>
      </c>
      <c r="Y98">
        <v>350</v>
      </c>
      <c r="AA98">
        <v>12.26</v>
      </c>
      <c r="AB98">
        <v>0</v>
      </c>
      <c r="AC98">
        <v>0</v>
      </c>
      <c r="AD98">
        <v>0</v>
      </c>
      <c r="AE98">
        <v>12.26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350</v>
      </c>
      <c r="AU98" t="s">
        <v>3</v>
      </c>
      <c r="AV98">
        <v>0</v>
      </c>
      <c r="AW98">
        <v>2</v>
      </c>
      <c r="AX98">
        <v>53203366</v>
      </c>
      <c r="AY98">
        <v>1</v>
      </c>
      <c r="AZ98">
        <v>0</v>
      </c>
      <c r="BA98">
        <v>98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Y98*Source!I266</f>
        <v>4242</v>
      </c>
      <c r="CY98">
        <f>AA98</f>
        <v>12.26</v>
      </c>
      <c r="CZ98">
        <f>AE98</f>
        <v>12.26</v>
      </c>
      <c r="DA98">
        <f>AI98</f>
        <v>1</v>
      </c>
      <c r="DB98">
        <f t="shared" si="4"/>
        <v>4291</v>
      </c>
      <c r="DC98">
        <f t="shared" si="5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98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ROW(Source!A32)</f>
        <v>32</v>
      </c>
      <c r="B1">
        <v>53203144</v>
      </c>
      <c r="C1">
        <v>53203139</v>
      </c>
      <c r="D1">
        <v>48814733</v>
      </c>
      <c r="E1">
        <v>25</v>
      </c>
      <c r="F1">
        <v>1</v>
      </c>
      <c r="G1">
        <v>25</v>
      </c>
      <c r="H1">
        <v>1</v>
      </c>
      <c r="I1" t="s">
        <v>204</v>
      </c>
      <c r="J1" t="s">
        <v>3</v>
      </c>
      <c r="K1" t="s">
        <v>205</v>
      </c>
      <c r="L1">
        <v>1191</v>
      </c>
      <c r="N1">
        <v>1013</v>
      </c>
      <c r="O1" t="s">
        <v>206</v>
      </c>
      <c r="P1" t="s">
        <v>206</v>
      </c>
      <c r="Q1">
        <v>1</v>
      </c>
      <c r="X1">
        <v>115.06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115.06</v>
      </c>
      <c r="AH1">
        <v>2</v>
      </c>
      <c r="AI1">
        <v>53203140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ROW(Source!A32)</f>
        <v>32</v>
      </c>
      <c r="B2">
        <v>53203145</v>
      </c>
      <c r="C2">
        <v>53203139</v>
      </c>
      <c r="D2">
        <v>48826950</v>
      </c>
      <c r="E2">
        <v>1</v>
      </c>
      <c r="F2">
        <v>1</v>
      </c>
      <c r="G2">
        <v>25</v>
      </c>
      <c r="H2">
        <v>2</v>
      </c>
      <c r="I2" t="s">
        <v>207</v>
      </c>
      <c r="J2" t="s">
        <v>208</v>
      </c>
      <c r="K2" t="s">
        <v>209</v>
      </c>
      <c r="L2">
        <v>1368</v>
      </c>
      <c r="N2">
        <v>1011</v>
      </c>
      <c r="O2" t="s">
        <v>210</v>
      </c>
      <c r="P2" t="s">
        <v>210</v>
      </c>
      <c r="Q2">
        <v>1</v>
      </c>
      <c r="X2">
        <v>3</v>
      </c>
      <c r="Y2">
        <v>0</v>
      </c>
      <c r="Z2">
        <v>779.95</v>
      </c>
      <c r="AA2">
        <v>426.8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3</v>
      </c>
      <c r="AH2">
        <v>2</v>
      </c>
      <c r="AI2">
        <v>53203141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ROW(Source!A32)</f>
        <v>32</v>
      </c>
      <c r="B3">
        <v>53203146</v>
      </c>
      <c r="C3">
        <v>53203139</v>
      </c>
      <c r="D3">
        <v>48831526</v>
      </c>
      <c r="E3">
        <v>1</v>
      </c>
      <c r="F3">
        <v>1</v>
      </c>
      <c r="G3">
        <v>25</v>
      </c>
      <c r="H3">
        <v>3</v>
      </c>
      <c r="I3" t="s">
        <v>211</v>
      </c>
      <c r="J3" t="s">
        <v>212</v>
      </c>
      <c r="K3" t="s">
        <v>213</v>
      </c>
      <c r="L3">
        <v>1339</v>
      </c>
      <c r="N3">
        <v>1007</v>
      </c>
      <c r="O3" t="s">
        <v>50</v>
      </c>
      <c r="P3" t="s">
        <v>50</v>
      </c>
      <c r="Q3">
        <v>1</v>
      </c>
      <c r="X3">
        <v>10.5</v>
      </c>
      <c r="Y3">
        <v>810.33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10.5</v>
      </c>
      <c r="AH3">
        <v>2</v>
      </c>
      <c r="AI3">
        <v>53203142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ROW(Source!A32)</f>
        <v>32</v>
      </c>
      <c r="B4">
        <v>53203147</v>
      </c>
      <c r="C4">
        <v>53203139</v>
      </c>
      <c r="D4">
        <v>48831517</v>
      </c>
      <c r="E4">
        <v>1</v>
      </c>
      <c r="F4">
        <v>1</v>
      </c>
      <c r="G4">
        <v>25</v>
      </c>
      <c r="H4">
        <v>3</v>
      </c>
      <c r="I4" t="s">
        <v>214</v>
      </c>
      <c r="J4" t="s">
        <v>215</v>
      </c>
      <c r="K4" t="s">
        <v>216</v>
      </c>
      <c r="L4">
        <v>1339</v>
      </c>
      <c r="N4">
        <v>1007</v>
      </c>
      <c r="O4" t="s">
        <v>50</v>
      </c>
      <c r="P4" t="s">
        <v>50</v>
      </c>
      <c r="Q4">
        <v>1</v>
      </c>
      <c r="X4">
        <v>31.5</v>
      </c>
      <c r="Y4">
        <v>753.67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31.5</v>
      </c>
      <c r="AH4">
        <v>2</v>
      </c>
      <c r="AI4">
        <v>53203143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ROW(Source!A33)</f>
        <v>33</v>
      </c>
      <c r="B5">
        <v>53203152</v>
      </c>
      <c r="C5">
        <v>53203148</v>
      </c>
      <c r="D5">
        <v>48814733</v>
      </c>
      <c r="E5">
        <v>25</v>
      </c>
      <c r="F5">
        <v>1</v>
      </c>
      <c r="G5">
        <v>25</v>
      </c>
      <c r="H5">
        <v>1</v>
      </c>
      <c r="I5" t="s">
        <v>204</v>
      </c>
      <c r="J5" t="s">
        <v>3</v>
      </c>
      <c r="K5" t="s">
        <v>205</v>
      </c>
      <c r="L5">
        <v>1191</v>
      </c>
      <c r="N5">
        <v>1013</v>
      </c>
      <c r="O5" t="s">
        <v>206</v>
      </c>
      <c r="P5" t="s">
        <v>206</v>
      </c>
      <c r="Q5">
        <v>1</v>
      </c>
      <c r="X5">
        <v>178.61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3</v>
      </c>
      <c r="AG5">
        <v>178.61</v>
      </c>
      <c r="AH5">
        <v>2</v>
      </c>
      <c r="AI5">
        <v>53203149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ROW(Source!A33)</f>
        <v>33</v>
      </c>
      <c r="B6">
        <v>53203153</v>
      </c>
      <c r="C6">
        <v>53203148</v>
      </c>
      <c r="D6">
        <v>48831526</v>
      </c>
      <c r="E6">
        <v>1</v>
      </c>
      <c r="F6">
        <v>1</v>
      </c>
      <c r="G6">
        <v>25</v>
      </c>
      <c r="H6">
        <v>3</v>
      </c>
      <c r="I6" t="s">
        <v>211</v>
      </c>
      <c r="J6" t="s">
        <v>212</v>
      </c>
      <c r="K6" t="s">
        <v>213</v>
      </c>
      <c r="L6">
        <v>1339</v>
      </c>
      <c r="N6">
        <v>1007</v>
      </c>
      <c r="O6" t="s">
        <v>50</v>
      </c>
      <c r="P6" t="s">
        <v>50</v>
      </c>
      <c r="Q6">
        <v>1</v>
      </c>
      <c r="X6">
        <v>10.5</v>
      </c>
      <c r="Y6">
        <v>810.33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10.5</v>
      </c>
      <c r="AH6">
        <v>2</v>
      </c>
      <c r="AI6">
        <v>53203150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ROW(Source!A33)</f>
        <v>33</v>
      </c>
      <c r="B7">
        <v>53203154</v>
      </c>
      <c r="C7">
        <v>53203148</v>
      </c>
      <c r="D7">
        <v>48831517</v>
      </c>
      <c r="E7">
        <v>1</v>
      </c>
      <c r="F7">
        <v>1</v>
      </c>
      <c r="G7">
        <v>25</v>
      </c>
      <c r="H7">
        <v>3</v>
      </c>
      <c r="I7" t="s">
        <v>214</v>
      </c>
      <c r="J7" t="s">
        <v>215</v>
      </c>
      <c r="K7" t="s">
        <v>216</v>
      </c>
      <c r="L7">
        <v>1339</v>
      </c>
      <c r="N7">
        <v>1007</v>
      </c>
      <c r="O7" t="s">
        <v>50</v>
      </c>
      <c r="P7" t="s">
        <v>50</v>
      </c>
      <c r="Q7">
        <v>1</v>
      </c>
      <c r="X7">
        <v>31.5</v>
      </c>
      <c r="Y7">
        <v>753.67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31.5</v>
      </c>
      <c r="AH7">
        <v>2</v>
      </c>
      <c r="AI7">
        <v>53203151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ROW(Source!A34)</f>
        <v>34</v>
      </c>
      <c r="B8">
        <v>53203157</v>
      </c>
      <c r="C8">
        <v>53203155</v>
      </c>
      <c r="D8">
        <v>48814733</v>
      </c>
      <c r="E8">
        <v>25</v>
      </c>
      <c r="F8">
        <v>1</v>
      </c>
      <c r="G8">
        <v>25</v>
      </c>
      <c r="H8">
        <v>1</v>
      </c>
      <c r="I8" t="s">
        <v>204</v>
      </c>
      <c r="J8" t="s">
        <v>3</v>
      </c>
      <c r="K8" t="s">
        <v>205</v>
      </c>
      <c r="L8">
        <v>1191</v>
      </c>
      <c r="N8">
        <v>1013</v>
      </c>
      <c r="O8" t="s">
        <v>206</v>
      </c>
      <c r="P8" t="s">
        <v>206</v>
      </c>
      <c r="Q8">
        <v>1</v>
      </c>
      <c r="X8">
        <v>83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 t="s">
        <v>3</v>
      </c>
      <c r="AG8">
        <v>83</v>
      </c>
      <c r="AH8">
        <v>2</v>
      </c>
      <c r="AI8">
        <v>53203156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ROW(Source!A35)</f>
        <v>35</v>
      </c>
      <c r="B9">
        <v>53203161</v>
      </c>
      <c r="C9">
        <v>53203158</v>
      </c>
      <c r="D9">
        <v>48814733</v>
      </c>
      <c r="E9">
        <v>25</v>
      </c>
      <c r="F9">
        <v>1</v>
      </c>
      <c r="G9">
        <v>25</v>
      </c>
      <c r="H9">
        <v>1</v>
      </c>
      <c r="I9" t="s">
        <v>204</v>
      </c>
      <c r="J9" t="s">
        <v>3</v>
      </c>
      <c r="K9" t="s">
        <v>205</v>
      </c>
      <c r="L9">
        <v>1191</v>
      </c>
      <c r="N9">
        <v>1013</v>
      </c>
      <c r="O9" t="s">
        <v>206</v>
      </c>
      <c r="P9" t="s">
        <v>206</v>
      </c>
      <c r="Q9">
        <v>1</v>
      </c>
      <c r="X9">
        <v>0.65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3</v>
      </c>
      <c r="AG9">
        <v>0.65</v>
      </c>
      <c r="AH9">
        <v>2</v>
      </c>
      <c r="AI9">
        <v>53203159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ROW(Source!A35)</f>
        <v>35</v>
      </c>
      <c r="B10">
        <v>53203162</v>
      </c>
      <c r="C10">
        <v>53203158</v>
      </c>
      <c r="D10">
        <v>48826951</v>
      </c>
      <c r="E10">
        <v>1</v>
      </c>
      <c r="F10">
        <v>1</v>
      </c>
      <c r="G10">
        <v>25</v>
      </c>
      <c r="H10">
        <v>2</v>
      </c>
      <c r="I10" t="s">
        <v>217</v>
      </c>
      <c r="J10" t="s">
        <v>218</v>
      </c>
      <c r="K10" t="s">
        <v>219</v>
      </c>
      <c r="L10">
        <v>1368</v>
      </c>
      <c r="N10">
        <v>1011</v>
      </c>
      <c r="O10" t="s">
        <v>210</v>
      </c>
      <c r="P10" t="s">
        <v>210</v>
      </c>
      <c r="Q10">
        <v>1</v>
      </c>
      <c r="X10">
        <v>0.54</v>
      </c>
      <c r="Y10">
        <v>0</v>
      </c>
      <c r="Z10">
        <v>2191.2199999999998</v>
      </c>
      <c r="AA10">
        <v>808.59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0.54</v>
      </c>
      <c r="AH10">
        <v>2</v>
      </c>
      <c r="AI10">
        <v>53203160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ROW(Source!A36)</f>
        <v>36</v>
      </c>
      <c r="B11">
        <v>53203165</v>
      </c>
      <c r="C11">
        <v>53203163</v>
      </c>
      <c r="D11">
        <v>48827727</v>
      </c>
      <c r="E11">
        <v>1</v>
      </c>
      <c r="F11">
        <v>1</v>
      </c>
      <c r="G11">
        <v>25</v>
      </c>
      <c r="H11">
        <v>2</v>
      </c>
      <c r="I11" t="s">
        <v>220</v>
      </c>
      <c r="J11" t="s">
        <v>221</v>
      </c>
      <c r="K11" t="s">
        <v>222</v>
      </c>
      <c r="L11">
        <v>1368</v>
      </c>
      <c r="N11">
        <v>1011</v>
      </c>
      <c r="O11" t="s">
        <v>210</v>
      </c>
      <c r="P11" t="s">
        <v>210</v>
      </c>
      <c r="Q11">
        <v>1</v>
      </c>
      <c r="X11">
        <v>3.1E-2</v>
      </c>
      <c r="Y11">
        <v>0</v>
      </c>
      <c r="Z11">
        <v>993.6</v>
      </c>
      <c r="AA11">
        <v>301.8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3.1E-2</v>
      </c>
      <c r="AH11">
        <v>2</v>
      </c>
      <c r="AI11">
        <v>53203164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ROW(Source!A37)</f>
        <v>37</v>
      </c>
      <c r="B12">
        <v>53203168</v>
      </c>
      <c r="C12">
        <v>53203166</v>
      </c>
      <c r="D12">
        <v>48827727</v>
      </c>
      <c r="E12">
        <v>1</v>
      </c>
      <c r="F12">
        <v>1</v>
      </c>
      <c r="G12">
        <v>25</v>
      </c>
      <c r="H12">
        <v>2</v>
      </c>
      <c r="I12" t="s">
        <v>220</v>
      </c>
      <c r="J12" t="s">
        <v>221</v>
      </c>
      <c r="K12" t="s">
        <v>222</v>
      </c>
      <c r="L12">
        <v>1368</v>
      </c>
      <c r="N12">
        <v>1011</v>
      </c>
      <c r="O12" t="s">
        <v>210</v>
      </c>
      <c r="P12" t="s">
        <v>210</v>
      </c>
      <c r="Q12">
        <v>1</v>
      </c>
      <c r="X12">
        <v>0.01</v>
      </c>
      <c r="Y12">
        <v>0</v>
      </c>
      <c r="Z12">
        <v>993.6</v>
      </c>
      <c r="AA12">
        <v>301.8</v>
      </c>
      <c r="AB12">
        <v>0</v>
      </c>
      <c r="AC12">
        <v>0</v>
      </c>
      <c r="AD12">
        <v>1</v>
      </c>
      <c r="AE12">
        <v>0</v>
      </c>
      <c r="AF12" t="s">
        <v>57</v>
      </c>
      <c r="AG12">
        <v>0.41000000000000003</v>
      </c>
      <c r="AH12">
        <v>2</v>
      </c>
      <c r="AI12">
        <v>53203167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ROW(Source!A38)</f>
        <v>38</v>
      </c>
      <c r="B13">
        <v>53203176</v>
      </c>
      <c r="C13">
        <v>53203169</v>
      </c>
      <c r="D13">
        <v>48814733</v>
      </c>
      <c r="E13">
        <v>25</v>
      </c>
      <c r="F13">
        <v>1</v>
      </c>
      <c r="G13">
        <v>25</v>
      </c>
      <c r="H13">
        <v>1</v>
      </c>
      <c r="I13" t="s">
        <v>204</v>
      </c>
      <c r="J13" t="s">
        <v>3</v>
      </c>
      <c r="K13" t="s">
        <v>205</v>
      </c>
      <c r="L13">
        <v>1191</v>
      </c>
      <c r="N13">
        <v>1013</v>
      </c>
      <c r="O13" t="s">
        <v>206</v>
      </c>
      <c r="P13" t="s">
        <v>206</v>
      </c>
      <c r="Q13">
        <v>1</v>
      </c>
      <c r="X13">
        <v>363.41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3</v>
      </c>
      <c r="AG13">
        <v>363.41</v>
      </c>
      <c r="AH13">
        <v>2</v>
      </c>
      <c r="AI13">
        <v>53203170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ROW(Source!A38)</f>
        <v>38</v>
      </c>
      <c r="B14">
        <v>53203177</v>
      </c>
      <c r="C14">
        <v>53203169</v>
      </c>
      <c r="D14">
        <v>48827823</v>
      </c>
      <c r="E14">
        <v>1</v>
      </c>
      <c r="F14">
        <v>1</v>
      </c>
      <c r="G14">
        <v>25</v>
      </c>
      <c r="H14">
        <v>2</v>
      </c>
      <c r="I14" t="s">
        <v>223</v>
      </c>
      <c r="J14" t="s">
        <v>224</v>
      </c>
      <c r="K14" t="s">
        <v>225</v>
      </c>
      <c r="L14">
        <v>1368</v>
      </c>
      <c r="N14">
        <v>1011</v>
      </c>
      <c r="O14" t="s">
        <v>210</v>
      </c>
      <c r="P14" t="s">
        <v>210</v>
      </c>
      <c r="Q14">
        <v>1</v>
      </c>
      <c r="X14">
        <v>1.52</v>
      </c>
      <c r="Y14">
        <v>0</v>
      </c>
      <c r="Z14">
        <v>285.44</v>
      </c>
      <c r="AA14">
        <v>0.28000000000000003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1.52</v>
      </c>
      <c r="AH14">
        <v>2</v>
      </c>
      <c r="AI14">
        <v>53203171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ROW(Source!A38)</f>
        <v>38</v>
      </c>
      <c r="B15">
        <v>53203178</v>
      </c>
      <c r="C15">
        <v>53203169</v>
      </c>
      <c r="D15">
        <v>48828895</v>
      </c>
      <c r="E15">
        <v>1</v>
      </c>
      <c r="F15">
        <v>1</v>
      </c>
      <c r="G15">
        <v>25</v>
      </c>
      <c r="H15">
        <v>3</v>
      </c>
      <c r="I15" t="s">
        <v>226</v>
      </c>
      <c r="J15" t="s">
        <v>227</v>
      </c>
      <c r="K15" t="s">
        <v>228</v>
      </c>
      <c r="L15">
        <v>1348</v>
      </c>
      <c r="N15">
        <v>1009</v>
      </c>
      <c r="O15" t="s">
        <v>229</v>
      </c>
      <c r="P15" t="s">
        <v>229</v>
      </c>
      <c r="Q15">
        <v>1000</v>
      </c>
      <c r="X15">
        <v>0.11</v>
      </c>
      <c r="Y15">
        <v>52914.53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0.11</v>
      </c>
      <c r="AH15">
        <v>2</v>
      </c>
      <c r="AI15">
        <v>53203172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ROW(Source!A38)</f>
        <v>38</v>
      </c>
      <c r="B16">
        <v>53203179</v>
      </c>
      <c r="C16">
        <v>53203169</v>
      </c>
      <c r="D16">
        <v>48829630</v>
      </c>
      <c r="E16">
        <v>1</v>
      </c>
      <c r="F16">
        <v>1</v>
      </c>
      <c r="G16">
        <v>25</v>
      </c>
      <c r="H16">
        <v>3</v>
      </c>
      <c r="I16" t="s">
        <v>230</v>
      </c>
      <c r="J16" t="s">
        <v>231</v>
      </c>
      <c r="K16" t="s">
        <v>232</v>
      </c>
      <c r="L16">
        <v>1346</v>
      </c>
      <c r="N16">
        <v>1009</v>
      </c>
      <c r="O16" t="s">
        <v>233</v>
      </c>
      <c r="P16" t="s">
        <v>233</v>
      </c>
      <c r="Q16">
        <v>1</v>
      </c>
      <c r="X16">
        <v>5</v>
      </c>
      <c r="Y16">
        <v>170.28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5</v>
      </c>
      <c r="AH16">
        <v>2</v>
      </c>
      <c r="AI16">
        <v>53203173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ROW(Source!A38)</f>
        <v>38</v>
      </c>
      <c r="B17">
        <v>53203180</v>
      </c>
      <c r="C17">
        <v>53203169</v>
      </c>
      <c r="D17">
        <v>48828522</v>
      </c>
      <c r="E17">
        <v>1</v>
      </c>
      <c r="F17">
        <v>1</v>
      </c>
      <c r="G17">
        <v>25</v>
      </c>
      <c r="H17">
        <v>3</v>
      </c>
      <c r="I17" t="s">
        <v>234</v>
      </c>
      <c r="J17" t="s">
        <v>235</v>
      </c>
      <c r="K17" t="s">
        <v>236</v>
      </c>
      <c r="L17">
        <v>1339</v>
      </c>
      <c r="N17">
        <v>1007</v>
      </c>
      <c r="O17" t="s">
        <v>50</v>
      </c>
      <c r="P17" t="s">
        <v>50</v>
      </c>
      <c r="Q17">
        <v>1</v>
      </c>
      <c r="X17">
        <v>2.7</v>
      </c>
      <c r="Y17">
        <v>6697.08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2.7</v>
      </c>
      <c r="AH17">
        <v>2</v>
      </c>
      <c r="AI17">
        <v>53203174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ROW(Source!A38)</f>
        <v>38</v>
      </c>
      <c r="B18">
        <v>53203181</v>
      </c>
      <c r="C18">
        <v>53203169</v>
      </c>
      <c r="D18">
        <v>48828555</v>
      </c>
      <c r="E18">
        <v>1</v>
      </c>
      <c r="F18">
        <v>1</v>
      </c>
      <c r="G18">
        <v>25</v>
      </c>
      <c r="H18">
        <v>3</v>
      </c>
      <c r="I18" t="s">
        <v>237</v>
      </c>
      <c r="J18" t="s">
        <v>238</v>
      </c>
      <c r="K18" t="s">
        <v>239</v>
      </c>
      <c r="L18">
        <v>1339</v>
      </c>
      <c r="N18">
        <v>1007</v>
      </c>
      <c r="O18" t="s">
        <v>50</v>
      </c>
      <c r="P18" t="s">
        <v>50</v>
      </c>
      <c r="Q18">
        <v>1</v>
      </c>
      <c r="X18">
        <v>0.6</v>
      </c>
      <c r="Y18">
        <v>3141.36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0.6</v>
      </c>
      <c r="AH18">
        <v>2</v>
      </c>
      <c r="AI18">
        <v>53203175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ROW(Source!A39)</f>
        <v>39</v>
      </c>
      <c r="B19">
        <v>53203190</v>
      </c>
      <c r="C19">
        <v>53203182</v>
      </c>
      <c r="D19">
        <v>48814733</v>
      </c>
      <c r="E19">
        <v>25</v>
      </c>
      <c r="F19">
        <v>1</v>
      </c>
      <c r="G19">
        <v>25</v>
      </c>
      <c r="H19">
        <v>1</v>
      </c>
      <c r="I19" t="s">
        <v>204</v>
      </c>
      <c r="J19" t="s">
        <v>3</v>
      </c>
      <c r="K19" t="s">
        <v>205</v>
      </c>
      <c r="L19">
        <v>1191</v>
      </c>
      <c r="N19">
        <v>1013</v>
      </c>
      <c r="O19" t="s">
        <v>206</v>
      </c>
      <c r="P19" t="s">
        <v>206</v>
      </c>
      <c r="Q19">
        <v>1</v>
      </c>
      <c r="X19">
        <v>95.56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 t="s">
        <v>3</v>
      </c>
      <c r="AG19">
        <v>95.56</v>
      </c>
      <c r="AH19">
        <v>2</v>
      </c>
      <c r="AI19">
        <v>53203183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ROW(Source!A39)</f>
        <v>39</v>
      </c>
      <c r="B20">
        <v>53203191</v>
      </c>
      <c r="C20">
        <v>53203182</v>
      </c>
      <c r="D20">
        <v>48827141</v>
      </c>
      <c r="E20">
        <v>1</v>
      </c>
      <c r="F20">
        <v>1</v>
      </c>
      <c r="G20">
        <v>25</v>
      </c>
      <c r="H20">
        <v>2</v>
      </c>
      <c r="I20" t="s">
        <v>240</v>
      </c>
      <c r="J20" t="s">
        <v>241</v>
      </c>
      <c r="K20" t="s">
        <v>242</v>
      </c>
      <c r="L20">
        <v>1368</v>
      </c>
      <c r="N20">
        <v>1011</v>
      </c>
      <c r="O20" t="s">
        <v>210</v>
      </c>
      <c r="P20" t="s">
        <v>210</v>
      </c>
      <c r="Q20">
        <v>1</v>
      </c>
      <c r="X20">
        <v>3.24</v>
      </c>
      <c r="Y20">
        <v>0</v>
      </c>
      <c r="Z20">
        <v>1942.21</v>
      </c>
      <c r="AA20">
        <v>436.39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3.24</v>
      </c>
      <c r="AH20">
        <v>2</v>
      </c>
      <c r="AI20">
        <v>53203184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ROW(Source!A39)</f>
        <v>39</v>
      </c>
      <c r="B21">
        <v>53203192</v>
      </c>
      <c r="C21">
        <v>53203182</v>
      </c>
      <c r="D21">
        <v>48829642</v>
      </c>
      <c r="E21">
        <v>1</v>
      </c>
      <c r="F21">
        <v>1</v>
      </c>
      <c r="G21">
        <v>25</v>
      </c>
      <c r="H21">
        <v>3</v>
      </c>
      <c r="I21" t="s">
        <v>243</v>
      </c>
      <c r="J21" t="s">
        <v>244</v>
      </c>
      <c r="K21" t="s">
        <v>245</v>
      </c>
      <c r="L21">
        <v>1327</v>
      </c>
      <c r="N21">
        <v>1005</v>
      </c>
      <c r="O21" t="s">
        <v>246</v>
      </c>
      <c r="P21" t="s">
        <v>246</v>
      </c>
      <c r="Q21">
        <v>1</v>
      </c>
      <c r="X21">
        <v>2.8</v>
      </c>
      <c r="Y21">
        <v>83.45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2.8</v>
      </c>
      <c r="AH21">
        <v>2</v>
      </c>
      <c r="AI21">
        <v>53203185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ROW(Source!A39)</f>
        <v>39</v>
      </c>
      <c r="B22">
        <v>53203193</v>
      </c>
      <c r="C22">
        <v>53203182</v>
      </c>
      <c r="D22">
        <v>48829679</v>
      </c>
      <c r="E22">
        <v>1</v>
      </c>
      <c r="F22">
        <v>1</v>
      </c>
      <c r="G22">
        <v>25</v>
      </c>
      <c r="H22">
        <v>3</v>
      </c>
      <c r="I22" t="s">
        <v>247</v>
      </c>
      <c r="J22" t="s">
        <v>248</v>
      </c>
      <c r="K22" t="s">
        <v>249</v>
      </c>
      <c r="L22">
        <v>1346</v>
      </c>
      <c r="N22">
        <v>1009</v>
      </c>
      <c r="O22" t="s">
        <v>233</v>
      </c>
      <c r="P22" t="s">
        <v>233</v>
      </c>
      <c r="Q22">
        <v>1</v>
      </c>
      <c r="X22">
        <v>0.5</v>
      </c>
      <c r="Y22">
        <v>166.07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0.5</v>
      </c>
      <c r="AH22">
        <v>2</v>
      </c>
      <c r="AI22">
        <v>53203186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ROW(Source!A39)</f>
        <v>39</v>
      </c>
      <c r="B23">
        <v>53203194</v>
      </c>
      <c r="C23">
        <v>53203182</v>
      </c>
      <c r="D23">
        <v>48829817</v>
      </c>
      <c r="E23">
        <v>1</v>
      </c>
      <c r="F23">
        <v>1</v>
      </c>
      <c r="G23">
        <v>25</v>
      </c>
      <c r="H23">
        <v>3</v>
      </c>
      <c r="I23" t="s">
        <v>250</v>
      </c>
      <c r="J23" t="s">
        <v>251</v>
      </c>
      <c r="K23" t="s">
        <v>252</v>
      </c>
      <c r="L23">
        <v>1339</v>
      </c>
      <c r="N23">
        <v>1007</v>
      </c>
      <c r="O23" t="s">
        <v>50</v>
      </c>
      <c r="P23" t="s">
        <v>50</v>
      </c>
      <c r="Q23">
        <v>1</v>
      </c>
      <c r="X23">
        <v>10.3</v>
      </c>
      <c r="Y23">
        <v>33.729999999999997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10.3</v>
      </c>
      <c r="AH23">
        <v>2</v>
      </c>
      <c r="AI23">
        <v>53203187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ROW(Source!A39)</f>
        <v>39</v>
      </c>
      <c r="B24">
        <v>53203195</v>
      </c>
      <c r="C24">
        <v>53203182</v>
      </c>
      <c r="D24">
        <v>48831518</v>
      </c>
      <c r="E24">
        <v>1</v>
      </c>
      <c r="F24">
        <v>1</v>
      </c>
      <c r="G24">
        <v>25</v>
      </c>
      <c r="H24">
        <v>3</v>
      </c>
      <c r="I24" t="s">
        <v>253</v>
      </c>
      <c r="J24" t="s">
        <v>254</v>
      </c>
      <c r="K24" t="s">
        <v>255</v>
      </c>
      <c r="L24">
        <v>1339</v>
      </c>
      <c r="N24">
        <v>1007</v>
      </c>
      <c r="O24" t="s">
        <v>50</v>
      </c>
      <c r="P24" t="s">
        <v>50</v>
      </c>
      <c r="Q24">
        <v>1</v>
      </c>
      <c r="X24">
        <v>0.23760000000000001</v>
      </c>
      <c r="Y24">
        <v>3148.82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0.23760000000000001</v>
      </c>
      <c r="AH24">
        <v>2</v>
      </c>
      <c r="AI24">
        <v>53203188</v>
      </c>
      <c r="AJ24">
        <v>25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ROW(Source!A39)</f>
        <v>39</v>
      </c>
      <c r="B25">
        <v>53203196</v>
      </c>
      <c r="C25">
        <v>53203182</v>
      </c>
      <c r="D25">
        <v>48814816</v>
      </c>
      <c r="E25">
        <v>25</v>
      </c>
      <c r="F25">
        <v>1</v>
      </c>
      <c r="G25">
        <v>25</v>
      </c>
      <c r="H25">
        <v>3</v>
      </c>
      <c r="I25" t="s">
        <v>262</v>
      </c>
      <c r="J25" t="s">
        <v>3</v>
      </c>
      <c r="K25" t="s">
        <v>263</v>
      </c>
      <c r="L25">
        <v>1354</v>
      </c>
      <c r="N25">
        <v>1010</v>
      </c>
      <c r="O25" t="s">
        <v>70</v>
      </c>
      <c r="P25" t="s">
        <v>70</v>
      </c>
      <c r="Q25">
        <v>1</v>
      </c>
      <c r="X25">
        <v>10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3</v>
      </c>
      <c r="AG25">
        <v>10</v>
      </c>
      <c r="AH25">
        <v>3</v>
      </c>
      <c r="AI25">
        <v>-1</v>
      </c>
      <c r="AJ25" t="s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ROW(Source!A75)</f>
        <v>75</v>
      </c>
      <c r="B26">
        <v>53203205</v>
      </c>
      <c r="C26">
        <v>53203198</v>
      </c>
      <c r="D26">
        <v>48814733</v>
      </c>
      <c r="E26">
        <v>25</v>
      </c>
      <c r="F26">
        <v>1</v>
      </c>
      <c r="G26">
        <v>25</v>
      </c>
      <c r="H26">
        <v>1</v>
      </c>
      <c r="I26" t="s">
        <v>204</v>
      </c>
      <c r="J26" t="s">
        <v>3</v>
      </c>
      <c r="K26" t="s">
        <v>205</v>
      </c>
      <c r="L26">
        <v>1191</v>
      </c>
      <c r="N26">
        <v>1013</v>
      </c>
      <c r="O26" t="s">
        <v>206</v>
      </c>
      <c r="P26" t="s">
        <v>206</v>
      </c>
      <c r="Q26">
        <v>1</v>
      </c>
      <c r="X26">
        <v>363.41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363.41</v>
      </c>
      <c r="AH26">
        <v>2</v>
      </c>
      <c r="AI26">
        <v>53203199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ROW(Source!A75)</f>
        <v>75</v>
      </c>
      <c r="B27">
        <v>53203206</v>
      </c>
      <c r="C27">
        <v>53203198</v>
      </c>
      <c r="D27">
        <v>48827823</v>
      </c>
      <c r="E27">
        <v>1</v>
      </c>
      <c r="F27">
        <v>1</v>
      </c>
      <c r="G27">
        <v>25</v>
      </c>
      <c r="H27">
        <v>2</v>
      </c>
      <c r="I27" t="s">
        <v>223</v>
      </c>
      <c r="J27" t="s">
        <v>224</v>
      </c>
      <c r="K27" t="s">
        <v>225</v>
      </c>
      <c r="L27">
        <v>1368</v>
      </c>
      <c r="N27">
        <v>1011</v>
      </c>
      <c r="O27" t="s">
        <v>210</v>
      </c>
      <c r="P27" t="s">
        <v>210</v>
      </c>
      <c r="Q27">
        <v>1</v>
      </c>
      <c r="X27">
        <v>1.52</v>
      </c>
      <c r="Y27">
        <v>0</v>
      </c>
      <c r="Z27">
        <v>285.44</v>
      </c>
      <c r="AA27">
        <v>0.28000000000000003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1.52</v>
      </c>
      <c r="AH27">
        <v>2</v>
      </c>
      <c r="AI27">
        <v>53203200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ROW(Source!A75)</f>
        <v>75</v>
      </c>
      <c r="B28">
        <v>53203207</v>
      </c>
      <c r="C28">
        <v>53203198</v>
      </c>
      <c r="D28">
        <v>48828895</v>
      </c>
      <c r="E28">
        <v>1</v>
      </c>
      <c r="F28">
        <v>1</v>
      </c>
      <c r="G28">
        <v>25</v>
      </c>
      <c r="H28">
        <v>3</v>
      </c>
      <c r="I28" t="s">
        <v>226</v>
      </c>
      <c r="J28" t="s">
        <v>227</v>
      </c>
      <c r="K28" t="s">
        <v>228</v>
      </c>
      <c r="L28">
        <v>1348</v>
      </c>
      <c r="N28">
        <v>1009</v>
      </c>
      <c r="O28" t="s">
        <v>229</v>
      </c>
      <c r="P28" t="s">
        <v>229</v>
      </c>
      <c r="Q28">
        <v>1000</v>
      </c>
      <c r="X28">
        <v>0.11</v>
      </c>
      <c r="Y28">
        <v>52914.53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0.11</v>
      </c>
      <c r="AH28">
        <v>2</v>
      </c>
      <c r="AI28">
        <v>53203201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ROW(Source!A75)</f>
        <v>75</v>
      </c>
      <c r="B29">
        <v>53203208</v>
      </c>
      <c r="C29">
        <v>53203198</v>
      </c>
      <c r="D29">
        <v>48829630</v>
      </c>
      <c r="E29">
        <v>1</v>
      </c>
      <c r="F29">
        <v>1</v>
      </c>
      <c r="G29">
        <v>25</v>
      </c>
      <c r="H29">
        <v>3</v>
      </c>
      <c r="I29" t="s">
        <v>230</v>
      </c>
      <c r="J29" t="s">
        <v>231</v>
      </c>
      <c r="K29" t="s">
        <v>232</v>
      </c>
      <c r="L29">
        <v>1346</v>
      </c>
      <c r="N29">
        <v>1009</v>
      </c>
      <c r="O29" t="s">
        <v>233</v>
      </c>
      <c r="P29" t="s">
        <v>233</v>
      </c>
      <c r="Q29">
        <v>1</v>
      </c>
      <c r="X29">
        <v>5</v>
      </c>
      <c r="Y29">
        <v>170.28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5</v>
      </c>
      <c r="AH29">
        <v>2</v>
      </c>
      <c r="AI29">
        <v>53203202</v>
      </c>
      <c r="AJ29">
        <v>29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ROW(Source!A75)</f>
        <v>75</v>
      </c>
      <c r="B30">
        <v>53203209</v>
      </c>
      <c r="C30">
        <v>53203198</v>
      </c>
      <c r="D30">
        <v>48828522</v>
      </c>
      <c r="E30">
        <v>1</v>
      </c>
      <c r="F30">
        <v>1</v>
      </c>
      <c r="G30">
        <v>25</v>
      </c>
      <c r="H30">
        <v>3</v>
      </c>
      <c r="I30" t="s">
        <v>234</v>
      </c>
      <c r="J30" t="s">
        <v>235</v>
      </c>
      <c r="K30" t="s">
        <v>236</v>
      </c>
      <c r="L30">
        <v>1339</v>
      </c>
      <c r="N30">
        <v>1007</v>
      </c>
      <c r="O30" t="s">
        <v>50</v>
      </c>
      <c r="P30" t="s">
        <v>50</v>
      </c>
      <c r="Q30">
        <v>1</v>
      </c>
      <c r="X30">
        <v>2.7</v>
      </c>
      <c r="Y30">
        <v>6697.08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2.7</v>
      </c>
      <c r="AH30">
        <v>2</v>
      </c>
      <c r="AI30">
        <v>53203203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ROW(Source!A75)</f>
        <v>75</v>
      </c>
      <c r="B31">
        <v>53203210</v>
      </c>
      <c r="C31">
        <v>53203198</v>
      </c>
      <c r="D31">
        <v>48828555</v>
      </c>
      <c r="E31">
        <v>1</v>
      </c>
      <c r="F31">
        <v>1</v>
      </c>
      <c r="G31">
        <v>25</v>
      </c>
      <c r="H31">
        <v>3</v>
      </c>
      <c r="I31" t="s">
        <v>237</v>
      </c>
      <c r="J31" t="s">
        <v>238</v>
      </c>
      <c r="K31" t="s">
        <v>239</v>
      </c>
      <c r="L31">
        <v>1339</v>
      </c>
      <c r="N31">
        <v>1007</v>
      </c>
      <c r="O31" t="s">
        <v>50</v>
      </c>
      <c r="P31" t="s">
        <v>50</v>
      </c>
      <c r="Q31">
        <v>1</v>
      </c>
      <c r="X31">
        <v>0.6</v>
      </c>
      <c r="Y31">
        <v>3141.36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0.6</v>
      </c>
      <c r="AH31">
        <v>2</v>
      </c>
      <c r="AI31">
        <v>53203204</v>
      </c>
      <c r="AJ31">
        <v>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ROW(Source!A76)</f>
        <v>76</v>
      </c>
      <c r="B32">
        <v>53203214</v>
      </c>
      <c r="C32">
        <v>53203211</v>
      </c>
      <c r="D32">
        <v>48814733</v>
      </c>
      <c r="E32">
        <v>25</v>
      </c>
      <c r="F32">
        <v>1</v>
      </c>
      <c r="G32">
        <v>25</v>
      </c>
      <c r="H32">
        <v>1</v>
      </c>
      <c r="I32" t="s">
        <v>204</v>
      </c>
      <c r="J32" t="s">
        <v>3</v>
      </c>
      <c r="K32" t="s">
        <v>205</v>
      </c>
      <c r="L32">
        <v>1191</v>
      </c>
      <c r="N32">
        <v>1013</v>
      </c>
      <c r="O32" t="s">
        <v>206</v>
      </c>
      <c r="P32" t="s">
        <v>206</v>
      </c>
      <c r="Q32">
        <v>1</v>
      </c>
      <c r="X32">
        <v>35.82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 t="s">
        <v>3</v>
      </c>
      <c r="AG32">
        <v>35.82</v>
      </c>
      <c r="AH32">
        <v>2</v>
      </c>
      <c r="AI32">
        <v>53203212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ROW(Source!A76)</f>
        <v>76</v>
      </c>
      <c r="B33">
        <v>53203215</v>
      </c>
      <c r="C33">
        <v>53203211</v>
      </c>
      <c r="D33">
        <v>48826950</v>
      </c>
      <c r="E33">
        <v>1</v>
      </c>
      <c r="F33">
        <v>1</v>
      </c>
      <c r="G33">
        <v>25</v>
      </c>
      <c r="H33">
        <v>2</v>
      </c>
      <c r="I33" t="s">
        <v>207</v>
      </c>
      <c r="J33" t="s">
        <v>208</v>
      </c>
      <c r="K33" t="s">
        <v>209</v>
      </c>
      <c r="L33">
        <v>1368</v>
      </c>
      <c r="N33">
        <v>1011</v>
      </c>
      <c r="O33" t="s">
        <v>210</v>
      </c>
      <c r="P33" t="s">
        <v>210</v>
      </c>
      <c r="Q33">
        <v>1</v>
      </c>
      <c r="X33">
        <v>3</v>
      </c>
      <c r="Y33">
        <v>0</v>
      </c>
      <c r="Z33">
        <v>779.95</v>
      </c>
      <c r="AA33">
        <v>426.8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3</v>
      </c>
      <c r="AH33">
        <v>2</v>
      </c>
      <c r="AI33">
        <v>53203213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ROW(Source!A77)</f>
        <v>77</v>
      </c>
      <c r="B34">
        <v>53203218</v>
      </c>
      <c r="C34">
        <v>53203216</v>
      </c>
      <c r="D34">
        <v>48814733</v>
      </c>
      <c r="E34">
        <v>25</v>
      </c>
      <c r="F34">
        <v>1</v>
      </c>
      <c r="G34">
        <v>25</v>
      </c>
      <c r="H34">
        <v>1</v>
      </c>
      <c r="I34" t="s">
        <v>204</v>
      </c>
      <c r="J34" t="s">
        <v>3</v>
      </c>
      <c r="K34" t="s">
        <v>205</v>
      </c>
      <c r="L34">
        <v>1191</v>
      </c>
      <c r="N34">
        <v>1013</v>
      </c>
      <c r="O34" t="s">
        <v>206</v>
      </c>
      <c r="P34" t="s">
        <v>206</v>
      </c>
      <c r="Q34">
        <v>1</v>
      </c>
      <c r="X34">
        <v>99.37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 t="s">
        <v>3</v>
      </c>
      <c r="AG34">
        <v>99.37</v>
      </c>
      <c r="AH34">
        <v>2</v>
      </c>
      <c r="AI34">
        <v>53203217</v>
      </c>
      <c r="AJ34">
        <v>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ROW(Source!A78)</f>
        <v>78</v>
      </c>
      <c r="B35">
        <v>53203227</v>
      </c>
      <c r="C35">
        <v>53203219</v>
      </c>
      <c r="D35">
        <v>48814733</v>
      </c>
      <c r="E35">
        <v>25</v>
      </c>
      <c r="F35">
        <v>1</v>
      </c>
      <c r="G35">
        <v>25</v>
      </c>
      <c r="H35">
        <v>1</v>
      </c>
      <c r="I35" t="s">
        <v>204</v>
      </c>
      <c r="J35" t="s">
        <v>3</v>
      </c>
      <c r="K35" t="s">
        <v>205</v>
      </c>
      <c r="L35">
        <v>1191</v>
      </c>
      <c r="N35">
        <v>1013</v>
      </c>
      <c r="O35" t="s">
        <v>206</v>
      </c>
      <c r="P35" t="s">
        <v>206</v>
      </c>
      <c r="Q35">
        <v>1</v>
      </c>
      <c r="X35">
        <v>95.56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3</v>
      </c>
      <c r="AG35">
        <v>95.56</v>
      </c>
      <c r="AH35">
        <v>2</v>
      </c>
      <c r="AI35">
        <v>53203220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ROW(Source!A78)</f>
        <v>78</v>
      </c>
      <c r="B36">
        <v>53203228</v>
      </c>
      <c r="C36">
        <v>53203219</v>
      </c>
      <c r="D36">
        <v>48827141</v>
      </c>
      <c r="E36">
        <v>1</v>
      </c>
      <c r="F36">
        <v>1</v>
      </c>
      <c r="G36">
        <v>25</v>
      </c>
      <c r="H36">
        <v>2</v>
      </c>
      <c r="I36" t="s">
        <v>240</v>
      </c>
      <c r="J36" t="s">
        <v>241</v>
      </c>
      <c r="K36" t="s">
        <v>242</v>
      </c>
      <c r="L36">
        <v>1368</v>
      </c>
      <c r="N36">
        <v>1011</v>
      </c>
      <c r="O36" t="s">
        <v>210</v>
      </c>
      <c r="P36" t="s">
        <v>210</v>
      </c>
      <c r="Q36">
        <v>1</v>
      </c>
      <c r="X36">
        <v>3.24</v>
      </c>
      <c r="Y36">
        <v>0</v>
      </c>
      <c r="Z36">
        <v>1942.21</v>
      </c>
      <c r="AA36">
        <v>436.39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3.24</v>
      </c>
      <c r="AH36">
        <v>2</v>
      </c>
      <c r="AI36">
        <v>53203221</v>
      </c>
      <c r="AJ36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ROW(Source!A78)</f>
        <v>78</v>
      </c>
      <c r="B37">
        <v>53203229</v>
      </c>
      <c r="C37">
        <v>53203219</v>
      </c>
      <c r="D37">
        <v>48829642</v>
      </c>
      <c r="E37">
        <v>1</v>
      </c>
      <c r="F37">
        <v>1</v>
      </c>
      <c r="G37">
        <v>25</v>
      </c>
      <c r="H37">
        <v>3</v>
      </c>
      <c r="I37" t="s">
        <v>243</v>
      </c>
      <c r="J37" t="s">
        <v>244</v>
      </c>
      <c r="K37" t="s">
        <v>245</v>
      </c>
      <c r="L37">
        <v>1327</v>
      </c>
      <c r="N37">
        <v>1005</v>
      </c>
      <c r="O37" t="s">
        <v>246</v>
      </c>
      <c r="P37" t="s">
        <v>246</v>
      </c>
      <c r="Q37">
        <v>1</v>
      </c>
      <c r="X37">
        <v>2.8</v>
      </c>
      <c r="Y37">
        <v>83.45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2.8</v>
      </c>
      <c r="AH37">
        <v>2</v>
      </c>
      <c r="AI37">
        <v>53203222</v>
      </c>
      <c r="AJ37">
        <v>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ROW(Source!A78)</f>
        <v>78</v>
      </c>
      <c r="B38">
        <v>53203230</v>
      </c>
      <c r="C38">
        <v>53203219</v>
      </c>
      <c r="D38">
        <v>48829679</v>
      </c>
      <c r="E38">
        <v>1</v>
      </c>
      <c r="F38">
        <v>1</v>
      </c>
      <c r="G38">
        <v>25</v>
      </c>
      <c r="H38">
        <v>3</v>
      </c>
      <c r="I38" t="s">
        <v>247</v>
      </c>
      <c r="J38" t="s">
        <v>248</v>
      </c>
      <c r="K38" t="s">
        <v>249</v>
      </c>
      <c r="L38">
        <v>1346</v>
      </c>
      <c r="N38">
        <v>1009</v>
      </c>
      <c r="O38" t="s">
        <v>233</v>
      </c>
      <c r="P38" t="s">
        <v>233</v>
      </c>
      <c r="Q38">
        <v>1</v>
      </c>
      <c r="X38">
        <v>0.5</v>
      </c>
      <c r="Y38">
        <v>166.07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0.5</v>
      </c>
      <c r="AH38">
        <v>2</v>
      </c>
      <c r="AI38">
        <v>53203223</v>
      </c>
      <c r="AJ38">
        <v>38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ROW(Source!A78)</f>
        <v>78</v>
      </c>
      <c r="B39">
        <v>53203231</v>
      </c>
      <c r="C39">
        <v>53203219</v>
      </c>
      <c r="D39">
        <v>48829817</v>
      </c>
      <c r="E39">
        <v>1</v>
      </c>
      <c r="F39">
        <v>1</v>
      </c>
      <c r="G39">
        <v>25</v>
      </c>
      <c r="H39">
        <v>3</v>
      </c>
      <c r="I39" t="s">
        <v>250</v>
      </c>
      <c r="J39" t="s">
        <v>251</v>
      </c>
      <c r="K39" t="s">
        <v>252</v>
      </c>
      <c r="L39">
        <v>1339</v>
      </c>
      <c r="N39">
        <v>1007</v>
      </c>
      <c r="O39" t="s">
        <v>50</v>
      </c>
      <c r="P39" t="s">
        <v>50</v>
      </c>
      <c r="Q39">
        <v>1</v>
      </c>
      <c r="X39">
        <v>10.3</v>
      </c>
      <c r="Y39">
        <v>33.729999999999997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10.3</v>
      </c>
      <c r="AH39">
        <v>2</v>
      </c>
      <c r="AI39">
        <v>53203224</v>
      </c>
      <c r="AJ39">
        <v>39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ROW(Source!A78)</f>
        <v>78</v>
      </c>
      <c r="B40">
        <v>53203232</v>
      </c>
      <c r="C40">
        <v>53203219</v>
      </c>
      <c r="D40">
        <v>48831518</v>
      </c>
      <c r="E40">
        <v>1</v>
      </c>
      <c r="F40">
        <v>1</v>
      </c>
      <c r="G40">
        <v>25</v>
      </c>
      <c r="H40">
        <v>3</v>
      </c>
      <c r="I40" t="s">
        <v>253</v>
      </c>
      <c r="J40" t="s">
        <v>254</v>
      </c>
      <c r="K40" t="s">
        <v>255</v>
      </c>
      <c r="L40">
        <v>1339</v>
      </c>
      <c r="N40">
        <v>1007</v>
      </c>
      <c r="O40" t="s">
        <v>50</v>
      </c>
      <c r="P40" t="s">
        <v>50</v>
      </c>
      <c r="Q40">
        <v>1</v>
      </c>
      <c r="X40">
        <v>0.23760000000000001</v>
      </c>
      <c r="Y40">
        <v>3148.82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0.23760000000000001</v>
      </c>
      <c r="AH40">
        <v>2</v>
      </c>
      <c r="AI40">
        <v>53203225</v>
      </c>
      <c r="AJ40">
        <v>41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ROW(Source!A78)</f>
        <v>78</v>
      </c>
      <c r="B41">
        <v>53203233</v>
      </c>
      <c r="C41">
        <v>53203219</v>
      </c>
      <c r="D41">
        <v>48814816</v>
      </c>
      <c r="E41">
        <v>25</v>
      </c>
      <c r="F41">
        <v>1</v>
      </c>
      <c r="G41">
        <v>25</v>
      </c>
      <c r="H41">
        <v>3</v>
      </c>
      <c r="I41" t="s">
        <v>262</v>
      </c>
      <c r="J41" t="s">
        <v>3</v>
      </c>
      <c r="K41" t="s">
        <v>263</v>
      </c>
      <c r="L41">
        <v>1354</v>
      </c>
      <c r="N41">
        <v>1010</v>
      </c>
      <c r="O41" t="s">
        <v>70</v>
      </c>
      <c r="P41" t="s">
        <v>70</v>
      </c>
      <c r="Q41">
        <v>1</v>
      </c>
      <c r="X41">
        <v>10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3</v>
      </c>
      <c r="AG41">
        <v>10</v>
      </c>
      <c r="AH41">
        <v>3</v>
      </c>
      <c r="AI41">
        <v>-1</v>
      </c>
      <c r="AJ41" t="s">
        <v>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ROW(Source!A114)</f>
        <v>114</v>
      </c>
      <c r="B42">
        <v>53203241</v>
      </c>
      <c r="C42">
        <v>53203235</v>
      </c>
      <c r="D42">
        <v>48814733</v>
      </c>
      <c r="E42">
        <v>25</v>
      </c>
      <c r="F42">
        <v>1</v>
      </c>
      <c r="G42">
        <v>25</v>
      </c>
      <c r="H42">
        <v>1</v>
      </c>
      <c r="I42" t="s">
        <v>204</v>
      </c>
      <c r="J42" t="s">
        <v>3</v>
      </c>
      <c r="K42" t="s">
        <v>205</v>
      </c>
      <c r="L42">
        <v>1191</v>
      </c>
      <c r="N42">
        <v>1013</v>
      </c>
      <c r="O42" t="s">
        <v>206</v>
      </c>
      <c r="P42" t="s">
        <v>206</v>
      </c>
      <c r="Q42">
        <v>1</v>
      </c>
      <c r="X42">
        <v>89.24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 t="s">
        <v>3</v>
      </c>
      <c r="AG42">
        <v>89.24</v>
      </c>
      <c r="AH42">
        <v>2</v>
      </c>
      <c r="AI42">
        <v>53203236</v>
      </c>
      <c r="AJ42">
        <v>42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ROW(Source!A114)</f>
        <v>114</v>
      </c>
      <c r="B43">
        <v>53203242</v>
      </c>
      <c r="C43">
        <v>53203235</v>
      </c>
      <c r="D43">
        <v>48827141</v>
      </c>
      <c r="E43">
        <v>1</v>
      </c>
      <c r="F43">
        <v>1</v>
      </c>
      <c r="G43">
        <v>25</v>
      </c>
      <c r="H43">
        <v>2</v>
      </c>
      <c r="I43" t="s">
        <v>240</v>
      </c>
      <c r="J43" t="s">
        <v>241</v>
      </c>
      <c r="K43" t="s">
        <v>242</v>
      </c>
      <c r="L43">
        <v>1368</v>
      </c>
      <c r="N43">
        <v>1011</v>
      </c>
      <c r="O43" t="s">
        <v>210</v>
      </c>
      <c r="P43" t="s">
        <v>210</v>
      </c>
      <c r="Q43">
        <v>1</v>
      </c>
      <c r="X43">
        <v>10.26</v>
      </c>
      <c r="Y43">
        <v>0</v>
      </c>
      <c r="Z43">
        <v>1942.21</v>
      </c>
      <c r="AA43">
        <v>436.39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10.26</v>
      </c>
      <c r="AH43">
        <v>2</v>
      </c>
      <c r="AI43">
        <v>53203237</v>
      </c>
      <c r="AJ43">
        <v>43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ROW(Source!A114)</f>
        <v>114</v>
      </c>
      <c r="B44">
        <v>53203243</v>
      </c>
      <c r="C44">
        <v>53203235</v>
      </c>
      <c r="D44">
        <v>48829642</v>
      </c>
      <c r="E44">
        <v>1</v>
      </c>
      <c r="F44">
        <v>1</v>
      </c>
      <c r="G44">
        <v>25</v>
      </c>
      <c r="H44">
        <v>3</v>
      </c>
      <c r="I44" t="s">
        <v>243</v>
      </c>
      <c r="J44" t="s">
        <v>244</v>
      </c>
      <c r="K44" t="s">
        <v>245</v>
      </c>
      <c r="L44">
        <v>1327</v>
      </c>
      <c r="N44">
        <v>1005</v>
      </c>
      <c r="O44" t="s">
        <v>246</v>
      </c>
      <c r="P44" t="s">
        <v>246</v>
      </c>
      <c r="Q44">
        <v>1</v>
      </c>
      <c r="X44">
        <v>2.8</v>
      </c>
      <c r="Y44">
        <v>83.45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2.8</v>
      </c>
      <c r="AH44">
        <v>2</v>
      </c>
      <c r="AI44">
        <v>53203238</v>
      </c>
      <c r="AJ44">
        <v>44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ROW(Source!A114)</f>
        <v>114</v>
      </c>
      <c r="B45">
        <v>53203244</v>
      </c>
      <c r="C45">
        <v>53203235</v>
      </c>
      <c r="D45">
        <v>48829679</v>
      </c>
      <c r="E45">
        <v>1</v>
      </c>
      <c r="F45">
        <v>1</v>
      </c>
      <c r="G45">
        <v>25</v>
      </c>
      <c r="H45">
        <v>3</v>
      </c>
      <c r="I45" t="s">
        <v>247</v>
      </c>
      <c r="J45" t="s">
        <v>248</v>
      </c>
      <c r="K45" t="s">
        <v>249</v>
      </c>
      <c r="L45">
        <v>1346</v>
      </c>
      <c r="N45">
        <v>1009</v>
      </c>
      <c r="O45" t="s">
        <v>233</v>
      </c>
      <c r="P45" t="s">
        <v>233</v>
      </c>
      <c r="Q45">
        <v>1</v>
      </c>
      <c r="X45">
        <v>0.1</v>
      </c>
      <c r="Y45">
        <v>166.07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0.1</v>
      </c>
      <c r="AH45">
        <v>2</v>
      </c>
      <c r="AI45">
        <v>53203239</v>
      </c>
      <c r="AJ45">
        <v>45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ROW(Source!A114)</f>
        <v>114</v>
      </c>
      <c r="B46">
        <v>53203245</v>
      </c>
      <c r="C46">
        <v>53203235</v>
      </c>
      <c r="D46">
        <v>48829817</v>
      </c>
      <c r="E46">
        <v>1</v>
      </c>
      <c r="F46">
        <v>1</v>
      </c>
      <c r="G46">
        <v>25</v>
      </c>
      <c r="H46">
        <v>3</v>
      </c>
      <c r="I46" t="s">
        <v>250</v>
      </c>
      <c r="J46" t="s">
        <v>251</v>
      </c>
      <c r="K46" t="s">
        <v>252</v>
      </c>
      <c r="L46">
        <v>1339</v>
      </c>
      <c r="N46">
        <v>1007</v>
      </c>
      <c r="O46" t="s">
        <v>50</v>
      </c>
      <c r="P46" t="s">
        <v>50</v>
      </c>
      <c r="Q46">
        <v>1</v>
      </c>
      <c r="X46">
        <v>30</v>
      </c>
      <c r="Y46">
        <v>33.729999999999997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30</v>
      </c>
      <c r="AH46">
        <v>2</v>
      </c>
      <c r="AI46">
        <v>53203240</v>
      </c>
      <c r="AJ46">
        <v>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ROW(Source!A115)</f>
        <v>115</v>
      </c>
      <c r="B47">
        <v>53203250</v>
      </c>
      <c r="C47">
        <v>53203246</v>
      </c>
      <c r="D47">
        <v>48814733</v>
      </c>
      <c r="E47">
        <v>25</v>
      </c>
      <c r="F47">
        <v>1</v>
      </c>
      <c r="G47">
        <v>25</v>
      </c>
      <c r="H47">
        <v>1</v>
      </c>
      <c r="I47" t="s">
        <v>204</v>
      </c>
      <c r="J47" t="s">
        <v>3</v>
      </c>
      <c r="K47" t="s">
        <v>205</v>
      </c>
      <c r="L47">
        <v>1191</v>
      </c>
      <c r="N47">
        <v>1013</v>
      </c>
      <c r="O47" t="s">
        <v>206</v>
      </c>
      <c r="P47" t="s">
        <v>206</v>
      </c>
      <c r="Q47">
        <v>1</v>
      </c>
      <c r="X47">
        <v>18.89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 t="s">
        <v>3</v>
      </c>
      <c r="AG47">
        <v>18.89</v>
      </c>
      <c r="AH47">
        <v>2</v>
      </c>
      <c r="AI47">
        <v>53203247</v>
      </c>
      <c r="AJ47">
        <v>47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ROW(Source!A115)</f>
        <v>115</v>
      </c>
      <c r="B48">
        <v>53203251</v>
      </c>
      <c r="C48">
        <v>53203246</v>
      </c>
      <c r="D48">
        <v>48831476</v>
      </c>
      <c r="E48">
        <v>1</v>
      </c>
      <c r="F48">
        <v>1</v>
      </c>
      <c r="G48">
        <v>25</v>
      </c>
      <c r="H48">
        <v>3</v>
      </c>
      <c r="I48" t="s">
        <v>256</v>
      </c>
      <c r="J48" t="s">
        <v>257</v>
      </c>
      <c r="K48" t="s">
        <v>258</v>
      </c>
      <c r="L48">
        <v>1346</v>
      </c>
      <c r="N48">
        <v>1009</v>
      </c>
      <c r="O48" t="s">
        <v>233</v>
      </c>
      <c r="P48" t="s">
        <v>233</v>
      </c>
      <c r="Q48">
        <v>1</v>
      </c>
      <c r="X48">
        <v>0.7</v>
      </c>
      <c r="Y48">
        <v>32.549999999999997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0.7</v>
      </c>
      <c r="AH48">
        <v>2</v>
      </c>
      <c r="AI48">
        <v>53203248</v>
      </c>
      <c r="AJ48">
        <v>48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ROW(Source!A115)</f>
        <v>115</v>
      </c>
      <c r="B49">
        <v>53203252</v>
      </c>
      <c r="C49">
        <v>53203246</v>
      </c>
      <c r="D49">
        <v>48831482</v>
      </c>
      <c r="E49">
        <v>1</v>
      </c>
      <c r="F49">
        <v>1</v>
      </c>
      <c r="G49">
        <v>25</v>
      </c>
      <c r="H49">
        <v>3</v>
      </c>
      <c r="I49" t="s">
        <v>259</v>
      </c>
      <c r="J49" t="s">
        <v>260</v>
      </c>
      <c r="K49" t="s">
        <v>261</v>
      </c>
      <c r="L49">
        <v>1346</v>
      </c>
      <c r="N49">
        <v>1009</v>
      </c>
      <c r="O49" t="s">
        <v>233</v>
      </c>
      <c r="P49" t="s">
        <v>233</v>
      </c>
      <c r="Q49">
        <v>1</v>
      </c>
      <c r="X49">
        <v>350</v>
      </c>
      <c r="Y49">
        <v>12.26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350</v>
      </c>
      <c r="AH49">
        <v>2</v>
      </c>
      <c r="AI49">
        <v>53203249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ROW(Source!A183)</f>
        <v>183</v>
      </c>
      <c r="B50">
        <v>53203258</v>
      </c>
      <c r="C50">
        <v>53203253</v>
      </c>
      <c r="D50">
        <v>48814733</v>
      </c>
      <c r="E50">
        <v>25</v>
      </c>
      <c r="F50">
        <v>1</v>
      </c>
      <c r="G50">
        <v>25</v>
      </c>
      <c r="H50">
        <v>1</v>
      </c>
      <c r="I50" t="s">
        <v>204</v>
      </c>
      <c r="J50" t="s">
        <v>3</v>
      </c>
      <c r="K50" t="s">
        <v>205</v>
      </c>
      <c r="L50">
        <v>1191</v>
      </c>
      <c r="N50">
        <v>1013</v>
      </c>
      <c r="O50" t="s">
        <v>206</v>
      </c>
      <c r="P50" t="s">
        <v>206</v>
      </c>
      <c r="Q50">
        <v>1</v>
      </c>
      <c r="X50">
        <v>51.93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 t="s">
        <v>3</v>
      </c>
      <c r="AG50">
        <v>51.93</v>
      </c>
      <c r="AH50">
        <v>2</v>
      </c>
      <c r="AI50">
        <v>53203254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ROW(Source!A183)</f>
        <v>183</v>
      </c>
      <c r="B51">
        <v>53203259</v>
      </c>
      <c r="C51">
        <v>53203253</v>
      </c>
      <c r="D51">
        <v>48826950</v>
      </c>
      <c r="E51">
        <v>1</v>
      </c>
      <c r="F51">
        <v>1</v>
      </c>
      <c r="G51">
        <v>25</v>
      </c>
      <c r="H51">
        <v>2</v>
      </c>
      <c r="I51" t="s">
        <v>207</v>
      </c>
      <c r="J51" t="s">
        <v>208</v>
      </c>
      <c r="K51" t="s">
        <v>209</v>
      </c>
      <c r="L51">
        <v>1368</v>
      </c>
      <c r="N51">
        <v>1011</v>
      </c>
      <c r="O51" t="s">
        <v>210</v>
      </c>
      <c r="P51" t="s">
        <v>210</v>
      </c>
      <c r="Q51">
        <v>1</v>
      </c>
      <c r="X51">
        <v>2.02</v>
      </c>
      <c r="Y51">
        <v>0</v>
      </c>
      <c r="Z51">
        <v>779.95</v>
      </c>
      <c r="AA51">
        <v>426.8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2.02</v>
      </c>
      <c r="AH51">
        <v>2</v>
      </c>
      <c r="AI51">
        <v>53203255</v>
      </c>
      <c r="AJ51">
        <v>51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ROW(Source!A183)</f>
        <v>183</v>
      </c>
      <c r="B52">
        <v>53203260</v>
      </c>
      <c r="C52">
        <v>53203253</v>
      </c>
      <c r="D52">
        <v>48831526</v>
      </c>
      <c r="E52">
        <v>1</v>
      </c>
      <c r="F52">
        <v>1</v>
      </c>
      <c r="G52">
        <v>25</v>
      </c>
      <c r="H52">
        <v>3</v>
      </c>
      <c r="I52" t="s">
        <v>211</v>
      </c>
      <c r="J52" t="s">
        <v>212</v>
      </c>
      <c r="K52" t="s">
        <v>213</v>
      </c>
      <c r="L52">
        <v>1339</v>
      </c>
      <c r="N52">
        <v>1007</v>
      </c>
      <c r="O52" t="s">
        <v>50</v>
      </c>
      <c r="P52" t="s">
        <v>50</v>
      </c>
      <c r="Q52">
        <v>1</v>
      </c>
      <c r="X52">
        <v>3.88</v>
      </c>
      <c r="Y52">
        <v>810.33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3.88</v>
      </c>
      <c r="AH52">
        <v>2</v>
      </c>
      <c r="AI52">
        <v>53203256</v>
      </c>
      <c r="AJ52">
        <v>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ROW(Source!A183)</f>
        <v>183</v>
      </c>
      <c r="B53">
        <v>53203261</v>
      </c>
      <c r="C53">
        <v>53203253</v>
      </c>
      <c r="D53">
        <v>48831517</v>
      </c>
      <c r="E53">
        <v>1</v>
      </c>
      <c r="F53">
        <v>1</v>
      </c>
      <c r="G53">
        <v>25</v>
      </c>
      <c r="H53">
        <v>3</v>
      </c>
      <c r="I53" t="s">
        <v>214</v>
      </c>
      <c r="J53" t="s">
        <v>215</v>
      </c>
      <c r="K53" t="s">
        <v>216</v>
      </c>
      <c r="L53">
        <v>1339</v>
      </c>
      <c r="N53">
        <v>1007</v>
      </c>
      <c r="O53" t="s">
        <v>50</v>
      </c>
      <c r="P53" t="s">
        <v>50</v>
      </c>
      <c r="Q53">
        <v>1</v>
      </c>
      <c r="X53">
        <v>11.6</v>
      </c>
      <c r="Y53">
        <v>753.67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11.6</v>
      </c>
      <c r="AH53">
        <v>2</v>
      </c>
      <c r="AI53">
        <v>53203257</v>
      </c>
      <c r="AJ53">
        <v>53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ROW(Source!A184)</f>
        <v>184</v>
      </c>
      <c r="B54">
        <v>53203266</v>
      </c>
      <c r="C54">
        <v>53203262</v>
      </c>
      <c r="D54">
        <v>48814733</v>
      </c>
      <c r="E54">
        <v>25</v>
      </c>
      <c r="F54">
        <v>1</v>
      </c>
      <c r="G54">
        <v>25</v>
      </c>
      <c r="H54">
        <v>1</v>
      </c>
      <c r="I54" t="s">
        <v>204</v>
      </c>
      <c r="J54" t="s">
        <v>3</v>
      </c>
      <c r="K54" t="s">
        <v>205</v>
      </c>
      <c r="L54">
        <v>1191</v>
      </c>
      <c r="N54">
        <v>1013</v>
      </c>
      <c r="O54" t="s">
        <v>206</v>
      </c>
      <c r="P54" t="s">
        <v>206</v>
      </c>
      <c r="Q54">
        <v>1</v>
      </c>
      <c r="X54">
        <v>79.569999999999993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 t="s">
        <v>3</v>
      </c>
      <c r="AG54">
        <v>79.569999999999993</v>
      </c>
      <c r="AH54">
        <v>2</v>
      </c>
      <c r="AI54">
        <v>53203263</v>
      </c>
      <c r="AJ54">
        <v>54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ROW(Source!A184)</f>
        <v>184</v>
      </c>
      <c r="B55">
        <v>53203267</v>
      </c>
      <c r="C55">
        <v>53203262</v>
      </c>
      <c r="D55">
        <v>48831526</v>
      </c>
      <c r="E55">
        <v>1</v>
      </c>
      <c r="F55">
        <v>1</v>
      </c>
      <c r="G55">
        <v>25</v>
      </c>
      <c r="H55">
        <v>3</v>
      </c>
      <c r="I55" t="s">
        <v>211</v>
      </c>
      <c r="J55" t="s">
        <v>212</v>
      </c>
      <c r="K55" t="s">
        <v>213</v>
      </c>
      <c r="L55">
        <v>1339</v>
      </c>
      <c r="N55">
        <v>1007</v>
      </c>
      <c r="O55" t="s">
        <v>50</v>
      </c>
      <c r="P55" t="s">
        <v>50</v>
      </c>
      <c r="Q55">
        <v>1</v>
      </c>
      <c r="X55">
        <v>1.94</v>
      </c>
      <c r="Y55">
        <v>810.33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1.94</v>
      </c>
      <c r="AH55">
        <v>2</v>
      </c>
      <c r="AI55">
        <v>53203264</v>
      </c>
      <c r="AJ55">
        <v>55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ROW(Source!A184)</f>
        <v>184</v>
      </c>
      <c r="B56">
        <v>53203268</v>
      </c>
      <c r="C56">
        <v>53203262</v>
      </c>
      <c r="D56">
        <v>48831517</v>
      </c>
      <c r="E56">
        <v>1</v>
      </c>
      <c r="F56">
        <v>1</v>
      </c>
      <c r="G56">
        <v>25</v>
      </c>
      <c r="H56">
        <v>3</v>
      </c>
      <c r="I56" t="s">
        <v>214</v>
      </c>
      <c r="J56" t="s">
        <v>215</v>
      </c>
      <c r="K56" t="s">
        <v>216</v>
      </c>
      <c r="L56">
        <v>1339</v>
      </c>
      <c r="N56">
        <v>1007</v>
      </c>
      <c r="O56" t="s">
        <v>50</v>
      </c>
      <c r="P56" t="s">
        <v>50</v>
      </c>
      <c r="Q56">
        <v>1</v>
      </c>
      <c r="X56">
        <v>5.81</v>
      </c>
      <c r="Y56">
        <v>753.67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5.81</v>
      </c>
      <c r="AH56">
        <v>2</v>
      </c>
      <c r="AI56">
        <v>53203265</v>
      </c>
      <c r="AJ56">
        <v>56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ROW(Source!A185)</f>
        <v>185</v>
      </c>
      <c r="B57">
        <v>53203271</v>
      </c>
      <c r="C57">
        <v>53203269</v>
      </c>
      <c r="D57">
        <v>48814733</v>
      </c>
      <c r="E57">
        <v>25</v>
      </c>
      <c r="F57">
        <v>1</v>
      </c>
      <c r="G57">
        <v>25</v>
      </c>
      <c r="H57">
        <v>1</v>
      </c>
      <c r="I57" t="s">
        <v>204</v>
      </c>
      <c r="J57" t="s">
        <v>3</v>
      </c>
      <c r="K57" t="s">
        <v>205</v>
      </c>
      <c r="L57">
        <v>1191</v>
      </c>
      <c r="N57">
        <v>1013</v>
      </c>
      <c r="O57" t="s">
        <v>206</v>
      </c>
      <c r="P57" t="s">
        <v>206</v>
      </c>
      <c r="Q57">
        <v>1</v>
      </c>
      <c r="X57">
        <v>83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 t="s">
        <v>3</v>
      </c>
      <c r="AG57">
        <v>83</v>
      </c>
      <c r="AH57">
        <v>2</v>
      </c>
      <c r="AI57">
        <v>53203270</v>
      </c>
      <c r="AJ57">
        <v>57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ROW(Source!A186)</f>
        <v>186</v>
      </c>
      <c r="B58">
        <v>53203275</v>
      </c>
      <c r="C58">
        <v>53203272</v>
      </c>
      <c r="D58">
        <v>48814733</v>
      </c>
      <c r="E58">
        <v>25</v>
      </c>
      <c r="F58">
        <v>1</v>
      </c>
      <c r="G58">
        <v>25</v>
      </c>
      <c r="H58">
        <v>1</v>
      </c>
      <c r="I58" t="s">
        <v>204</v>
      </c>
      <c r="J58" t="s">
        <v>3</v>
      </c>
      <c r="K58" t="s">
        <v>205</v>
      </c>
      <c r="L58">
        <v>1191</v>
      </c>
      <c r="N58">
        <v>1013</v>
      </c>
      <c r="O58" t="s">
        <v>206</v>
      </c>
      <c r="P58" t="s">
        <v>206</v>
      </c>
      <c r="Q58">
        <v>1</v>
      </c>
      <c r="X58">
        <v>0.65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 t="s">
        <v>3</v>
      </c>
      <c r="AG58">
        <v>0.65</v>
      </c>
      <c r="AH58">
        <v>2</v>
      </c>
      <c r="AI58">
        <v>53203273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ROW(Source!A186)</f>
        <v>186</v>
      </c>
      <c r="B59">
        <v>53203276</v>
      </c>
      <c r="C59">
        <v>53203272</v>
      </c>
      <c r="D59">
        <v>48826951</v>
      </c>
      <c r="E59">
        <v>1</v>
      </c>
      <c r="F59">
        <v>1</v>
      </c>
      <c r="G59">
        <v>25</v>
      </c>
      <c r="H59">
        <v>2</v>
      </c>
      <c r="I59" t="s">
        <v>217</v>
      </c>
      <c r="J59" t="s">
        <v>218</v>
      </c>
      <c r="K59" t="s">
        <v>219</v>
      </c>
      <c r="L59">
        <v>1368</v>
      </c>
      <c r="N59">
        <v>1011</v>
      </c>
      <c r="O59" t="s">
        <v>210</v>
      </c>
      <c r="P59" t="s">
        <v>210</v>
      </c>
      <c r="Q59">
        <v>1</v>
      </c>
      <c r="X59">
        <v>0.54</v>
      </c>
      <c r="Y59">
        <v>0</v>
      </c>
      <c r="Z59">
        <v>2191.2199999999998</v>
      </c>
      <c r="AA59">
        <v>808.59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0.54</v>
      </c>
      <c r="AH59">
        <v>2</v>
      </c>
      <c r="AI59">
        <v>53203274</v>
      </c>
      <c r="AJ59">
        <v>59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ROW(Source!A187)</f>
        <v>187</v>
      </c>
      <c r="B60">
        <v>53203279</v>
      </c>
      <c r="C60">
        <v>53203277</v>
      </c>
      <c r="D60">
        <v>48827727</v>
      </c>
      <c r="E60">
        <v>1</v>
      </c>
      <c r="F60">
        <v>1</v>
      </c>
      <c r="G60">
        <v>25</v>
      </c>
      <c r="H60">
        <v>2</v>
      </c>
      <c r="I60" t="s">
        <v>220</v>
      </c>
      <c r="J60" t="s">
        <v>221</v>
      </c>
      <c r="K60" t="s">
        <v>222</v>
      </c>
      <c r="L60">
        <v>1368</v>
      </c>
      <c r="N60">
        <v>1011</v>
      </c>
      <c r="O60" t="s">
        <v>210</v>
      </c>
      <c r="P60" t="s">
        <v>210</v>
      </c>
      <c r="Q60">
        <v>1</v>
      </c>
      <c r="X60">
        <v>3.1E-2</v>
      </c>
      <c r="Y60">
        <v>0</v>
      </c>
      <c r="Z60">
        <v>993.6</v>
      </c>
      <c r="AA60">
        <v>301.8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3.1E-2</v>
      </c>
      <c r="AH60">
        <v>2</v>
      </c>
      <c r="AI60">
        <v>53203278</v>
      </c>
      <c r="AJ60">
        <v>60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ROW(Source!A188)</f>
        <v>188</v>
      </c>
      <c r="B61">
        <v>53203282</v>
      </c>
      <c r="C61">
        <v>53203280</v>
      </c>
      <c r="D61">
        <v>48827727</v>
      </c>
      <c r="E61">
        <v>1</v>
      </c>
      <c r="F61">
        <v>1</v>
      </c>
      <c r="G61">
        <v>25</v>
      </c>
      <c r="H61">
        <v>2</v>
      </c>
      <c r="I61" t="s">
        <v>220</v>
      </c>
      <c r="J61" t="s">
        <v>221</v>
      </c>
      <c r="K61" t="s">
        <v>222</v>
      </c>
      <c r="L61">
        <v>1368</v>
      </c>
      <c r="N61">
        <v>1011</v>
      </c>
      <c r="O61" t="s">
        <v>210</v>
      </c>
      <c r="P61" t="s">
        <v>210</v>
      </c>
      <c r="Q61">
        <v>1</v>
      </c>
      <c r="X61">
        <v>0.01</v>
      </c>
      <c r="Y61">
        <v>0</v>
      </c>
      <c r="Z61">
        <v>993.6</v>
      </c>
      <c r="AA61">
        <v>301.8</v>
      </c>
      <c r="AB61">
        <v>0</v>
      </c>
      <c r="AC61">
        <v>0</v>
      </c>
      <c r="AD61">
        <v>1</v>
      </c>
      <c r="AE61">
        <v>0</v>
      </c>
      <c r="AF61" t="s">
        <v>57</v>
      </c>
      <c r="AG61">
        <v>0.41000000000000003</v>
      </c>
      <c r="AH61">
        <v>2</v>
      </c>
      <c r="AI61">
        <v>53203281</v>
      </c>
      <c r="AJ61">
        <v>61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ROW(Source!A189)</f>
        <v>189</v>
      </c>
      <c r="B62">
        <v>53203290</v>
      </c>
      <c r="C62">
        <v>53203283</v>
      </c>
      <c r="D62">
        <v>48814733</v>
      </c>
      <c r="E62">
        <v>25</v>
      </c>
      <c r="F62">
        <v>1</v>
      </c>
      <c r="G62">
        <v>25</v>
      </c>
      <c r="H62">
        <v>1</v>
      </c>
      <c r="I62" t="s">
        <v>204</v>
      </c>
      <c r="J62" t="s">
        <v>3</v>
      </c>
      <c r="K62" t="s">
        <v>205</v>
      </c>
      <c r="L62">
        <v>1191</v>
      </c>
      <c r="N62">
        <v>1013</v>
      </c>
      <c r="O62" t="s">
        <v>206</v>
      </c>
      <c r="P62" t="s">
        <v>206</v>
      </c>
      <c r="Q62">
        <v>1</v>
      </c>
      <c r="X62">
        <v>231.15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 t="s">
        <v>3</v>
      </c>
      <c r="AG62">
        <v>231.15</v>
      </c>
      <c r="AH62">
        <v>2</v>
      </c>
      <c r="AI62">
        <v>53203284</v>
      </c>
      <c r="AJ62">
        <v>62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ROW(Source!A189)</f>
        <v>189</v>
      </c>
      <c r="B63">
        <v>53203291</v>
      </c>
      <c r="C63">
        <v>53203283</v>
      </c>
      <c r="D63">
        <v>48827823</v>
      </c>
      <c r="E63">
        <v>1</v>
      </c>
      <c r="F63">
        <v>1</v>
      </c>
      <c r="G63">
        <v>25</v>
      </c>
      <c r="H63">
        <v>2</v>
      </c>
      <c r="I63" t="s">
        <v>223</v>
      </c>
      <c r="J63" t="s">
        <v>224</v>
      </c>
      <c r="K63" t="s">
        <v>225</v>
      </c>
      <c r="L63">
        <v>1368</v>
      </c>
      <c r="N63">
        <v>1011</v>
      </c>
      <c r="O63" t="s">
        <v>210</v>
      </c>
      <c r="P63" t="s">
        <v>210</v>
      </c>
      <c r="Q63">
        <v>1</v>
      </c>
      <c r="X63">
        <v>1.2</v>
      </c>
      <c r="Y63">
        <v>0</v>
      </c>
      <c r="Z63">
        <v>285.44</v>
      </c>
      <c r="AA63">
        <v>0.28000000000000003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1.2</v>
      </c>
      <c r="AH63">
        <v>2</v>
      </c>
      <c r="AI63">
        <v>53203285</v>
      </c>
      <c r="AJ63">
        <v>63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ROW(Source!A189)</f>
        <v>189</v>
      </c>
      <c r="B64">
        <v>53203292</v>
      </c>
      <c r="C64">
        <v>53203283</v>
      </c>
      <c r="D64">
        <v>48828895</v>
      </c>
      <c r="E64">
        <v>1</v>
      </c>
      <c r="F64">
        <v>1</v>
      </c>
      <c r="G64">
        <v>25</v>
      </c>
      <c r="H64">
        <v>3</v>
      </c>
      <c r="I64" t="s">
        <v>226</v>
      </c>
      <c r="J64" t="s">
        <v>227</v>
      </c>
      <c r="K64" t="s">
        <v>228</v>
      </c>
      <c r="L64">
        <v>1348</v>
      </c>
      <c r="N64">
        <v>1009</v>
      </c>
      <c r="O64" t="s">
        <v>229</v>
      </c>
      <c r="P64" t="s">
        <v>229</v>
      </c>
      <c r="Q64">
        <v>1000</v>
      </c>
      <c r="X64">
        <v>0.06</v>
      </c>
      <c r="Y64">
        <v>52914.53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0.06</v>
      </c>
      <c r="AH64">
        <v>2</v>
      </c>
      <c r="AI64">
        <v>53203286</v>
      </c>
      <c r="AJ64">
        <v>64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ROW(Source!A189)</f>
        <v>189</v>
      </c>
      <c r="B65">
        <v>53203293</v>
      </c>
      <c r="C65">
        <v>53203283</v>
      </c>
      <c r="D65">
        <v>48829630</v>
      </c>
      <c r="E65">
        <v>1</v>
      </c>
      <c r="F65">
        <v>1</v>
      </c>
      <c r="G65">
        <v>25</v>
      </c>
      <c r="H65">
        <v>3</v>
      </c>
      <c r="I65" t="s">
        <v>230</v>
      </c>
      <c r="J65" t="s">
        <v>231</v>
      </c>
      <c r="K65" t="s">
        <v>232</v>
      </c>
      <c r="L65">
        <v>1346</v>
      </c>
      <c r="N65">
        <v>1009</v>
      </c>
      <c r="O65" t="s">
        <v>233</v>
      </c>
      <c r="P65" t="s">
        <v>233</v>
      </c>
      <c r="Q65">
        <v>1</v>
      </c>
      <c r="X65">
        <v>5</v>
      </c>
      <c r="Y65">
        <v>170.28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5</v>
      </c>
      <c r="AH65">
        <v>2</v>
      </c>
      <c r="AI65">
        <v>53203287</v>
      </c>
      <c r="AJ65">
        <v>65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ROW(Source!A189)</f>
        <v>189</v>
      </c>
      <c r="B66">
        <v>53203294</v>
      </c>
      <c r="C66">
        <v>53203283</v>
      </c>
      <c r="D66">
        <v>48828522</v>
      </c>
      <c r="E66">
        <v>1</v>
      </c>
      <c r="F66">
        <v>1</v>
      </c>
      <c r="G66">
        <v>25</v>
      </c>
      <c r="H66">
        <v>3</v>
      </c>
      <c r="I66" t="s">
        <v>234</v>
      </c>
      <c r="J66" t="s">
        <v>235</v>
      </c>
      <c r="K66" t="s">
        <v>236</v>
      </c>
      <c r="L66">
        <v>1339</v>
      </c>
      <c r="N66">
        <v>1007</v>
      </c>
      <c r="O66" t="s">
        <v>50</v>
      </c>
      <c r="P66" t="s">
        <v>50</v>
      </c>
      <c r="Q66">
        <v>1</v>
      </c>
      <c r="X66">
        <v>2</v>
      </c>
      <c r="Y66">
        <v>6697.08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2</v>
      </c>
      <c r="AH66">
        <v>2</v>
      </c>
      <c r="AI66">
        <v>53203288</v>
      </c>
      <c r="AJ66">
        <v>66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ROW(Source!A189)</f>
        <v>189</v>
      </c>
      <c r="B67">
        <v>53203295</v>
      </c>
      <c r="C67">
        <v>53203283</v>
      </c>
      <c r="D67">
        <v>48828555</v>
      </c>
      <c r="E67">
        <v>1</v>
      </c>
      <c r="F67">
        <v>1</v>
      </c>
      <c r="G67">
        <v>25</v>
      </c>
      <c r="H67">
        <v>3</v>
      </c>
      <c r="I67" t="s">
        <v>237</v>
      </c>
      <c r="J67" t="s">
        <v>238</v>
      </c>
      <c r="K67" t="s">
        <v>239</v>
      </c>
      <c r="L67">
        <v>1339</v>
      </c>
      <c r="N67">
        <v>1007</v>
      </c>
      <c r="O67" t="s">
        <v>50</v>
      </c>
      <c r="P67" t="s">
        <v>50</v>
      </c>
      <c r="Q67">
        <v>1</v>
      </c>
      <c r="X67">
        <v>0.6</v>
      </c>
      <c r="Y67">
        <v>3141.36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0.6</v>
      </c>
      <c r="AH67">
        <v>2</v>
      </c>
      <c r="AI67">
        <v>53203289</v>
      </c>
      <c r="AJ67">
        <v>67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ROW(Source!A190)</f>
        <v>190</v>
      </c>
      <c r="B68">
        <v>53203304</v>
      </c>
      <c r="C68">
        <v>53203296</v>
      </c>
      <c r="D68">
        <v>48814733</v>
      </c>
      <c r="E68">
        <v>25</v>
      </c>
      <c r="F68">
        <v>1</v>
      </c>
      <c r="G68">
        <v>25</v>
      </c>
      <c r="H68">
        <v>1</v>
      </c>
      <c r="I68" t="s">
        <v>204</v>
      </c>
      <c r="J68" t="s">
        <v>3</v>
      </c>
      <c r="K68" t="s">
        <v>205</v>
      </c>
      <c r="L68">
        <v>1191</v>
      </c>
      <c r="N68">
        <v>1013</v>
      </c>
      <c r="O68" t="s">
        <v>206</v>
      </c>
      <c r="P68" t="s">
        <v>206</v>
      </c>
      <c r="Q68">
        <v>1</v>
      </c>
      <c r="X68">
        <v>68.08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 t="s">
        <v>3</v>
      </c>
      <c r="AG68">
        <v>68.08</v>
      </c>
      <c r="AH68">
        <v>2</v>
      </c>
      <c r="AI68">
        <v>53203297</v>
      </c>
      <c r="AJ68">
        <v>68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ROW(Source!A190)</f>
        <v>190</v>
      </c>
      <c r="B69">
        <v>53203305</v>
      </c>
      <c r="C69">
        <v>53203296</v>
      </c>
      <c r="D69">
        <v>48827141</v>
      </c>
      <c r="E69">
        <v>1</v>
      </c>
      <c r="F69">
        <v>1</v>
      </c>
      <c r="G69">
        <v>25</v>
      </c>
      <c r="H69">
        <v>2</v>
      </c>
      <c r="I69" t="s">
        <v>240</v>
      </c>
      <c r="J69" t="s">
        <v>241</v>
      </c>
      <c r="K69" t="s">
        <v>242</v>
      </c>
      <c r="L69">
        <v>1368</v>
      </c>
      <c r="N69">
        <v>1011</v>
      </c>
      <c r="O69" t="s">
        <v>210</v>
      </c>
      <c r="P69" t="s">
        <v>210</v>
      </c>
      <c r="Q69">
        <v>1</v>
      </c>
      <c r="X69">
        <v>2.19</v>
      </c>
      <c r="Y69">
        <v>0</v>
      </c>
      <c r="Z69">
        <v>1942.21</v>
      </c>
      <c r="AA69">
        <v>436.39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2.19</v>
      </c>
      <c r="AH69">
        <v>2</v>
      </c>
      <c r="AI69">
        <v>53203298</v>
      </c>
      <c r="AJ69">
        <v>69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ROW(Source!A190)</f>
        <v>190</v>
      </c>
      <c r="B70">
        <v>53203306</v>
      </c>
      <c r="C70">
        <v>53203296</v>
      </c>
      <c r="D70">
        <v>48829642</v>
      </c>
      <c r="E70">
        <v>1</v>
      </c>
      <c r="F70">
        <v>1</v>
      </c>
      <c r="G70">
        <v>25</v>
      </c>
      <c r="H70">
        <v>3</v>
      </c>
      <c r="I70" t="s">
        <v>243</v>
      </c>
      <c r="J70" t="s">
        <v>244</v>
      </c>
      <c r="K70" t="s">
        <v>245</v>
      </c>
      <c r="L70">
        <v>1327</v>
      </c>
      <c r="N70">
        <v>1005</v>
      </c>
      <c r="O70" t="s">
        <v>246</v>
      </c>
      <c r="P70" t="s">
        <v>246</v>
      </c>
      <c r="Q70">
        <v>1</v>
      </c>
      <c r="X70">
        <v>2</v>
      </c>
      <c r="Y70">
        <v>83.45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2</v>
      </c>
      <c r="AH70">
        <v>2</v>
      </c>
      <c r="AI70">
        <v>53203299</v>
      </c>
      <c r="AJ70">
        <v>70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ROW(Source!A190)</f>
        <v>190</v>
      </c>
      <c r="B71">
        <v>53203307</v>
      </c>
      <c r="C71">
        <v>53203296</v>
      </c>
      <c r="D71">
        <v>48829679</v>
      </c>
      <c r="E71">
        <v>1</v>
      </c>
      <c r="F71">
        <v>1</v>
      </c>
      <c r="G71">
        <v>25</v>
      </c>
      <c r="H71">
        <v>3</v>
      </c>
      <c r="I71" t="s">
        <v>247</v>
      </c>
      <c r="J71" t="s">
        <v>248</v>
      </c>
      <c r="K71" t="s">
        <v>249</v>
      </c>
      <c r="L71">
        <v>1346</v>
      </c>
      <c r="N71">
        <v>1009</v>
      </c>
      <c r="O71" t="s">
        <v>233</v>
      </c>
      <c r="P71" t="s">
        <v>233</v>
      </c>
      <c r="Q71">
        <v>1</v>
      </c>
      <c r="X71">
        <v>0.3</v>
      </c>
      <c r="Y71">
        <v>166.07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0.3</v>
      </c>
      <c r="AH71">
        <v>2</v>
      </c>
      <c r="AI71">
        <v>53203300</v>
      </c>
      <c r="AJ71">
        <v>71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ROW(Source!A190)</f>
        <v>190</v>
      </c>
      <c r="B72">
        <v>53203308</v>
      </c>
      <c r="C72">
        <v>53203296</v>
      </c>
      <c r="D72">
        <v>48829817</v>
      </c>
      <c r="E72">
        <v>1</v>
      </c>
      <c r="F72">
        <v>1</v>
      </c>
      <c r="G72">
        <v>25</v>
      </c>
      <c r="H72">
        <v>3</v>
      </c>
      <c r="I72" t="s">
        <v>250</v>
      </c>
      <c r="J72" t="s">
        <v>251</v>
      </c>
      <c r="K72" t="s">
        <v>252</v>
      </c>
      <c r="L72">
        <v>1339</v>
      </c>
      <c r="N72">
        <v>1007</v>
      </c>
      <c r="O72" t="s">
        <v>50</v>
      </c>
      <c r="P72" t="s">
        <v>50</v>
      </c>
      <c r="Q72">
        <v>1</v>
      </c>
      <c r="X72">
        <v>7</v>
      </c>
      <c r="Y72">
        <v>33.729999999999997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7</v>
      </c>
      <c r="AH72">
        <v>2</v>
      </c>
      <c r="AI72">
        <v>53203301</v>
      </c>
      <c r="AJ72">
        <v>72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ROW(Source!A190)</f>
        <v>190</v>
      </c>
      <c r="B73">
        <v>53203309</v>
      </c>
      <c r="C73">
        <v>53203296</v>
      </c>
      <c r="D73">
        <v>48831518</v>
      </c>
      <c r="E73">
        <v>1</v>
      </c>
      <c r="F73">
        <v>1</v>
      </c>
      <c r="G73">
        <v>25</v>
      </c>
      <c r="H73">
        <v>3</v>
      </c>
      <c r="I73" t="s">
        <v>253</v>
      </c>
      <c r="J73" t="s">
        <v>254</v>
      </c>
      <c r="K73" t="s">
        <v>255</v>
      </c>
      <c r="L73">
        <v>1339</v>
      </c>
      <c r="N73">
        <v>1007</v>
      </c>
      <c r="O73" t="s">
        <v>50</v>
      </c>
      <c r="P73" t="s">
        <v>50</v>
      </c>
      <c r="Q73">
        <v>1</v>
      </c>
      <c r="X73">
        <v>0.15840000000000001</v>
      </c>
      <c r="Y73">
        <v>3148.82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0.15840000000000001</v>
      </c>
      <c r="AH73">
        <v>2</v>
      </c>
      <c r="AI73">
        <v>53203302</v>
      </c>
      <c r="AJ73">
        <v>74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ROW(Source!A190)</f>
        <v>190</v>
      </c>
      <c r="B74">
        <v>53203310</v>
      </c>
      <c r="C74">
        <v>53203296</v>
      </c>
      <c r="D74">
        <v>48814816</v>
      </c>
      <c r="E74">
        <v>25</v>
      </c>
      <c r="F74">
        <v>1</v>
      </c>
      <c r="G74">
        <v>25</v>
      </c>
      <c r="H74">
        <v>3</v>
      </c>
      <c r="I74" t="s">
        <v>262</v>
      </c>
      <c r="J74" t="s">
        <v>3</v>
      </c>
      <c r="K74" t="s">
        <v>263</v>
      </c>
      <c r="L74">
        <v>1354</v>
      </c>
      <c r="N74">
        <v>1010</v>
      </c>
      <c r="O74" t="s">
        <v>70</v>
      </c>
      <c r="P74" t="s">
        <v>70</v>
      </c>
      <c r="Q74">
        <v>1</v>
      </c>
      <c r="X74">
        <v>10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3</v>
      </c>
      <c r="AG74">
        <v>10</v>
      </c>
      <c r="AH74">
        <v>3</v>
      </c>
      <c r="AI74">
        <v>-1</v>
      </c>
      <c r="AJ74" t="s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ROW(Source!A226)</f>
        <v>226</v>
      </c>
      <c r="B75">
        <v>53203319</v>
      </c>
      <c r="C75">
        <v>53203312</v>
      </c>
      <c r="D75">
        <v>48814733</v>
      </c>
      <c r="E75">
        <v>25</v>
      </c>
      <c r="F75">
        <v>1</v>
      </c>
      <c r="G75">
        <v>25</v>
      </c>
      <c r="H75">
        <v>1</v>
      </c>
      <c r="I75" t="s">
        <v>204</v>
      </c>
      <c r="J75" t="s">
        <v>3</v>
      </c>
      <c r="K75" t="s">
        <v>205</v>
      </c>
      <c r="L75">
        <v>1191</v>
      </c>
      <c r="N75">
        <v>1013</v>
      </c>
      <c r="O75" t="s">
        <v>206</v>
      </c>
      <c r="P75" t="s">
        <v>206</v>
      </c>
      <c r="Q75">
        <v>1</v>
      </c>
      <c r="X75">
        <v>231.15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 t="s">
        <v>3</v>
      </c>
      <c r="AG75">
        <v>231.15</v>
      </c>
      <c r="AH75">
        <v>2</v>
      </c>
      <c r="AI75">
        <v>53203313</v>
      </c>
      <c r="AJ75">
        <v>75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ROW(Source!A226)</f>
        <v>226</v>
      </c>
      <c r="B76">
        <v>53203320</v>
      </c>
      <c r="C76">
        <v>53203312</v>
      </c>
      <c r="D76">
        <v>48827823</v>
      </c>
      <c r="E76">
        <v>1</v>
      </c>
      <c r="F76">
        <v>1</v>
      </c>
      <c r="G76">
        <v>25</v>
      </c>
      <c r="H76">
        <v>2</v>
      </c>
      <c r="I76" t="s">
        <v>223</v>
      </c>
      <c r="J76" t="s">
        <v>224</v>
      </c>
      <c r="K76" t="s">
        <v>225</v>
      </c>
      <c r="L76">
        <v>1368</v>
      </c>
      <c r="N76">
        <v>1011</v>
      </c>
      <c r="O76" t="s">
        <v>210</v>
      </c>
      <c r="P76" t="s">
        <v>210</v>
      </c>
      <c r="Q76">
        <v>1</v>
      </c>
      <c r="X76">
        <v>1.2</v>
      </c>
      <c r="Y76">
        <v>0</v>
      </c>
      <c r="Z76">
        <v>285.44</v>
      </c>
      <c r="AA76">
        <v>0.28000000000000003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1.2</v>
      </c>
      <c r="AH76">
        <v>2</v>
      </c>
      <c r="AI76">
        <v>53203314</v>
      </c>
      <c r="AJ76">
        <v>76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ROW(Source!A226)</f>
        <v>226</v>
      </c>
      <c r="B77">
        <v>53203321</v>
      </c>
      <c r="C77">
        <v>53203312</v>
      </c>
      <c r="D77">
        <v>48828895</v>
      </c>
      <c r="E77">
        <v>1</v>
      </c>
      <c r="F77">
        <v>1</v>
      </c>
      <c r="G77">
        <v>25</v>
      </c>
      <c r="H77">
        <v>3</v>
      </c>
      <c r="I77" t="s">
        <v>226</v>
      </c>
      <c r="J77" t="s">
        <v>227</v>
      </c>
      <c r="K77" t="s">
        <v>228</v>
      </c>
      <c r="L77">
        <v>1348</v>
      </c>
      <c r="N77">
        <v>1009</v>
      </c>
      <c r="O77" t="s">
        <v>229</v>
      </c>
      <c r="P77" t="s">
        <v>229</v>
      </c>
      <c r="Q77">
        <v>1000</v>
      </c>
      <c r="X77">
        <v>0.06</v>
      </c>
      <c r="Y77">
        <v>52914.53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0.06</v>
      </c>
      <c r="AH77">
        <v>2</v>
      </c>
      <c r="AI77">
        <v>53203315</v>
      </c>
      <c r="AJ77">
        <v>77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ROW(Source!A226)</f>
        <v>226</v>
      </c>
      <c r="B78">
        <v>53203322</v>
      </c>
      <c r="C78">
        <v>53203312</v>
      </c>
      <c r="D78">
        <v>48829630</v>
      </c>
      <c r="E78">
        <v>1</v>
      </c>
      <c r="F78">
        <v>1</v>
      </c>
      <c r="G78">
        <v>25</v>
      </c>
      <c r="H78">
        <v>3</v>
      </c>
      <c r="I78" t="s">
        <v>230</v>
      </c>
      <c r="J78" t="s">
        <v>231</v>
      </c>
      <c r="K78" t="s">
        <v>232</v>
      </c>
      <c r="L78">
        <v>1346</v>
      </c>
      <c r="N78">
        <v>1009</v>
      </c>
      <c r="O78" t="s">
        <v>233</v>
      </c>
      <c r="P78" t="s">
        <v>233</v>
      </c>
      <c r="Q78">
        <v>1</v>
      </c>
      <c r="X78">
        <v>5</v>
      </c>
      <c r="Y78">
        <v>170.28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5</v>
      </c>
      <c r="AH78">
        <v>2</v>
      </c>
      <c r="AI78">
        <v>53203316</v>
      </c>
      <c r="AJ78">
        <v>78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ROW(Source!A226)</f>
        <v>226</v>
      </c>
      <c r="B79">
        <v>53203323</v>
      </c>
      <c r="C79">
        <v>53203312</v>
      </c>
      <c r="D79">
        <v>48828522</v>
      </c>
      <c r="E79">
        <v>1</v>
      </c>
      <c r="F79">
        <v>1</v>
      </c>
      <c r="G79">
        <v>25</v>
      </c>
      <c r="H79">
        <v>3</v>
      </c>
      <c r="I79" t="s">
        <v>234</v>
      </c>
      <c r="J79" t="s">
        <v>235</v>
      </c>
      <c r="K79" t="s">
        <v>236</v>
      </c>
      <c r="L79">
        <v>1339</v>
      </c>
      <c r="N79">
        <v>1007</v>
      </c>
      <c r="O79" t="s">
        <v>50</v>
      </c>
      <c r="P79" t="s">
        <v>50</v>
      </c>
      <c r="Q79">
        <v>1</v>
      </c>
      <c r="X79">
        <v>2</v>
      </c>
      <c r="Y79">
        <v>6697.08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2</v>
      </c>
      <c r="AH79">
        <v>2</v>
      </c>
      <c r="AI79">
        <v>53203317</v>
      </c>
      <c r="AJ79">
        <v>79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ROW(Source!A226)</f>
        <v>226</v>
      </c>
      <c r="B80">
        <v>53203324</v>
      </c>
      <c r="C80">
        <v>53203312</v>
      </c>
      <c r="D80">
        <v>48828555</v>
      </c>
      <c r="E80">
        <v>1</v>
      </c>
      <c r="F80">
        <v>1</v>
      </c>
      <c r="G80">
        <v>25</v>
      </c>
      <c r="H80">
        <v>3</v>
      </c>
      <c r="I80" t="s">
        <v>237</v>
      </c>
      <c r="J80" t="s">
        <v>238</v>
      </c>
      <c r="K80" t="s">
        <v>239</v>
      </c>
      <c r="L80">
        <v>1339</v>
      </c>
      <c r="N80">
        <v>1007</v>
      </c>
      <c r="O80" t="s">
        <v>50</v>
      </c>
      <c r="P80" t="s">
        <v>50</v>
      </c>
      <c r="Q80">
        <v>1</v>
      </c>
      <c r="X80">
        <v>0.6</v>
      </c>
      <c r="Y80">
        <v>3141.36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0.6</v>
      </c>
      <c r="AH80">
        <v>2</v>
      </c>
      <c r="AI80">
        <v>53203318</v>
      </c>
      <c r="AJ80">
        <v>80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ROW(Source!A227)</f>
        <v>227</v>
      </c>
      <c r="B81">
        <v>53203328</v>
      </c>
      <c r="C81">
        <v>53203325</v>
      </c>
      <c r="D81">
        <v>48814733</v>
      </c>
      <c r="E81">
        <v>25</v>
      </c>
      <c r="F81">
        <v>1</v>
      </c>
      <c r="G81">
        <v>25</v>
      </c>
      <c r="H81">
        <v>1</v>
      </c>
      <c r="I81" t="s">
        <v>204</v>
      </c>
      <c r="J81" t="s">
        <v>3</v>
      </c>
      <c r="K81" t="s">
        <v>205</v>
      </c>
      <c r="L81">
        <v>1191</v>
      </c>
      <c r="N81">
        <v>1013</v>
      </c>
      <c r="O81" t="s">
        <v>206</v>
      </c>
      <c r="P81" t="s">
        <v>206</v>
      </c>
      <c r="Q81">
        <v>1</v>
      </c>
      <c r="X81">
        <v>24.16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 t="s">
        <v>3</v>
      </c>
      <c r="AG81">
        <v>24.16</v>
      </c>
      <c r="AH81">
        <v>2</v>
      </c>
      <c r="AI81">
        <v>53203326</v>
      </c>
      <c r="AJ81">
        <v>81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ROW(Source!A227)</f>
        <v>227</v>
      </c>
      <c r="B82">
        <v>53203329</v>
      </c>
      <c r="C82">
        <v>53203325</v>
      </c>
      <c r="D82">
        <v>48826950</v>
      </c>
      <c r="E82">
        <v>1</v>
      </c>
      <c r="F82">
        <v>1</v>
      </c>
      <c r="G82">
        <v>25</v>
      </c>
      <c r="H82">
        <v>2</v>
      </c>
      <c r="I82" t="s">
        <v>207</v>
      </c>
      <c r="J82" t="s">
        <v>208</v>
      </c>
      <c r="K82" t="s">
        <v>209</v>
      </c>
      <c r="L82">
        <v>1368</v>
      </c>
      <c r="N82">
        <v>1011</v>
      </c>
      <c r="O82" t="s">
        <v>210</v>
      </c>
      <c r="P82" t="s">
        <v>210</v>
      </c>
      <c r="Q82">
        <v>1</v>
      </c>
      <c r="X82">
        <v>2.02</v>
      </c>
      <c r="Y82">
        <v>0</v>
      </c>
      <c r="Z82">
        <v>779.95</v>
      </c>
      <c r="AA82">
        <v>426.8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2.02</v>
      </c>
      <c r="AH82">
        <v>2</v>
      </c>
      <c r="AI82">
        <v>53203327</v>
      </c>
      <c r="AJ82">
        <v>82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ROW(Source!A228)</f>
        <v>228</v>
      </c>
      <c r="B83">
        <v>53203332</v>
      </c>
      <c r="C83">
        <v>53203330</v>
      </c>
      <c r="D83">
        <v>48814733</v>
      </c>
      <c r="E83">
        <v>25</v>
      </c>
      <c r="F83">
        <v>1</v>
      </c>
      <c r="G83">
        <v>25</v>
      </c>
      <c r="H83">
        <v>1</v>
      </c>
      <c r="I83" t="s">
        <v>204</v>
      </c>
      <c r="J83" t="s">
        <v>3</v>
      </c>
      <c r="K83" t="s">
        <v>205</v>
      </c>
      <c r="L83">
        <v>1191</v>
      </c>
      <c r="N83">
        <v>1013</v>
      </c>
      <c r="O83" t="s">
        <v>206</v>
      </c>
      <c r="P83" t="s">
        <v>206</v>
      </c>
      <c r="Q83">
        <v>1</v>
      </c>
      <c r="X83">
        <v>67.150000000000006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 t="s">
        <v>3</v>
      </c>
      <c r="AG83">
        <v>67.150000000000006</v>
      </c>
      <c r="AH83">
        <v>2</v>
      </c>
      <c r="AI83">
        <v>53203331</v>
      </c>
      <c r="AJ83">
        <v>83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ROW(Source!A229)</f>
        <v>229</v>
      </c>
      <c r="B84">
        <v>53203341</v>
      </c>
      <c r="C84">
        <v>53203333</v>
      </c>
      <c r="D84">
        <v>48814733</v>
      </c>
      <c r="E84">
        <v>25</v>
      </c>
      <c r="F84">
        <v>1</v>
      </c>
      <c r="G84">
        <v>25</v>
      </c>
      <c r="H84">
        <v>1</v>
      </c>
      <c r="I84" t="s">
        <v>204</v>
      </c>
      <c r="J84" t="s">
        <v>3</v>
      </c>
      <c r="K84" t="s">
        <v>205</v>
      </c>
      <c r="L84">
        <v>1191</v>
      </c>
      <c r="N84">
        <v>1013</v>
      </c>
      <c r="O84" t="s">
        <v>206</v>
      </c>
      <c r="P84" t="s">
        <v>206</v>
      </c>
      <c r="Q84">
        <v>1</v>
      </c>
      <c r="X84">
        <v>68.08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3</v>
      </c>
      <c r="AG84">
        <v>68.08</v>
      </c>
      <c r="AH84">
        <v>2</v>
      </c>
      <c r="AI84">
        <v>53203334</v>
      </c>
      <c r="AJ84">
        <v>84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ROW(Source!A229)</f>
        <v>229</v>
      </c>
      <c r="B85">
        <v>53203342</v>
      </c>
      <c r="C85">
        <v>53203333</v>
      </c>
      <c r="D85">
        <v>48827141</v>
      </c>
      <c r="E85">
        <v>1</v>
      </c>
      <c r="F85">
        <v>1</v>
      </c>
      <c r="G85">
        <v>25</v>
      </c>
      <c r="H85">
        <v>2</v>
      </c>
      <c r="I85" t="s">
        <v>240</v>
      </c>
      <c r="J85" t="s">
        <v>241</v>
      </c>
      <c r="K85" t="s">
        <v>242</v>
      </c>
      <c r="L85">
        <v>1368</v>
      </c>
      <c r="N85">
        <v>1011</v>
      </c>
      <c r="O85" t="s">
        <v>210</v>
      </c>
      <c r="P85" t="s">
        <v>210</v>
      </c>
      <c r="Q85">
        <v>1</v>
      </c>
      <c r="X85">
        <v>2.19</v>
      </c>
      <c r="Y85">
        <v>0</v>
      </c>
      <c r="Z85">
        <v>1942.21</v>
      </c>
      <c r="AA85">
        <v>436.39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2.19</v>
      </c>
      <c r="AH85">
        <v>2</v>
      </c>
      <c r="AI85">
        <v>53203335</v>
      </c>
      <c r="AJ85">
        <v>85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ROW(Source!A229)</f>
        <v>229</v>
      </c>
      <c r="B86">
        <v>53203343</v>
      </c>
      <c r="C86">
        <v>53203333</v>
      </c>
      <c r="D86">
        <v>48829642</v>
      </c>
      <c r="E86">
        <v>1</v>
      </c>
      <c r="F86">
        <v>1</v>
      </c>
      <c r="G86">
        <v>25</v>
      </c>
      <c r="H86">
        <v>3</v>
      </c>
      <c r="I86" t="s">
        <v>243</v>
      </c>
      <c r="J86" t="s">
        <v>244</v>
      </c>
      <c r="K86" t="s">
        <v>245</v>
      </c>
      <c r="L86">
        <v>1327</v>
      </c>
      <c r="N86">
        <v>1005</v>
      </c>
      <c r="O86" t="s">
        <v>246</v>
      </c>
      <c r="P86" t="s">
        <v>246</v>
      </c>
      <c r="Q86">
        <v>1</v>
      </c>
      <c r="X86">
        <v>2</v>
      </c>
      <c r="Y86">
        <v>83.45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2</v>
      </c>
      <c r="AH86">
        <v>2</v>
      </c>
      <c r="AI86">
        <v>53203336</v>
      </c>
      <c r="AJ86">
        <v>86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ROW(Source!A229)</f>
        <v>229</v>
      </c>
      <c r="B87">
        <v>53203344</v>
      </c>
      <c r="C87">
        <v>53203333</v>
      </c>
      <c r="D87">
        <v>48829679</v>
      </c>
      <c r="E87">
        <v>1</v>
      </c>
      <c r="F87">
        <v>1</v>
      </c>
      <c r="G87">
        <v>25</v>
      </c>
      <c r="H87">
        <v>3</v>
      </c>
      <c r="I87" t="s">
        <v>247</v>
      </c>
      <c r="J87" t="s">
        <v>248</v>
      </c>
      <c r="K87" t="s">
        <v>249</v>
      </c>
      <c r="L87">
        <v>1346</v>
      </c>
      <c r="N87">
        <v>1009</v>
      </c>
      <c r="O87" t="s">
        <v>233</v>
      </c>
      <c r="P87" t="s">
        <v>233</v>
      </c>
      <c r="Q87">
        <v>1</v>
      </c>
      <c r="X87">
        <v>0.3</v>
      </c>
      <c r="Y87">
        <v>166.07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0.3</v>
      </c>
      <c r="AH87">
        <v>2</v>
      </c>
      <c r="AI87">
        <v>53203337</v>
      </c>
      <c r="AJ87">
        <v>87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ROW(Source!A229)</f>
        <v>229</v>
      </c>
      <c r="B88">
        <v>53203345</v>
      </c>
      <c r="C88">
        <v>53203333</v>
      </c>
      <c r="D88">
        <v>48829817</v>
      </c>
      <c r="E88">
        <v>1</v>
      </c>
      <c r="F88">
        <v>1</v>
      </c>
      <c r="G88">
        <v>25</v>
      </c>
      <c r="H88">
        <v>3</v>
      </c>
      <c r="I88" t="s">
        <v>250</v>
      </c>
      <c r="J88" t="s">
        <v>251</v>
      </c>
      <c r="K88" t="s">
        <v>252</v>
      </c>
      <c r="L88">
        <v>1339</v>
      </c>
      <c r="N88">
        <v>1007</v>
      </c>
      <c r="O88" t="s">
        <v>50</v>
      </c>
      <c r="P88" t="s">
        <v>50</v>
      </c>
      <c r="Q88">
        <v>1</v>
      </c>
      <c r="X88">
        <v>7</v>
      </c>
      <c r="Y88">
        <v>33.729999999999997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7</v>
      </c>
      <c r="AH88">
        <v>2</v>
      </c>
      <c r="AI88">
        <v>53203338</v>
      </c>
      <c r="AJ88">
        <v>88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ROW(Source!A229)</f>
        <v>229</v>
      </c>
      <c r="B89">
        <v>53203346</v>
      </c>
      <c r="C89">
        <v>53203333</v>
      </c>
      <c r="D89">
        <v>48831518</v>
      </c>
      <c r="E89">
        <v>1</v>
      </c>
      <c r="F89">
        <v>1</v>
      </c>
      <c r="G89">
        <v>25</v>
      </c>
      <c r="H89">
        <v>3</v>
      </c>
      <c r="I89" t="s">
        <v>253</v>
      </c>
      <c r="J89" t="s">
        <v>254</v>
      </c>
      <c r="K89" t="s">
        <v>255</v>
      </c>
      <c r="L89">
        <v>1339</v>
      </c>
      <c r="N89">
        <v>1007</v>
      </c>
      <c r="O89" t="s">
        <v>50</v>
      </c>
      <c r="P89" t="s">
        <v>50</v>
      </c>
      <c r="Q89">
        <v>1</v>
      </c>
      <c r="X89">
        <v>0.15840000000000001</v>
      </c>
      <c r="Y89">
        <v>3148.82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0.15840000000000001</v>
      </c>
      <c r="AH89">
        <v>2</v>
      </c>
      <c r="AI89">
        <v>53203339</v>
      </c>
      <c r="AJ89">
        <v>90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ROW(Source!A229)</f>
        <v>229</v>
      </c>
      <c r="B90">
        <v>53203347</v>
      </c>
      <c r="C90">
        <v>53203333</v>
      </c>
      <c r="D90">
        <v>48814816</v>
      </c>
      <c r="E90">
        <v>25</v>
      </c>
      <c r="F90">
        <v>1</v>
      </c>
      <c r="G90">
        <v>25</v>
      </c>
      <c r="H90">
        <v>3</v>
      </c>
      <c r="I90" t="s">
        <v>262</v>
      </c>
      <c r="J90" t="s">
        <v>3</v>
      </c>
      <c r="K90" t="s">
        <v>263</v>
      </c>
      <c r="L90">
        <v>1354</v>
      </c>
      <c r="N90">
        <v>1010</v>
      </c>
      <c r="O90" t="s">
        <v>70</v>
      </c>
      <c r="P90" t="s">
        <v>70</v>
      </c>
      <c r="Q90">
        <v>1</v>
      </c>
      <c r="X90">
        <v>10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3</v>
      </c>
      <c r="AG90">
        <v>10</v>
      </c>
      <c r="AH90">
        <v>3</v>
      </c>
      <c r="AI90">
        <v>-1</v>
      </c>
      <c r="AJ90" t="s">
        <v>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ROW(Source!A265)</f>
        <v>265</v>
      </c>
      <c r="B91">
        <v>53203355</v>
      </c>
      <c r="C91">
        <v>53203349</v>
      </c>
      <c r="D91">
        <v>48814733</v>
      </c>
      <c r="E91">
        <v>25</v>
      </c>
      <c r="F91">
        <v>1</v>
      </c>
      <c r="G91">
        <v>25</v>
      </c>
      <c r="H91">
        <v>1</v>
      </c>
      <c r="I91" t="s">
        <v>204</v>
      </c>
      <c r="J91" t="s">
        <v>3</v>
      </c>
      <c r="K91" t="s">
        <v>205</v>
      </c>
      <c r="L91">
        <v>1191</v>
      </c>
      <c r="N91">
        <v>1013</v>
      </c>
      <c r="O91" t="s">
        <v>206</v>
      </c>
      <c r="P91" t="s">
        <v>206</v>
      </c>
      <c r="Q91">
        <v>1</v>
      </c>
      <c r="X91">
        <v>60.86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 t="s">
        <v>3</v>
      </c>
      <c r="AG91">
        <v>60.86</v>
      </c>
      <c r="AH91">
        <v>2</v>
      </c>
      <c r="AI91">
        <v>53203350</v>
      </c>
      <c r="AJ91">
        <v>91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ROW(Source!A265)</f>
        <v>265</v>
      </c>
      <c r="B92">
        <v>53203356</v>
      </c>
      <c r="C92">
        <v>53203349</v>
      </c>
      <c r="D92">
        <v>48827141</v>
      </c>
      <c r="E92">
        <v>1</v>
      </c>
      <c r="F92">
        <v>1</v>
      </c>
      <c r="G92">
        <v>25</v>
      </c>
      <c r="H92">
        <v>2</v>
      </c>
      <c r="I92" t="s">
        <v>240</v>
      </c>
      <c r="J92" t="s">
        <v>241</v>
      </c>
      <c r="K92" t="s">
        <v>242</v>
      </c>
      <c r="L92">
        <v>1368</v>
      </c>
      <c r="N92">
        <v>1011</v>
      </c>
      <c r="O92" t="s">
        <v>210</v>
      </c>
      <c r="P92" t="s">
        <v>210</v>
      </c>
      <c r="Q92">
        <v>1</v>
      </c>
      <c r="X92">
        <v>5.12</v>
      </c>
      <c r="Y92">
        <v>0</v>
      </c>
      <c r="Z92">
        <v>1942.21</v>
      </c>
      <c r="AA92">
        <v>436.39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5.12</v>
      </c>
      <c r="AH92">
        <v>2</v>
      </c>
      <c r="AI92">
        <v>53203351</v>
      </c>
      <c r="AJ92">
        <v>92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ROW(Source!A265)</f>
        <v>265</v>
      </c>
      <c r="B93">
        <v>53203357</v>
      </c>
      <c r="C93">
        <v>53203349</v>
      </c>
      <c r="D93">
        <v>48829642</v>
      </c>
      <c r="E93">
        <v>1</v>
      </c>
      <c r="F93">
        <v>1</v>
      </c>
      <c r="G93">
        <v>25</v>
      </c>
      <c r="H93">
        <v>3</v>
      </c>
      <c r="I93" t="s">
        <v>243</v>
      </c>
      <c r="J93" t="s">
        <v>244</v>
      </c>
      <c r="K93" t="s">
        <v>245</v>
      </c>
      <c r="L93">
        <v>1327</v>
      </c>
      <c r="N93">
        <v>1005</v>
      </c>
      <c r="O93" t="s">
        <v>246</v>
      </c>
      <c r="P93" t="s">
        <v>246</v>
      </c>
      <c r="Q93">
        <v>1</v>
      </c>
      <c r="X93">
        <v>2</v>
      </c>
      <c r="Y93">
        <v>83.45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2</v>
      </c>
      <c r="AH93">
        <v>2</v>
      </c>
      <c r="AI93">
        <v>53203352</v>
      </c>
      <c r="AJ93">
        <v>93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ROW(Source!A265)</f>
        <v>265</v>
      </c>
      <c r="B94">
        <v>53203358</v>
      </c>
      <c r="C94">
        <v>53203349</v>
      </c>
      <c r="D94">
        <v>48829679</v>
      </c>
      <c r="E94">
        <v>1</v>
      </c>
      <c r="F94">
        <v>1</v>
      </c>
      <c r="G94">
        <v>25</v>
      </c>
      <c r="H94">
        <v>3</v>
      </c>
      <c r="I94" t="s">
        <v>247</v>
      </c>
      <c r="J94" t="s">
        <v>248</v>
      </c>
      <c r="K94" t="s">
        <v>249</v>
      </c>
      <c r="L94">
        <v>1346</v>
      </c>
      <c r="N94">
        <v>1009</v>
      </c>
      <c r="O94" t="s">
        <v>233</v>
      </c>
      <c r="P94" t="s">
        <v>233</v>
      </c>
      <c r="Q94">
        <v>1</v>
      </c>
      <c r="X94">
        <v>7.0000000000000007E-2</v>
      </c>
      <c r="Y94">
        <v>166.07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7.0000000000000007E-2</v>
      </c>
      <c r="AH94">
        <v>2</v>
      </c>
      <c r="AI94">
        <v>53203353</v>
      </c>
      <c r="AJ94">
        <v>94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ROW(Source!A265)</f>
        <v>265</v>
      </c>
      <c r="B95">
        <v>53203359</v>
      </c>
      <c r="C95">
        <v>53203349</v>
      </c>
      <c r="D95">
        <v>48829817</v>
      </c>
      <c r="E95">
        <v>1</v>
      </c>
      <c r="F95">
        <v>1</v>
      </c>
      <c r="G95">
        <v>25</v>
      </c>
      <c r="H95">
        <v>3</v>
      </c>
      <c r="I95" t="s">
        <v>250</v>
      </c>
      <c r="J95" t="s">
        <v>251</v>
      </c>
      <c r="K95" t="s">
        <v>252</v>
      </c>
      <c r="L95">
        <v>1339</v>
      </c>
      <c r="N95">
        <v>1007</v>
      </c>
      <c r="O95" t="s">
        <v>50</v>
      </c>
      <c r="P95" t="s">
        <v>50</v>
      </c>
      <c r="Q95">
        <v>1</v>
      </c>
      <c r="X95">
        <v>15</v>
      </c>
      <c r="Y95">
        <v>33.729999999999997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15</v>
      </c>
      <c r="AH95">
        <v>2</v>
      </c>
      <c r="AI95">
        <v>53203354</v>
      </c>
      <c r="AJ95">
        <v>95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ROW(Source!A266)</f>
        <v>266</v>
      </c>
      <c r="B96">
        <v>53203364</v>
      </c>
      <c r="C96">
        <v>53203360</v>
      </c>
      <c r="D96">
        <v>48814733</v>
      </c>
      <c r="E96">
        <v>25</v>
      </c>
      <c r="F96">
        <v>1</v>
      </c>
      <c r="G96">
        <v>25</v>
      </c>
      <c r="H96">
        <v>1</v>
      </c>
      <c r="I96" t="s">
        <v>204</v>
      </c>
      <c r="J96" t="s">
        <v>3</v>
      </c>
      <c r="K96" t="s">
        <v>205</v>
      </c>
      <c r="L96">
        <v>1191</v>
      </c>
      <c r="N96">
        <v>1013</v>
      </c>
      <c r="O96" t="s">
        <v>206</v>
      </c>
      <c r="P96" t="s">
        <v>206</v>
      </c>
      <c r="Q96">
        <v>1</v>
      </c>
      <c r="X96">
        <v>18.89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 t="s">
        <v>3</v>
      </c>
      <c r="AG96">
        <v>18.89</v>
      </c>
      <c r="AH96">
        <v>2</v>
      </c>
      <c r="AI96">
        <v>53203361</v>
      </c>
      <c r="AJ96">
        <v>96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ROW(Source!A266)</f>
        <v>266</v>
      </c>
      <c r="B97">
        <v>53203365</v>
      </c>
      <c r="C97">
        <v>53203360</v>
      </c>
      <c r="D97">
        <v>48831476</v>
      </c>
      <c r="E97">
        <v>1</v>
      </c>
      <c r="F97">
        <v>1</v>
      </c>
      <c r="G97">
        <v>25</v>
      </c>
      <c r="H97">
        <v>3</v>
      </c>
      <c r="I97" t="s">
        <v>256</v>
      </c>
      <c r="J97" t="s">
        <v>257</v>
      </c>
      <c r="K97" t="s">
        <v>258</v>
      </c>
      <c r="L97">
        <v>1346</v>
      </c>
      <c r="N97">
        <v>1009</v>
      </c>
      <c r="O97" t="s">
        <v>233</v>
      </c>
      <c r="P97" t="s">
        <v>233</v>
      </c>
      <c r="Q97">
        <v>1</v>
      </c>
      <c r="X97">
        <v>0.7</v>
      </c>
      <c r="Y97">
        <v>32.549999999999997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0.7</v>
      </c>
      <c r="AH97">
        <v>2</v>
      </c>
      <c r="AI97">
        <v>53203362</v>
      </c>
      <c r="AJ97">
        <v>97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ROW(Source!A266)</f>
        <v>266</v>
      </c>
      <c r="B98">
        <v>53203366</v>
      </c>
      <c r="C98">
        <v>53203360</v>
      </c>
      <c r="D98">
        <v>48831482</v>
      </c>
      <c r="E98">
        <v>1</v>
      </c>
      <c r="F98">
        <v>1</v>
      </c>
      <c r="G98">
        <v>25</v>
      </c>
      <c r="H98">
        <v>3</v>
      </c>
      <c r="I98" t="s">
        <v>259</v>
      </c>
      <c r="J98" t="s">
        <v>260</v>
      </c>
      <c r="K98" t="s">
        <v>261</v>
      </c>
      <c r="L98">
        <v>1346</v>
      </c>
      <c r="N98">
        <v>1009</v>
      </c>
      <c r="O98" t="s">
        <v>233</v>
      </c>
      <c r="P98" t="s">
        <v>233</v>
      </c>
      <c r="Q98">
        <v>1</v>
      </c>
      <c r="X98">
        <v>350</v>
      </c>
      <c r="Y98">
        <v>12.26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350</v>
      </c>
      <c r="AH98">
        <v>2</v>
      </c>
      <c r="AI98">
        <v>53203363</v>
      </c>
      <c r="AJ98">
        <v>98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Смета СН-2012 по гл. 1-5</vt:lpstr>
      <vt:lpstr>RV_DATA</vt:lpstr>
      <vt:lpstr>Расчет стоимости ресурсов</vt:lpstr>
      <vt:lpstr>Дефектная ведомость</vt:lpstr>
      <vt:lpstr>Source</vt:lpstr>
      <vt:lpstr>SourceObSm</vt:lpstr>
      <vt:lpstr>SmtRes</vt:lpstr>
      <vt:lpstr>EtalonRes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2020-10-06T12:35:43Z</cp:lastPrinted>
  <dcterms:created xsi:type="dcterms:W3CDTF">2020-10-02T09:53:29Z</dcterms:created>
  <dcterms:modified xsi:type="dcterms:W3CDTF">2021-03-02T13:06:32Z</dcterms:modified>
</cp:coreProperties>
</file>