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175" windowHeight="1140"/>
  </bookViews>
  <sheets>
    <sheet name="Смета СН-2012 по гл. 1-5" sheetId="5" r:id="rId1"/>
    <sheet name="Акт КС-2 по ТСН-2001" sheetId="6" r:id="rId2"/>
    <sheet name="Дефектная ведомость" sheetId="7" r:id="rId3"/>
    <sheet name="Ведомость объемов работ" sheetId="8" r:id="rId4"/>
    <sheet name="RV_DATA" sheetId="10" state="hidden" r:id="rId5"/>
    <sheet name="Расчет стоимости ресурсов" sheetId="9" r:id="rId6"/>
    <sheet name="Локальная ресурсная ведомо" sheetId="11" r:id="rId7"/>
    <sheet name="Source" sheetId="1" r:id="rId8"/>
    <sheet name="SourceObSm" sheetId="2" r:id="rId9"/>
    <sheet name="SmtRes" sheetId="3" r:id="rId10"/>
    <sheet name="EtalonRes" sheetId="4" r:id="rId11"/>
  </sheets>
  <definedNames>
    <definedName name="_xlnm.Print_Titles" localSheetId="1">'Акт КС-2 по ТСН-2001'!$38:$38</definedName>
    <definedName name="_xlnm.Print_Titles" localSheetId="3">'Ведомость объемов работ'!$18:$18</definedName>
    <definedName name="_xlnm.Print_Titles" localSheetId="2">'Дефектная ведомость'!$18:$18</definedName>
    <definedName name="_xlnm.Print_Titles" localSheetId="6">'Локальная ресурсная ведомо'!$16:$16</definedName>
    <definedName name="_xlnm.Print_Titles" localSheetId="5">'Расчет стоимости ресурсов'!$4:$7</definedName>
    <definedName name="_xlnm.Print_Titles" localSheetId="0">'Смета СН-2012 по гл. 1-5'!$30:$30</definedName>
    <definedName name="_xlnm.Print_Area" localSheetId="1">'Акт КС-2 по ТСН-2001'!$A$1:$L$96</definedName>
    <definedName name="_xlnm.Print_Area" localSheetId="3">'Ведомость объемов работ'!$A$1:$E$32</definedName>
    <definedName name="_xlnm.Print_Area" localSheetId="2">'Дефектная ведомость'!$A$1:$E$32</definedName>
    <definedName name="_xlnm.Print_Area" localSheetId="6">'Локальная ресурсная ведомо'!$A$1:$G$51</definedName>
    <definedName name="_xlnm.Print_Area" localSheetId="5">'Расчет стоимости ресурсов'!$A$1:$F$33</definedName>
    <definedName name="_xlnm.Print_Area" localSheetId="0">'Смета СН-2012 по гл. 1-5'!$A$1:$K$84</definedName>
  </definedNames>
  <calcPr calcId="124519"/>
</workbook>
</file>

<file path=xl/calcChain.xml><?xml version="1.0" encoding="utf-8"?>
<calcChain xmlns="http://schemas.openxmlformats.org/spreadsheetml/2006/main">
  <c r="F49" i="11"/>
  <c r="F46"/>
  <c r="C49"/>
  <c r="C46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D39"/>
  <c r="C39"/>
  <c r="B39"/>
  <c r="A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C30"/>
  <c r="G29"/>
  <c r="D29"/>
  <c r="C29"/>
  <c r="B29"/>
  <c r="A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D17"/>
  <c r="C17"/>
  <c r="B17"/>
  <c r="A17"/>
  <c r="C11"/>
  <c r="A8"/>
  <c r="A6"/>
  <c r="A3"/>
  <c r="A1"/>
  <c r="E30" i="9"/>
  <c r="E28"/>
  <c r="F18"/>
  <c r="E27"/>
  <c r="D27"/>
  <c r="E21"/>
  <c r="E24"/>
  <c r="E13"/>
  <c r="D13"/>
  <c r="D10"/>
  <c r="E11"/>
  <c r="A8"/>
  <c r="A3"/>
  <c r="U26" i="10"/>
  <c r="T26"/>
  <c r="R26"/>
  <c r="Q26"/>
  <c r="S26"/>
  <c r="P26"/>
  <c r="M26"/>
  <c r="F12" i="9" s="1"/>
  <c r="L26" i="10"/>
  <c r="O26" s="1"/>
  <c r="N26"/>
  <c r="K26"/>
  <c r="E12" i="9" s="1"/>
  <c r="J26" i="10"/>
  <c r="I26"/>
  <c r="D12" i="9" s="1"/>
  <c r="H26" i="10"/>
  <c r="G26"/>
  <c r="F26"/>
  <c r="E26"/>
  <c r="A26"/>
  <c r="U25"/>
  <c r="Q25"/>
  <c r="R25" s="1"/>
  <c r="S25"/>
  <c r="P25"/>
  <c r="O25"/>
  <c r="M25"/>
  <c r="F13" i="9" s="1"/>
  <c r="L25" i="10"/>
  <c r="N25"/>
  <c r="K25"/>
  <c r="J25"/>
  <c r="I25"/>
  <c r="H25"/>
  <c r="G25"/>
  <c r="F25"/>
  <c r="E25"/>
  <c r="A25"/>
  <c r="U24"/>
  <c r="Q24"/>
  <c r="R24" s="1"/>
  <c r="S24"/>
  <c r="P24"/>
  <c r="O24"/>
  <c r="L24"/>
  <c r="M24" s="1"/>
  <c r="F22" i="9" s="1"/>
  <c r="N24" i="10"/>
  <c r="K24"/>
  <c r="E22" i="9" s="1"/>
  <c r="J24" i="10"/>
  <c r="I24"/>
  <c r="D22" i="9" s="1"/>
  <c r="H24" i="10"/>
  <c r="G24"/>
  <c r="F24"/>
  <c r="E24"/>
  <c r="A24"/>
  <c r="U23"/>
  <c r="S23"/>
  <c r="R23"/>
  <c r="P23"/>
  <c r="N23"/>
  <c r="O23" s="1"/>
  <c r="K23"/>
  <c r="E31" i="9" s="1"/>
  <c r="I23" i="10"/>
  <c r="D31" i="9" s="1"/>
  <c r="H23" i="10"/>
  <c r="G23"/>
  <c r="F23"/>
  <c r="E23"/>
  <c r="D23"/>
  <c r="A23"/>
  <c r="U22"/>
  <c r="S22"/>
  <c r="R22"/>
  <c r="P22"/>
  <c r="N22"/>
  <c r="O22" s="1"/>
  <c r="K22"/>
  <c r="M22" s="1"/>
  <c r="F30" i="9" s="1"/>
  <c r="I22" i="10"/>
  <c r="D30" i="9" s="1"/>
  <c r="H22" i="10"/>
  <c r="G22"/>
  <c r="F22"/>
  <c r="E22"/>
  <c r="D22"/>
  <c r="A22"/>
  <c r="U21"/>
  <c r="S21"/>
  <c r="R21"/>
  <c r="P21"/>
  <c r="N21"/>
  <c r="O21" s="1"/>
  <c r="K21"/>
  <c r="M21" s="1"/>
  <c r="F29" i="9" s="1"/>
  <c r="I21" i="10"/>
  <c r="D29" i="9" s="1"/>
  <c r="H21" i="10"/>
  <c r="G21"/>
  <c r="F21"/>
  <c r="E21"/>
  <c r="D21"/>
  <c r="A21"/>
  <c r="U20"/>
  <c r="S20"/>
  <c r="R20"/>
  <c r="P20"/>
  <c r="N20"/>
  <c r="O20" s="1"/>
  <c r="K20"/>
  <c r="M20" s="1"/>
  <c r="F28" i="9" s="1"/>
  <c r="I20" i="10"/>
  <c r="D28" i="9" s="1"/>
  <c r="H20" i="10"/>
  <c r="G20"/>
  <c r="F20"/>
  <c r="E20"/>
  <c r="D20"/>
  <c r="A20"/>
  <c r="U19"/>
  <c r="Q19"/>
  <c r="R19" s="1"/>
  <c r="S19"/>
  <c r="P19"/>
  <c r="L19"/>
  <c r="M19" s="1"/>
  <c r="F15" i="9" s="1"/>
  <c r="N19" i="10"/>
  <c r="K19"/>
  <c r="E15" i="9" s="1"/>
  <c r="J19" i="10"/>
  <c r="I19"/>
  <c r="D15" i="9" s="1"/>
  <c r="H19" i="10"/>
  <c r="G19"/>
  <c r="F19"/>
  <c r="E19"/>
  <c r="A19"/>
  <c r="U18"/>
  <c r="T18"/>
  <c r="R18"/>
  <c r="Q18"/>
  <c r="S18"/>
  <c r="P18"/>
  <c r="M18"/>
  <c r="L18"/>
  <c r="O18" s="1"/>
  <c r="N18"/>
  <c r="K18"/>
  <c r="E18" i="9" s="1"/>
  <c r="J18" i="10"/>
  <c r="I18"/>
  <c r="D18" i="9" s="1"/>
  <c r="H18" i="10"/>
  <c r="G18"/>
  <c r="F18"/>
  <c r="E18"/>
  <c r="A18"/>
  <c r="U17"/>
  <c r="R17"/>
  <c r="Q17"/>
  <c r="T17" s="1"/>
  <c r="S17"/>
  <c r="P17"/>
  <c r="O17"/>
  <c r="M17"/>
  <c r="F26" i="9" s="1"/>
  <c r="L17" i="10"/>
  <c r="N17"/>
  <c r="K17"/>
  <c r="E26" i="9" s="1"/>
  <c r="J17" i="10"/>
  <c r="I17"/>
  <c r="D26" i="9" s="1"/>
  <c r="H17" i="10"/>
  <c r="G17"/>
  <c r="F17"/>
  <c r="E17"/>
  <c r="A17"/>
  <c r="U16"/>
  <c r="S16"/>
  <c r="T16" s="1"/>
  <c r="R16"/>
  <c r="P16"/>
  <c r="O16"/>
  <c r="N16"/>
  <c r="K16"/>
  <c r="M16" s="1"/>
  <c r="F27" i="9" s="1"/>
  <c r="I16" i="10"/>
  <c r="H16"/>
  <c r="G16"/>
  <c r="F16"/>
  <c r="E16"/>
  <c r="D16"/>
  <c r="A16"/>
  <c r="U15"/>
  <c r="Q15"/>
  <c r="R15" s="1"/>
  <c r="S15"/>
  <c r="P15"/>
  <c r="O15"/>
  <c r="L15"/>
  <c r="M15" s="1"/>
  <c r="F10" i="9" s="1"/>
  <c r="N15" i="10"/>
  <c r="K15"/>
  <c r="E10" i="9" s="1"/>
  <c r="J15" i="10"/>
  <c r="I15"/>
  <c r="H15"/>
  <c r="G15"/>
  <c r="F15"/>
  <c r="E15"/>
  <c r="A15"/>
  <c r="U14"/>
  <c r="Q14"/>
  <c r="R14" s="1"/>
  <c r="S14"/>
  <c r="P14"/>
  <c r="L14"/>
  <c r="M14" s="1"/>
  <c r="F11" i="9" s="1"/>
  <c r="N14" i="10"/>
  <c r="K14"/>
  <c r="J14"/>
  <c r="I14"/>
  <c r="D11" i="9" s="1"/>
  <c r="H14" i="10"/>
  <c r="G14"/>
  <c r="F14"/>
  <c r="E14"/>
  <c r="A14"/>
  <c r="U13"/>
  <c r="T13"/>
  <c r="R13"/>
  <c r="Q13"/>
  <c r="S13"/>
  <c r="P13"/>
  <c r="M13"/>
  <c r="F14" i="9" s="1"/>
  <c r="L13" i="10"/>
  <c r="O13" s="1"/>
  <c r="N13"/>
  <c r="K13"/>
  <c r="E14" i="9" s="1"/>
  <c r="J13" i="10"/>
  <c r="I13"/>
  <c r="D14" i="9" s="1"/>
  <c r="H13" i="10"/>
  <c r="G13"/>
  <c r="F13"/>
  <c r="E13"/>
  <c r="A13"/>
  <c r="U12"/>
  <c r="T12"/>
  <c r="R12"/>
  <c r="Q12"/>
  <c r="S12"/>
  <c r="P12"/>
  <c r="O12"/>
  <c r="M12"/>
  <c r="F19" i="9" s="1"/>
  <c r="L12" i="10"/>
  <c r="N12"/>
  <c r="K12"/>
  <c r="E19" i="9" s="1"/>
  <c r="J12" i="10"/>
  <c r="I12"/>
  <c r="D19" i="9" s="1"/>
  <c r="H12" i="10"/>
  <c r="G12"/>
  <c r="F12"/>
  <c r="E12"/>
  <c r="A12"/>
  <c r="U11"/>
  <c r="Q11"/>
  <c r="R11" s="1"/>
  <c r="S11"/>
  <c r="P11"/>
  <c r="O11"/>
  <c r="L11"/>
  <c r="M11" s="1"/>
  <c r="F20" i="9" s="1"/>
  <c r="N11" i="10"/>
  <c r="K11"/>
  <c r="E20" i="9" s="1"/>
  <c r="J11" i="10"/>
  <c r="I11"/>
  <c r="D20" i="9" s="1"/>
  <c r="H11" i="10"/>
  <c r="G11"/>
  <c r="F11"/>
  <c r="E11"/>
  <c r="A11"/>
  <c r="U10"/>
  <c r="Q10"/>
  <c r="R10" s="1"/>
  <c r="S10"/>
  <c r="P10"/>
  <c r="L10"/>
  <c r="M10" s="1"/>
  <c r="F21" i="9" s="1"/>
  <c r="N10" i="10"/>
  <c r="K10"/>
  <c r="J10"/>
  <c r="I10"/>
  <c r="D21" i="9" s="1"/>
  <c r="H10" i="10"/>
  <c r="G10"/>
  <c r="F10"/>
  <c r="E10"/>
  <c r="A10"/>
  <c r="U9"/>
  <c r="T9"/>
  <c r="R9"/>
  <c r="Q9"/>
  <c r="S9"/>
  <c r="P9"/>
  <c r="M9"/>
  <c r="F23" i="9" s="1"/>
  <c r="L9" i="10"/>
  <c r="O9" s="1"/>
  <c r="N9"/>
  <c r="K9"/>
  <c r="E23" i="9" s="1"/>
  <c r="J9" i="10"/>
  <c r="I9"/>
  <c r="D23" i="9" s="1"/>
  <c r="H9" i="10"/>
  <c r="G9"/>
  <c r="F9"/>
  <c r="E9"/>
  <c r="A9"/>
  <c r="U8"/>
  <c r="T8"/>
  <c r="R8"/>
  <c r="Q8"/>
  <c r="S8"/>
  <c r="P8"/>
  <c r="O8"/>
  <c r="M8"/>
  <c r="F24" i="9" s="1"/>
  <c r="L8" i="10"/>
  <c r="N8"/>
  <c r="K8"/>
  <c r="J8"/>
  <c r="I8"/>
  <c r="D24" i="9" s="1"/>
  <c r="H8" i="10"/>
  <c r="G8"/>
  <c r="F8"/>
  <c r="E8"/>
  <c r="A8"/>
  <c r="U7"/>
  <c r="Q7"/>
  <c r="R7" s="1"/>
  <c r="S7"/>
  <c r="P7"/>
  <c r="O7"/>
  <c r="L7"/>
  <c r="M7" s="1"/>
  <c r="F25" i="9" s="1"/>
  <c r="N7" i="10"/>
  <c r="K7"/>
  <c r="E25" i="9" s="1"/>
  <c r="J7" i="10"/>
  <c r="I7"/>
  <c r="D25" i="9" s="1"/>
  <c r="H7" i="10"/>
  <c r="G7"/>
  <c r="F7"/>
  <c r="E7"/>
  <c r="A7"/>
  <c r="G6"/>
  <c r="A6"/>
  <c r="D27" i="8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A19"/>
  <c r="A12"/>
  <c r="A11"/>
  <c r="A1"/>
  <c r="D27" i="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A19"/>
  <c r="A12"/>
  <c r="A11"/>
  <c r="A1"/>
  <c r="I93" i="6"/>
  <c r="I90"/>
  <c r="D93"/>
  <c r="D90"/>
  <c r="D87"/>
  <c r="D86"/>
  <c r="D85"/>
  <c r="J84"/>
  <c r="K84"/>
  <c r="J83"/>
  <c r="K83"/>
  <c r="AL82"/>
  <c r="A82"/>
  <c r="J80"/>
  <c r="K80"/>
  <c r="J79"/>
  <c r="K79"/>
  <c r="A78"/>
  <c r="Z76"/>
  <c r="Y76"/>
  <c r="X76"/>
  <c r="J75"/>
  <c r="I75"/>
  <c r="H75"/>
  <c r="F75"/>
  <c r="L74"/>
  <c r="K74"/>
  <c r="J74"/>
  <c r="F74"/>
  <c r="L73"/>
  <c r="K73"/>
  <c r="F73"/>
  <c r="K72"/>
  <c r="J72"/>
  <c r="F72"/>
  <c r="L71"/>
  <c r="K76" s="1"/>
  <c r="K71"/>
  <c r="J71"/>
  <c r="I71"/>
  <c r="H71"/>
  <c r="G71"/>
  <c r="L70"/>
  <c r="K70"/>
  <c r="W70"/>
  <c r="J70"/>
  <c r="I70"/>
  <c r="H70"/>
  <c r="G70"/>
  <c r="L69"/>
  <c r="K69"/>
  <c r="J69"/>
  <c r="I69"/>
  <c r="H69"/>
  <c r="G69"/>
  <c r="L68"/>
  <c r="K68"/>
  <c r="J68"/>
  <c r="I68"/>
  <c r="H68"/>
  <c r="G68"/>
  <c r="V67"/>
  <c r="T67"/>
  <c r="R67"/>
  <c r="L72" s="1"/>
  <c r="U67"/>
  <c r="S67"/>
  <c r="J73" s="1"/>
  <c r="AA76" s="1"/>
  <c r="Q67"/>
  <c r="F67"/>
  <c r="E67"/>
  <c r="C67"/>
  <c r="B67"/>
  <c r="Z66"/>
  <c r="Y66"/>
  <c r="X66"/>
  <c r="J65"/>
  <c r="I65"/>
  <c r="H65"/>
  <c r="F65"/>
  <c r="K64"/>
  <c r="F64"/>
  <c r="K63"/>
  <c r="F63"/>
  <c r="K62"/>
  <c r="F62"/>
  <c r="L61"/>
  <c r="K61"/>
  <c r="I61"/>
  <c r="AA61"/>
  <c r="Z61"/>
  <c r="Y61"/>
  <c r="X61"/>
  <c r="J61"/>
  <c r="G61"/>
  <c r="V61"/>
  <c r="T61"/>
  <c r="R61"/>
  <c r="U61"/>
  <c r="S61"/>
  <c r="Q61"/>
  <c r="F61"/>
  <c r="E61"/>
  <c r="C61"/>
  <c r="B61"/>
  <c r="L60"/>
  <c r="K60"/>
  <c r="I60"/>
  <c r="Z60"/>
  <c r="Y60"/>
  <c r="X60"/>
  <c r="J60"/>
  <c r="AA60" s="1"/>
  <c r="G60"/>
  <c r="V60"/>
  <c r="L64" s="1"/>
  <c r="T60"/>
  <c r="R60"/>
  <c r="U60"/>
  <c r="S60"/>
  <c r="Q60"/>
  <c r="F60"/>
  <c r="E60"/>
  <c r="C60"/>
  <c r="B60"/>
  <c r="L59"/>
  <c r="K59"/>
  <c r="I59"/>
  <c r="AA59"/>
  <c r="Z59"/>
  <c r="Y59"/>
  <c r="X59"/>
  <c r="J59"/>
  <c r="G59"/>
  <c r="V59"/>
  <c r="T59"/>
  <c r="R59"/>
  <c r="U59"/>
  <c r="S59"/>
  <c r="Q59"/>
  <c r="F59"/>
  <c r="E59"/>
  <c r="C59"/>
  <c r="B59"/>
  <c r="L58"/>
  <c r="K58"/>
  <c r="I58"/>
  <c r="AA58"/>
  <c r="Z58"/>
  <c r="Y58"/>
  <c r="X58"/>
  <c r="J58"/>
  <c r="G58"/>
  <c r="V58"/>
  <c r="T58"/>
  <c r="R58"/>
  <c r="L62" s="1"/>
  <c r="U58"/>
  <c r="S58"/>
  <c r="Q58"/>
  <c r="F58"/>
  <c r="E58"/>
  <c r="C58"/>
  <c r="B58"/>
  <c r="L57"/>
  <c r="K57"/>
  <c r="J57"/>
  <c r="I57"/>
  <c r="H57"/>
  <c r="G57"/>
  <c r="L56"/>
  <c r="K56"/>
  <c r="W56"/>
  <c r="J56"/>
  <c r="I56"/>
  <c r="H56"/>
  <c r="G56"/>
  <c r="L55"/>
  <c r="K55"/>
  <c r="J55"/>
  <c r="I55"/>
  <c r="H55"/>
  <c r="G55"/>
  <c r="L54"/>
  <c r="K54"/>
  <c r="J54"/>
  <c r="W54" s="1"/>
  <c r="I54"/>
  <c r="H54"/>
  <c r="G54"/>
  <c r="D53"/>
  <c r="V52"/>
  <c r="T52"/>
  <c r="L63" s="1"/>
  <c r="R52"/>
  <c r="U52"/>
  <c r="J64" s="1"/>
  <c r="S52"/>
  <c r="J63" s="1"/>
  <c r="Q52"/>
  <c r="J62" s="1"/>
  <c r="F52"/>
  <c r="E52"/>
  <c r="C52"/>
  <c r="B52"/>
  <c r="Z51"/>
  <c r="Y51"/>
  <c r="X51"/>
  <c r="J50"/>
  <c r="I50"/>
  <c r="H50"/>
  <c r="F50"/>
  <c r="K49"/>
  <c r="F49"/>
  <c r="K48"/>
  <c r="F48"/>
  <c r="K47"/>
  <c r="F47"/>
  <c r="L46"/>
  <c r="K46"/>
  <c r="I46"/>
  <c r="AA46"/>
  <c r="Z46"/>
  <c r="Y46"/>
  <c r="J46"/>
  <c r="X46" s="1"/>
  <c r="G46"/>
  <c r="V46"/>
  <c r="L49" s="1"/>
  <c r="T46"/>
  <c r="L48" s="1"/>
  <c r="R46"/>
  <c r="U46"/>
  <c r="S46"/>
  <c r="Q46"/>
  <c r="F46"/>
  <c r="E46"/>
  <c r="C46"/>
  <c r="B46"/>
  <c r="L45"/>
  <c r="K45"/>
  <c r="J45"/>
  <c r="I45"/>
  <c r="H45"/>
  <c r="G45"/>
  <c r="L44"/>
  <c r="K44"/>
  <c r="W44"/>
  <c r="J44"/>
  <c r="I44"/>
  <c r="H44"/>
  <c r="G44"/>
  <c r="L43"/>
  <c r="K43"/>
  <c r="J43"/>
  <c r="I43"/>
  <c r="H43"/>
  <c r="G43"/>
  <c r="L42"/>
  <c r="K42"/>
  <c r="J42"/>
  <c r="I42"/>
  <c r="H42"/>
  <c r="G42"/>
  <c r="V41"/>
  <c r="T41"/>
  <c r="R41"/>
  <c r="L47" s="1"/>
  <c r="U41"/>
  <c r="J49" s="1"/>
  <c r="S41"/>
  <c r="J48" s="1"/>
  <c r="Q41"/>
  <c r="J47" s="1"/>
  <c r="F41"/>
  <c r="E41"/>
  <c r="C41"/>
  <c r="B41"/>
  <c r="A40"/>
  <c r="J26"/>
  <c r="I26"/>
  <c r="H26"/>
  <c r="G26"/>
  <c r="J22"/>
  <c r="J21"/>
  <c r="J20"/>
  <c r="J19"/>
  <c r="J16"/>
  <c r="AJ17"/>
  <c r="C17"/>
  <c r="J14"/>
  <c r="J12"/>
  <c r="C13"/>
  <c r="J10"/>
  <c r="AJ11"/>
  <c r="C11"/>
  <c r="J8"/>
  <c r="C9"/>
  <c r="A1"/>
  <c r="H82" i="5"/>
  <c r="H79"/>
  <c r="C82"/>
  <c r="C79"/>
  <c r="C76"/>
  <c r="C75"/>
  <c r="C74"/>
  <c r="AF73"/>
  <c r="A73"/>
  <c r="A70"/>
  <c r="K67"/>
  <c r="H67"/>
  <c r="G67"/>
  <c r="E67"/>
  <c r="E66"/>
  <c r="J65"/>
  <c r="E65"/>
  <c r="E64"/>
  <c r="J63"/>
  <c r="I63"/>
  <c r="H63"/>
  <c r="G63"/>
  <c r="F63"/>
  <c r="J62"/>
  <c r="I62"/>
  <c r="H62"/>
  <c r="G62"/>
  <c r="F62"/>
  <c r="J61"/>
  <c r="I61"/>
  <c r="H61"/>
  <c r="G61"/>
  <c r="F61"/>
  <c r="J60"/>
  <c r="I60"/>
  <c r="H60"/>
  <c r="G60"/>
  <c r="F60"/>
  <c r="V59"/>
  <c r="J66" s="1"/>
  <c r="T59"/>
  <c r="R59"/>
  <c r="J64" s="1"/>
  <c r="U59"/>
  <c r="S59"/>
  <c r="Q59"/>
  <c r="E59"/>
  <c r="D59"/>
  <c r="C59"/>
  <c r="B59"/>
  <c r="A59"/>
  <c r="K57"/>
  <c r="H57"/>
  <c r="G57"/>
  <c r="E57"/>
  <c r="E56"/>
  <c r="E55"/>
  <c r="E54"/>
  <c r="J53"/>
  <c r="I53"/>
  <c r="H53"/>
  <c r="F53"/>
  <c r="V53"/>
  <c r="T53"/>
  <c r="R53"/>
  <c r="U53"/>
  <c r="S53"/>
  <c r="Q53"/>
  <c r="E53"/>
  <c r="D53"/>
  <c r="B53"/>
  <c r="A53"/>
  <c r="J52"/>
  <c r="I52"/>
  <c r="H52"/>
  <c r="F52"/>
  <c r="V52"/>
  <c r="T52"/>
  <c r="R52"/>
  <c r="U52"/>
  <c r="S52"/>
  <c r="Q52"/>
  <c r="E52"/>
  <c r="D52"/>
  <c r="B52"/>
  <c r="A52"/>
  <c r="J51"/>
  <c r="I51"/>
  <c r="H51"/>
  <c r="F51"/>
  <c r="V51"/>
  <c r="T51"/>
  <c r="R51"/>
  <c r="U51"/>
  <c r="S51"/>
  <c r="Q51"/>
  <c r="E51"/>
  <c r="D51"/>
  <c r="B51"/>
  <c r="A51"/>
  <c r="J50"/>
  <c r="I50"/>
  <c r="H50"/>
  <c r="F50"/>
  <c r="V50"/>
  <c r="T50"/>
  <c r="R50"/>
  <c r="J54" s="1"/>
  <c r="U50"/>
  <c r="S50"/>
  <c r="Q50"/>
  <c r="E50"/>
  <c r="D50"/>
  <c r="B50"/>
  <c r="A50"/>
  <c r="J49"/>
  <c r="I49"/>
  <c r="H49"/>
  <c r="G49"/>
  <c r="F49"/>
  <c r="J48"/>
  <c r="I48"/>
  <c r="H48"/>
  <c r="G48"/>
  <c r="F48"/>
  <c r="J47"/>
  <c r="I47"/>
  <c r="H47"/>
  <c r="G47"/>
  <c r="F47"/>
  <c r="J46"/>
  <c r="I46"/>
  <c r="H46"/>
  <c r="G46"/>
  <c r="F46"/>
  <c r="C45"/>
  <c r="V44"/>
  <c r="J56" s="1"/>
  <c r="T44"/>
  <c r="J55" s="1"/>
  <c r="R44"/>
  <c r="U44"/>
  <c r="S44"/>
  <c r="Q44"/>
  <c r="E44"/>
  <c r="D44"/>
  <c r="C44"/>
  <c r="B44"/>
  <c r="A44"/>
  <c r="K42"/>
  <c r="H42"/>
  <c r="G42"/>
  <c r="E42"/>
  <c r="E41"/>
  <c r="E40"/>
  <c r="E39"/>
  <c r="J38"/>
  <c r="I38"/>
  <c r="H38"/>
  <c r="F38"/>
  <c r="V38"/>
  <c r="T38"/>
  <c r="R38"/>
  <c r="U38"/>
  <c r="S38"/>
  <c r="Q38"/>
  <c r="E38"/>
  <c r="D38"/>
  <c r="B38"/>
  <c r="A38"/>
  <c r="J37"/>
  <c r="I37"/>
  <c r="H37"/>
  <c r="G37"/>
  <c r="F37"/>
  <c r="J36"/>
  <c r="I36"/>
  <c r="H36"/>
  <c r="G36"/>
  <c r="F36"/>
  <c r="J35"/>
  <c r="I35"/>
  <c r="H35"/>
  <c r="G35"/>
  <c r="F35"/>
  <c r="J34"/>
  <c r="I34"/>
  <c r="H34"/>
  <c r="G34"/>
  <c r="F34"/>
  <c r="V33"/>
  <c r="J41" s="1"/>
  <c r="T33"/>
  <c r="J40" s="1"/>
  <c r="R33"/>
  <c r="J39" s="1"/>
  <c r="U33"/>
  <c r="S33"/>
  <c r="Q33"/>
  <c r="E33"/>
  <c r="D33"/>
  <c r="C33"/>
  <c r="B33"/>
  <c r="A33"/>
  <c r="A32"/>
  <c r="A18"/>
  <c r="A15"/>
  <c r="A10"/>
  <c r="G6"/>
  <c r="B6"/>
  <c r="A1"/>
  <c r="A1" i="4"/>
  <c r="A2"/>
  <c r="A3"/>
  <c r="A4"/>
  <c r="A5"/>
  <c r="A6"/>
  <c r="A7"/>
  <c r="A8"/>
  <c r="A9"/>
  <c r="A10"/>
  <c r="A11"/>
  <c r="A12"/>
  <c r="A13"/>
  <c r="A14"/>
  <c r="A15"/>
  <c r="A16"/>
  <c r="A17"/>
  <c r="A18"/>
  <c r="A19"/>
  <c r="A1" i="3"/>
  <c r="CX1"/>
  <c r="CY1"/>
  <c r="CZ1"/>
  <c r="DA1"/>
  <c r="DB1"/>
  <c r="DC1"/>
  <c r="A2"/>
  <c r="CX2"/>
  <c r="CY2"/>
  <c r="CZ2"/>
  <c r="DA2"/>
  <c r="DB2"/>
  <c r="DC2"/>
  <c r="A3"/>
  <c r="CX3"/>
  <c r="CY3"/>
  <c r="CZ3"/>
  <c r="DA3"/>
  <c r="DB3"/>
  <c r="DC3"/>
  <c r="A4"/>
  <c r="CX4"/>
  <c r="CY4"/>
  <c r="CZ4"/>
  <c r="DA4"/>
  <c r="DB4"/>
  <c r="DC4"/>
  <c r="A5"/>
  <c r="CX5"/>
  <c r="CY5"/>
  <c r="CZ5"/>
  <c r="DB5" s="1"/>
  <c r="DA5"/>
  <c r="DC5"/>
  <c r="A6"/>
  <c r="CX6"/>
  <c r="CY6"/>
  <c r="CZ6"/>
  <c r="DA6"/>
  <c r="DB6"/>
  <c r="DC6"/>
  <c r="A7"/>
  <c r="CX7"/>
  <c r="CY7"/>
  <c r="CZ7"/>
  <c r="DA7"/>
  <c r="DB7"/>
  <c r="DC7"/>
  <c r="A8"/>
  <c r="CX8"/>
  <c r="CY8"/>
  <c r="CZ8"/>
  <c r="DB8" s="1"/>
  <c r="DA8"/>
  <c r="DC8"/>
  <c r="A9"/>
  <c r="CX9"/>
  <c r="CY9"/>
  <c r="CZ9"/>
  <c r="DA9"/>
  <c r="DB9"/>
  <c r="DC9"/>
  <c r="A10"/>
  <c r="CX10"/>
  <c r="CY10"/>
  <c r="CZ10"/>
  <c r="DA10"/>
  <c r="DB10"/>
  <c r="DC10"/>
  <c r="A11"/>
  <c r="CX11"/>
  <c r="CY11"/>
  <c r="CZ11"/>
  <c r="DB11" s="1"/>
  <c r="DA11"/>
  <c r="DC11"/>
  <c r="A12"/>
  <c r="CY12"/>
  <c r="CZ12"/>
  <c r="DA12"/>
  <c r="DB12"/>
  <c r="DC12"/>
  <c r="A13"/>
  <c r="CX13"/>
  <c r="CY13"/>
  <c r="CZ13"/>
  <c r="DA13"/>
  <c r="DB13"/>
  <c r="DC13"/>
  <c r="A14"/>
  <c r="CY14"/>
  <c r="CZ14"/>
  <c r="DB14" s="1"/>
  <c r="DA14"/>
  <c r="DC14"/>
  <c r="A15"/>
  <c r="CY15"/>
  <c r="CZ15"/>
  <c r="DA15"/>
  <c r="DB15"/>
  <c r="DC15"/>
  <c r="A16"/>
  <c r="CY16"/>
  <c r="CZ16"/>
  <c r="DA16"/>
  <c r="DB16"/>
  <c r="DC16"/>
  <c r="A17"/>
  <c r="CY17"/>
  <c r="CZ17"/>
  <c r="DB17" s="1"/>
  <c r="DA17"/>
  <c r="DC17"/>
  <c r="A18"/>
  <c r="CY18"/>
  <c r="CZ18"/>
  <c r="DA18"/>
  <c r="DB18"/>
  <c r="DC18"/>
  <c r="A19"/>
  <c r="CX19"/>
  <c r="CY19"/>
  <c r="CZ19"/>
  <c r="DA19"/>
  <c r="DB19"/>
  <c r="DC19"/>
  <c r="A20"/>
  <c r="CX20"/>
  <c r="CY20"/>
  <c r="CZ20"/>
  <c r="DB20" s="1"/>
  <c r="DA20"/>
  <c r="DC20"/>
  <c r="A21"/>
  <c r="CX21"/>
  <c r="CY21"/>
  <c r="CZ21"/>
  <c r="DA21"/>
  <c r="DB21"/>
  <c r="DC21"/>
  <c r="A22"/>
  <c r="CX22"/>
  <c r="CY22"/>
  <c r="CZ22"/>
  <c r="DA22"/>
  <c r="DB22"/>
  <c r="DC22"/>
  <c r="A23"/>
  <c r="CX23"/>
  <c r="CY23"/>
  <c r="CZ23"/>
  <c r="DB23" s="1"/>
  <c r="DA23"/>
  <c r="DC23"/>
  <c r="D12" i="1"/>
  <c r="E18"/>
  <c r="Z18"/>
  <c r="AA18"/>
  <c r="AB18"/>
  <c r="AC18"/>
  <c r="AD18"/>
  <c r="AE18"/>
  <c r="AF18"/>
  <c r="AG18"/>
  <c r="AH18"/>
  <c r="AI18"/>
  <c r="AJ18"/>
  <c r="AK18"/>
  <c r="AL18"/>
  <c r="AM18"/>
  <c r="AN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D20"/>
  <c r="B22"/>
  <c r="E22"/>
  <c r="Z22"/>
  <c r="AA22"/>
  <c r="AM22"/>
  <c r="AN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C24"/>
  <c r="D24"/>
  <c r="P24"/>
  <c r="S24"/>
  <c r="CZ24" s="1"/>
  <c r="Y24" s="1"/>
  <c r="V24"/>
  <c r="AC24"/>
  <c r="AE24"/>
  <c r="AD24" s="1"/>
  <c r="AB24" s="1"/>
  <c r="AF24"/>
  <c r="AG24"/>
  <c r="CU24" s="1"/>
  <c r="T24" s="1"/>
  <c r="AH24"/>
  <c r="AI24"/>
  <c r="AJ24"/>
  <c r="CQ24"/>
  <c r="CR24"/>
  <c r="Q24" s="1"/>
  <c r="CT24"/>
  <c r="CV24"/>
  <c r="U24" s="1"/>
  <c r="CW24"/>
  <c r="CX24"/>
  <c r="W24" s="1"/>
  <c r="FR24"/>
  <c r="GL24"/>
  <c r="GN24"/>
  <c r="GO24"/>
  <c r="GV24"/>
  <c r="HC24"/>
  <c r="GX24" s="1"/>
  <c r="I25"/>
  <c r="AB25"/>
  <c r="AC25"/>
  <c r="AD25"/>
  <c r="AE25"/>
  <c r="AF25"/>
  <c r="CT25" s="1"/>
  <c r="S25" s="1"/>
  <c r="AG25"/>
  <c r="CU25" s="1"/>
  <c r="T25" s="1"/>
  <c r="AH25"/>
  <c r="CV25" s="1"/>
  <c r="U25" s="1"/>
  <c r="AI25"/>
  <c r="AJ25"/>
  <c r="CQ25"/>
  <c r="P25" s="1"/>
  <c r="CR25"/>
  <c r="Q25" s="1"/>
  <c r="CS25"/>
  <c r="R25" s="1"/>
  <c r="GK25" s="1"/>
  <c r="CW25"/>
  <c r="V25" s="1"/>
  <c r="CX25"/>
  <c r="W25" s="1"/>
  <c r="FR25"/>
  <c r="GL25"/>
  <c r="GO25"/>
  <c r="GP25"/>
  <c r="GV25"/>
  <c r="HC25"/>
  <c r="GX25" s="1"/>
  <c r="C26"/>
  <c r="D26"/>
  <c r="I26"/>
  <c r="CX16" i="3" s="1"/>
  <c r="AC26" i="1"/>
  <c r="AE26"/>
  <c r="CS26" s="1"/>
  <c r="R26" s="1"/>
  <c r="GK26" s="1"/>
  <c r="AF26"/>
  <c r="CT26" s="1"/>
  <c r="S26" s="1"/>
  <c r="AG26"/>
  <c r="AH26"/>
  <c r="AI26"/>
  <c r="AJ26"/>
  <c r="CX26" s="1"/>
  <c r="W26" s="1"/>
  <c r="CQ26"/>
  <c r="P26" s="1"/>
  <c r="CU26"/>
  <c r="T26" s="1"/>
  <c r="CV26"/>
  <c r="U26" s="1"/>
  <c r="CW26"/>
  <c r="V26" s="1"/>
  <c r="FR26"/>
  <c r="GL26"/>
  <c r="GN26"/>
  <c r="GO26"/>
  <c r="GV26"/>
  <c r="HC26" s="1"/>
  <c r="GX26" s="1"/>
  <c r="I27"/>
  <c r="T27"/>
  <c r="AC27"/>
  <c r="AE27"/>
  <c r="CS27" s="1"/>
  <c r="R27" s="1"/>
  <c r="GK27" s="1"/>
  <c r="AF27"/>
  <c r="CT27" s="1"/>
  <c r="S27" s="1"/>
  <c r="AG27"/>
  <c r="AH27"/>
  <c r="AI27"/>
  <c r="AJ27"/>
  <c r="CX27" s="1"/>
  <c r="W27" s="1"/>
  <c r="CQ27"/>
  <c r="P27" s="1"/>
  <c r="CU27"/>
  <c r="CV27"/>
  <c r="U27" s="1"/>
  <c r="CW27"/>
  <c r="V27" s="1"/>
  <c r="FR27"/>
  <c r="GL27"/>
  <c r="GN27"/>
  <c r="GO27"/>
  <c r="GV27"/>
  <c r="HC27" s="1"/>
  <c r="GX27" s="1"/>
  <c r="I28"/>
  <c r="T28"/>
  <c r="AC28"/>
  <c r="AE28"/>
  <c r="CS28" s="1"/>
  <c r="R28" s="1"/>
  <c r="GK28" s="1"/>
  <c r="AF28"/>
  <c r="CT28" s="1"/>
  <c r="S28" s="1"/>
  <c r="AG28"/>
  <c r="AH28"/>
  <c r="AI28"/>
  <c r="AJ28"/>
  <c r="CX28" s="1"/>
  <c r="W28" s="1"/>
  <c r="CQ28"/>
  <c r="P28" s="1"/>
  <c r="CU28"/>
  <c r="CV28"/>
  <c r="U28" s="1"/>
  <c r="CW28"/>
  <c r="V28" s="1"/>
  <c r="FR28"/>
  <c r="GL28"/>
  <c r="GN28"/>
  <c r="GO28"/>
  <c r="GV28"/>
  <c r="HC28" s="1"/>
  <c r="GX28" s="1"/>
  <c r="I29"/>
  <c r="AC29"/>
  <c r="AE29"/>
  <c r="CS29" s="1"/>
  <c r="R29" s="1"/>
  <c r="GK29" s="1"/>
  <c r="AF29"/>
  <c r="CT29" s="1"/>
  <c r="S29" s="1"/>
  <c r="AG29"/>
  <c r="AH29"/>
  <c r="AI29"/>
  <c r="AJ29"/>
  <c r="CX29" s="1"/>
  <c r="W29" s="1"/>
  <c r="CQ29"/>
  <c r="P29" s="1"/>
  <c r="CU29"/>
  <c r="T29" s="1"/>
  <c r="CV29"/>
  <c r="U29" s="1"/>
  <c r="CW29"/>
  <c r="V29" s="1"/>
  <c r="FR29"/>
  <c r="GL29"/>
  <c r="GN29"/>
  <c r="GO29"/>
  <c r="GV29"/>
  <c r="HC29" s="1"/>
  <c r="GX29" s="1"/>
  <c r="I30"/>
  <c r="AC30"/>
  <c r="AE30"/>
  <c r="CS30" s="1"/>
  <c r="R30" s="1"/>
  <c r="GK30" s="1"/>
  <c r="AF30"/>
  <c r="CT30" s="1"/>
  <c r="S30" s="1"/>
  <c r="AG30"/>
  <c r="AH30"/>
  <c r="AI30"/>
  <c r="AJ30"/>
  <c r="CX30" s="1"/>
  <c r="W30" s="1"/>
  <c r="CQ30"/>
  <c r="P30" s="1"/>
  <c r="CU30"/>
  <c r="T30" s="1"/>
  <c r="CV30"/>
  <c r="U30" s="1"/>
  <c r="CW30"/>
  <c r="V30" s="1"/>
  <c r="FR30"/>
  <c r="GL30"/>
  <c r="GN30"/>
  <c r="GO30"/>
  <c r="GV30"/>
  <c r="HC30" s="1"/>
  <c r="GX30" s="1"/>
  <c r="C31"/>
  <c r="D31"/>
  <c r="AC31"/>
  <c r="CQ31" s="1"/>
  <c r="P31" s="1"/>
  <c r="AD31"/>
  <c r="AB31" s="1"/>
  <c r="AE31"/>
  <c r="CR31" s="1"/>
  <c r="Q31" s="1"/>
  <c r="AF31"/>
  <c r="AG31"/>
  <c r="AH31"/>
  <c r="AI31"/>
  <c r="CW31" s="1"/>
  <c r="V31" s="1"/>
  <c r="AJ31"/>
  <c r="CX31" s="1"/>
  <c r="W31" s="1"/>
  <c r="CT31"/>
  <c r="S31" s="1"/>
  <c r="CU31"/>
  <c r="T31" s="1"/>
  <c r="CV31"/>
  <c r="U31" s="1"/>
  <c r="FR31"/>
  <c r="GL31"/>
  <c r="GN31"/>
  <c r="GO31"/>
  <c r="GV31"/>
  <c r="HC31" s="1"/>
  <c r="GX31" s="1"/>
  <c r="B33"/>
  <c r="C33"/>
  <c r="C22" s="1"/>
  <c r="D33"/>
  <c r="D22" s="1"/>
  <c r="F33"/>
  <c r="F22" s="1"/>
  <c r="G33"/>
  <c r="G22" s="1"/>
  <c r="AO33"/>
  <c r="AO22" s="1"/>
  <c r="AP33"/>
  <c r="AP22" s="1"/>
  <c r="BB33"/>
  <c r="BB22" s="1"/>
  <c r="BX33"/>
  <c r="BX22" s="1"/>
  <c r="BY33"/>
  <c r="BY22" s="1"/>
  <c r="BZ33"/>
  <c r="BZ22" s="1"/>
  <c r="CC33"/>
  <c r="CC22" s="1"/>
  <c r="CK33"/>
  <c r="CK22" s="1"/>
  <c r="CL33"/>
  <c r="CL22" s="1"/>
  <c r="CM33"/>
  <c r="CM22" s="1"/>
  <c r="F46"/>
  <c r="B63"/>
  <c r="B18" s="1"/>
  <c r="C63"/>
  <c r="C18" s="1"/>
  <c r="D63"/>
  <c r="D18" s="1"/>
  <c r="F63"/>
  <c r="F18" s="1"/>
  <c r="G63"/>
  <c r="G18" s="1"/>
  <c r="P51" i="6" l="1"/>
  <c r="I43" i="5"/>
  <c r="I68"/>
  <c r="O66" i="6"/>
  <c r="AA51"/>
  <c r="K51"/>
  <c r="I58" i="5"/>
  <c r="I76" i="6"/>
  <c r="K66"/>
  <c r="E16" i="9"/>
  <c r="P76" i="6"/>
  <c r="T10" i="10"/>
  <c r="T14"/>
  <c r="T19"/>
  <c r="T20"/>
  <c r="T21"/>
  <c r="T22"/>
  <c r="T23"/>
  <c r="O51" i="6"/>
  <c r="I66"/>
  <c r="I51"/>
  <c r="P66"/>
  <c r="T25" i="10"/>
  <c r="O10"/>
  <c r="O14"/>
  <c r="O19"/>
  <c r="E29" i="9"/>
  <c r="AA66" i="6"/>
  <c r="O76"/>
  <c r="T7" i="10"/>
  <c r="T11"/>
  <c r="T15"/>
  <c r="M23"/>
  <c r="F31" i="9" s="1"/>
  <c r="E32" s="1"/>
  <c r="T24" i="10"/>
  <c r="W42" i="6"/>
  <c r="W68"/>
  <c r="AC33" i="1"/>
  <c r="CP25"/>
  <c r="O25" s="1"/>
  <c r="CZ25"/>
  <c r="Y25" s="1"/>
  <c r="CY25"/>
  <c r="X25" s="1"/>
  <c r="AF33"/>
  <c r="AG33"/>
  <c r="CP31"/>
  <c r="O31" s="1"/>
  <c r="CJ33"/>
  <c r="AJ33"/>
  <c r="CY28"/>
  <c r="X28" s="1"/>
  <c r="CZ28"/>
  <c r="Y28" s="1"/>
  <c r="CY26"/>
  <c r="X26" s="1"/>
  <c r="CZ26"/>
  <c r="Y26" s="1"/>
  <c r="CZ31"/>
  <c r="Y31" s="1"/>
  <c r="CY31"/>
  <c r="X31" s="1"/>
  <c r="CY30"/>
  <c r="X30" s="1"/>
  <c r="CZ30"/>
  <c r="Y30" s="1"/>
  <c r="CY29"/>
  <c r="X29" s="1"/>
  <c r="CZ29"/>
  <c r="Y29" s="1"/>
  <c r="CP24"/>
  <c r="O24" s="1"/>
  <c r="CP29"/>
  <c r="O29" s="1"/>
  <c r="CP27"/>
  <c r="O27" s="1"/>
  <c r="AI33"/>
  <c r="CY27"/>
  <c r="X27" s="1"/>
  <c r="CZ27"/>
  <c r="Y27" s="1"/>
  <c r="AL33" s="1"/>
  <c r="AH33"/>
  <c r="F42"/>
  <c r="G16" i="2" s="1"/>
  <c r="G18" s="1"/>
  <c r="CI33" i="1"/>
  <c r="BD33"/>
  <c r="CS31"/>
  <c r="R31" s="1"/>
  <c r="GK31" s="1"/>
  <c r="CX17" i="3"/>
  <c r="BB63" i="1"/>
  <c r="AP63"/>
  <c r="AD30"/>
  <c r="AB30" s="1"/>
  <c r="AD29"/>
  <c r="AB29" s="1"/>
  <c r="AD28"/>
  <c r="AB28" s="1"/>
  <c r="AD27"/>
  <c r="AB27" s="1"/>
  <c r="AD26"/>
  <c r="AB26" s="1"/>
  <c r="CX18" i="3"/>
  <c r="CX12"/>
  <c r="CG33" i="1"/>
  <c r="AO63"/>
  <c r="F37"/>
  <c r="AT33"/>
  <c r="CY24"/>
  <c r="X24" s="1"/>
  <c r="CS24"/>
  <c r="R24" s="1"/>
  <c r="CX14" i="3"/>
  <c r="CR30" i="1"/>
  <c r="Q30" s="1"/>
  <c r="CP30" s="1"/>
  <c r="O30" s="1"/>
  <c r="CR29"/>
  <c r="Q29" s="1"/>
  <c r="CR28"/>
  <c r="Q28" s="1"/>
  <c r="CP28" s="1"/>
  <c r="O28" s="1"/>
  <c r="CR27"/>
  <c r="Q27" s="1"/>
  <c r="CR26"/>
  <c r="Q26" s="1"/>
  <c r="CP26" s="1"/>
  <c r="O26" s="1"/>
  <c r="CX15" i="3"/>
  <c r="BC33" i="1"/>
  <c r="AQ33"/>
  <c r="P68" i="5" l="1"/>
  <c r="K68"/>
  <c r="I78" i="6"/>
  <c r="I82"/>
  <c r="P58" i="5"/>
  <c r="K58"/>
  <c r="K82" i="6"/>
  <c r="K78"/>
  <c r="P43" i="5"/>
  <c r="K43"/>
  <c r="AL22" i="1"/>
  <c r="Y33"/>
  <c r="GM26"/>
  <c r="GP26"/>
  <c r="GM30"/>
  <c r="GP30"/>
  <c r="GM28"/>
  <c r="GP28"/>
  <c r="AE33"/>
  <c r="GK24"/>
  <c r="GP24" s="1"/>
  <c r="CD33" s="1"/>
  <c r="AI22"/>
  <c r="V33"/>
  <c r="CJ22"/>
  <c r="BA33"/>
  <c r="F58"/>
  <c r="BD22"/>
  <c r="BD63"/>
  <c r="AJ22"/>
  <c r="W33"/>
  <c r="BC63"/>
  <c r="F49"/>
  <c r="BC22"/>
  <c r="GM29"/>
  <c r="GP29"/>
  <c r="AG22"/>
  <c r="T33"/>
  <c r="AQ63"/>
  <c r="F43"/>
  <c r="AQ22"/>
  <c r="U33"/>
  <c r="AH22"/>
  <c r="CH33"/>
  <c r="AC22"/>
  <c r="CE33"/>
  <c r="CF33"/>
  <c r="P33"/>
  <c r="CI22"/>
  <c r="AZ33"/>
  <c r="GM24"/>
  <c r="AB33"/>
  <c r="CG22"/>
  <c r="AX33"/>
  <c r="S33"/>
  <c r="AF22"/>
  <c r="AO18"/>
  <c r="F67"/>
  <c r="AT22"/>
  <c r="AT63"/>
  <c r="F51"/>
  <c r="F16" i="2" s="1"/>
  <c r="F18" s="1"/>
  <c r="BB18" i="1"/>
  <c r="F76"/>
  <c r="GM27"/>
  <c r="GP27"/>
  <c r="GM31"/>
  <c r="GP31"/>
  <c r="GN25"/>
  <c r="CB33" s="1"/>
  <c r="GM25"/>
  <c r="AP18"/>
  <c r="F72"/>
  <c r="I23" i="5" s="1"/>
  <c r="AD33" i="1"/>
  <c r="AK33"/>
  <c r="CD22" l="1"/>
  <c r="AU33"/>
  <c r="CE22"/>
  <c r="AV33"/>
  <c r="O33"/>
  <c r="AB22"/>
  <c r="CF22"/>
  <c r="AW33"/>
  <c r="F88"/>
  <c r="BD18"/>
  <c r="P22"/>
  <c r="P63"/>
  <c r="F36"/>
  <c r="U22"/>
  <c r="U63"/>
  <c r="F55"/>
  <c r="V22"/>
  <c r="F56"/>
  <c r="V63"/>
  <c r="AD22"/>
  <c r="Q33"/>
  <c r="AT18"/>
  <c r="F81"/>
  <c r="I22" i="5" s="1"/>
  <c r="F40" i="1"/>
  <c r="AX63"/>
  <c r="AX22"/>
  <c r="W22"/>
  <c r="W63"/>
  <c r="F57"/>
  <c r="X33"/>
  <c r="AK22"/>
  <c r="S63"/>
  <c r="S22"/>
  <c r="F48"/>
  <c r="J16" i="2" s="1"/>
  <c r="J18" s="1"/>
  <c r="AZ22" i="1"/>
  <c r="F44"/>
  <c r="AZ63"/>
  <c r="CH22"/>
  <c r="AY33"/>
  <c r="T22"/>
  <c r="T63"/>
  <c r="F54"/>
  <c r="BC18"/>
  <c r="F79"/>
  <c r="F53"/>
  <c r="BA22"/>
  <c r="BA63"/>
  <c r="Y63"/>
  <c r="Y22"/>
  <c r="F60"/>
  <c r="CB22"/>
  <c r="AS33"/>
  <c r="AQ18"/>
  <c r="F73"/>
  <c r="R33"/>
  <c r="AE22"/>
  <c r="CA33"/>
  <c r="AS22" l="1"/>
  <c r="F50"/>
  <c r="E16" i="2" s="1"/>
  <c r="AS63" i="1"/>
  <c r="Y18"/>
  <c r="F90"/>
  <c r="X22"/>
  <c r="F59"/>
  <c r="X63"/>
  <c r="P18"/>
  <c r="F66"/>
  <c r="R22"/>
  <c r="F47"/>
  <c r="R63"/>
  <c r="AZ18"/>
  <c r="F74"/>
  <c r="F70"/>
  <c r="AX18"/>
  <c r="V18"/>
  <c r="F86"/>
  <c r="S18"/>
  <c r="F78"/>
  <c r="AW63"/>
  <c r="F39"/>
  <c r="AW22"/>
  <c r="AU22"/>
  <c r="F52"/>
  <c r="H16" i="2" s="1"/>
  <c r="H18" s="1"/>
  <c r="AU63" i="1"/>
  <c r="CA22"/>
  <c r="AR33"/>
  <c r="F41"/>
  <c r="AY22"/>
  <c r="AY63"/>
  <c r="Q22"/>
  <c r="F45"/>
  <c r="Q63"/>
  <c r="U18"/>
  <c r="F85"/>
  <c r="W18"/>
  <c r="F87"/>
  <c r="AV22"/>
  <c r="F38"/>
  <c r="AV63"/>
  <c r="BA18"/>
  <c r="F83"/>
  <c r="F84"/>
  <c r="T18"/>
  <c r="F35"/>
  <c r="O22"/>
  <c r="O63"/>
  <c r="AW18" l="1"/>
  <c r="F69"/>
  <c r="Q18"/>
  <c r="F75"/>
  <c r="F61"/>
  <c r="AR22"/>
  <c r="AR63"/>
  <c r="AV18"/>
  <c r="F68"/>
  <c r="O18"/>
  <c r="F65"/>
  <c r="R18"/>
  <c r="F77"/>
  <c r="F71"/>
  <c r="AY18"/>
  <c r="X18"/>
  <c r="F89"/>
  <c r="I16" i="2"/>
  <c r="I18" s="1"/>
  <c r="E18"/>
  <c r="AU18" i="1"/>
  <c r="F82"/>
  <c r="I24" i="5" s="1"/>
  <c r="F80" i="1"/>
  <c r="I21" i="5" s="1"/>
  <c r="AS18" i="1"/>
  <c r="F91" l="1"/>
  <c r="AR18"/>
  <c r="F92" l="1"/>
  <c r="H31" i="6"/>
  <c r="F93" i="1" l="1"/>
  <c r="K85" i="6"/>
  <c r="F94" i="1" l="1"/>
  <c r="K86" i="6"/>
  <c r="I75" i="5"/>
  <c r="K87" i="6" l="1"/>
</calcChain>
</file>

<file path=xl/sharedStrings.xml><?xml version="1.0" encoding="utf-8"?>
<sst xmlns="http://schemas.openxmlformats.org/spreadsheetml/2006/main" count="1272" uniqueCount="322">
  <si>
    <t>Smeta.RU  (495) 974-1589</t>
  </si>
  <si>
    <t>_PS_</t>
  </si>
  <si>
    <t>Smeta.RU</t>
  </si>
  <si>
    <t>ГБУЗ "ТБ им.А.Е.Рабухина ДЗМ"  Доп. раб. место  MCCS-0027243</t>
  </si>
  <si>
    <t/>
  </si>
  <si>
    <t>Устройство разметки на стоянках ГБУЗ "ТБ им. А.Е. Рабухина ДЗМ" в 2021г.</t>
  </si>
  <si>
    <t>Прибыткова М.В.</t>
  </si>
  <si>
    <t>Инженер ИТО</t>
  </si>
  <si>
    <t>Жуков И.Н.</t>
  </si>
  <si>
    <t>Зам.гл.вр.по ХВ</t>
  </si>
  <si>
    <t>Оприщенко С.А.</t>
  </si>
  <si>
    <t>Главный врач</t>
  </si>
  <si>
    <t>ГБУЗ "Туберкулезная больница им. Е.А. Рабухина  Департамента здравоохранения г.Москвы"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</si>
  <si>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</si>
  <si>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</si>
  <si>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</si>
  <si>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</si>
  <si>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</si>
  <si>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</si>
  <si>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</si>
  <si>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1</t>
  </si>
  <si>
    <t>2.1-3203-3-1/1</t>
  </si>
  <si>
    <t>Нанесение разметки двухкомпонентным холодным пластиком с применением ручных механизмов</t>
  </si>
  <si>
    <t>м2</t>
  </si>
  <si>
    <t>СН-2012-2021.2. База. Сб.1-3203-3-1/1</t>
  </si>
  <si>
    <t>СН-2012</t>
  </si>
  <si>
    <t>Автомобильные дороги, раздел 32</t>
  </si>
  <si>
    <t>работа</t>
  </si>
  <si>
    <t>1,1</t>
  </si>
  <si>
    <t>по счету поставщика</t>
  </si>
  <si>
    <t>Пластик холодный двухкомпонентный для разметки автомобильных дорог ручным способом, красного цвета, марка "Лимбопласт D468H" (без отвердителя)</t>
  </si>
  <si>
    <t>кг</t>
  </si>
  <si>
    <t>Материалы</t>
  </si>
  <si>
    <t>Материалы, изделия и конструкции</t>
  </si>
  <si>
    <t>[110 / 1,2]</t>
  </si>
  <si>
    <t>2</t>
  </si>
  <si>
    <t>2.1-3203-8-1/1</t>
  </si>
  <si>
    <t>Установка дорожных знаков на металлических стойках (без стоимости щита дорожного знака)</t>
  </si>
  <si>
    <t>100 шт.</t>
  </si>
  <si>
    <t>СН-2012-2021.2. База. Сб.1-3203-8-1/1</t>
  </si>
  <si>
    <t>Подрядные работы, гл. 1-5,7</t>
  </si>
  <si>
    <t>2,1</t>
  </si>
  <si>
    <t>Знак 8.2.1 Зона действия</t>
  </si>
  <si>
    <t>ШТ</t>
  </si>
  <si>
    <t>[550 / 1,2]</t>
  </si>
  <si>
    <t>2,2</t>
  </si>
  <si>
    <t>Знак 3.27 Остановка запрещена</t>
  </si>
  <si>
    <t>[1 050 / 1,2]</t>
  </si>
  <si>
    <t>2,3</t>
  </si>
  <si>
    <t>Знак 8.30 Площадка пожарной-специальной технике</t>
  </si>
  <si>
    <t>[700 / 1,2]</t>
  </si>
  <si>
    <t>2,4</t>
  </si>
  <si>
    <t>Знак Парковка для инвалидов</t>
  </si>
  <si>
    <t>[880 / 1,2]</t>
  </si>
  <si>
    <t>3</t>
  </si>
  <si>
    <t>2.1-3203-12-4/1</t>
  </si>
  <si>
    <t>Нанесение линии обозначения мест парковки машин термопластиком без стеклошариков (парковочные места для инвалидов)</t>
  </si>
  <si>
    <t>СН-2012-2021.2. База. Сб.1-3203-12-4/1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</si>
  <si>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</si>
  <si>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</si>
  <si>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</si>
  <si>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</si>
  <si>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</si>
  <si>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</si>
  <si>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</si>
  <si>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</si>
  <si>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</si>
  <si>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</si>
  <si>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</si>
  <si>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</si>
  <si>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</si>
  <si>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</si>
  <si>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</si>
  <si>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</si>
  <si>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</si>
  <si>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</si>
  <si>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</si>
  <si>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</si>
  <si>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</si>
  <si>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</si>
  <si>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</si>
  <si>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</si>
  <si>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</si>
  <si>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</si>
  <si>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</si>
  <si>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</si>
  <si>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</si>
  <si>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</si>
  <si>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</si>
  <si>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</si>
  <si>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</si>
  <si>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</si>
  <si>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</si>
  <si>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</si>
  <si>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</si>
  <si>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</si>
  <si>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</si>
  <si>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</si>
  <si>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</si>
  <si>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</si>
  <si>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</si>
  <si>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</si>
  <si>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</si>
  <si>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</si>
  <si>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</si>
  <si>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</si>
  <si>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</si>
  <si>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</si>
  <si>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</si>
  <si>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</si>
  <si>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</si>
  <si>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</si>
  <si>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Итого по смете</t>
  </si>
  <si>
    <t>НДС 20%</t>
  </si>
  <si>
    <t>Всего по смете</t>
  </si>
  <si>
    <t>Уровень цен на 01.10.2020 г</t>
  </si>
  <si>
    <t>_OBSM_</t>
  </si>
  <si>
    <t>9999990008</t>
  </si>
  <si>
    <t>Трудозатраты рабочих</t>
  </si>
  <si>
    <t>чел.-ч.</t>
  </si>
  <si>
    <t>22.1-14-13</t>
  </si>
  <si>
    <t>СН-2012-2021.22. База. п.1-14-13 (148501)</t>
  </si>
  <si>
    <t>Пылесосы, потребляемая мощность 350-1200 Вт</t>
  </si>
  <si>
    <t>маш.-ч</t>
  </si>
  <si>
    <t>22.1-30-102</t>
  </si>
  <si>
    <t>СН-2012-2021.22. База. п.1-30-102 (303704)</t>
  </si>
  <si>
    <t>Дрели электрические, двухскоростные, мощностью 600 Вт</t>
  </si>
  <si>
    <t>22.1-5-90</t>
  </si>
  <si>
    <t>СН-2012-2021.22. База. п.1-5-90 (057210)</t>
  </si>
  <si>
    <t>Машины разметочные ручные для нанесения двухкомпонентного холодного пластика</t>
  </si>
  <si>
    <t>21.1-25-150</t>
  </si>
  <si>
    <t>СН-2012-2021.21. База. Р.1, о.25, поз.150</t>
  </si>
  <si>
    <t>Лента скотч "Polyken", ширина (толщина) 50 (0,5) мм</t>
  </si>
  <si>
    <t>м</t>
  </si>
  <si>
    <t>21.1-25-204</t>
  </si>
  <si>
    <t>СН-2012-2021.21. База. Р.1, о.25, поз.204</t>
  </si>
  <si>
    <t>Отвердитель для холодного пластика, марка Н1171</t>
  </si>
  <si>
    <t>21.1-25-789</t>
  </si>
  <si>
    <t>СН-2012-2021.21. База. Р.1, о.25, поз.789</t>
  </si>
  <si>
    <t>Стеклошарики световозвращающие, фракции 400-800 мкм</t>
  </si>
  <si>
    <t>т</t>
  </si>
  <si>
    <t>21.1-25-824</t>
  </si>
  <si>
    <t>СН-2012-2021.21. База. Р.1, о.25, поз.824</t>
  </si>
  <si>
    <t>Пластик холодный двухкомпонентный для разметки автомобильных дорог ручным способом, белого и желтого цвета, марка "Лимбопласт D468H" (без отвердителя)</t>
  </si>
  <si>
    <t>*0,6</t>
  </si>
  <si>
    <t>21.1-3-56</t>
  </si>
  <si>
    <t>СН-2012-2021.21. База. Р.1, о.3, поз.56</t>
  </si>
  <si>
    <t>Материал рулонный кровельный, рубероид, марка РКП-350, с пылевидной посыпкой</t>
  </si>
  <si>
    <t>21.1-6-112</t>
  </si>
  <si>
    <t>СН-2012-2021.21. База. Р.1, о.6, поз.112</t>
  </si>
  <si>
    <t>Растворители, марка Р-4</t>
  </si>
  <si>
    <t>22.1-9-1</t>
  </si>
  <si>
    <t>СН-2012-2021.22. База. п.1-9-1 (090101)</t>
  </si>
  <si>
    <t>Машины бурильно-крановые на базе трактора, глубина бурения до 5 м</t>
  </si>
  <si>
    <t>21.1-11-14</t>
  </si>
  <si>
    <t>СН-2012-2021.21. База. Р.1, о.11, поз.14</t>
  </si>
  <si>
    <t>Болты строительные с гайками оцинкованные (10х100мм)</t>
  </si>
  <si>
    <t>21.7-13-35</t>
  </si>
  <si>
    <t>СН-2012-2021.21. База. Р.7, о.13, поз.35</t>
  </si>
  <si>
    <t>Стойки из оцинкованной стали, диаметр 76 мм, длина 3 м</t>
  </si>
  <si>
    <t>шт.</t>
  </si>
  <si>
    <t>22.1-5-60</t>
  </si>
  <si>
    <t>СН-2012-2021.22. База. п.1-5-60 (057601)</t>
  </si>
  <si>
    <t>Маточные котлы, тип "Hofmann HK-1000"</t>
  </si>
  <si>
    <t>22.1-5-74</t>
  </si>
  <si>
    <t>СН-2012-2021.22. База. п.1-5-74 (057207)</t>
  </si>
  <si>
    <t>Машины разметочные, тип BMT-350С, для нанесения термопластика</t>
  </si>
  <si>
    <t>21.1-25-815</t>
  </si>
  <si>
    <t>СН-2012-2021.21. База. Р.1, о.25, поз.815</t>
  </si>
  <si>
    <t>Термопластик для разметки автомобильных дорог, марка "ТПКН", без стеклошариков</t>
  </si>
  <si>
    <t>5216100000</t>
  </si>
  <si>
    <t>Щитки металлические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</si>
  <si>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</si>
  <si>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</si>
  <si>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</si>
  <si>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</si>
  <si>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</si>
  <si>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</si>
  <si>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 xml:space="preserve">Основание: 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</si>
  <si>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</si>
  <si>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</si>
  <si>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</si>
  <si>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</si>
  <si>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</si>
  <si>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</si>
  <si>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</si>
  <si>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</si>
  <si>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</si>
  <si>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</si>
  <si>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</si>
  <si>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</si>
  <si>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</si>
  <si>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</si>
  <si>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</si>
  <si>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</si>
  <si>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</si>
  <si>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</si>
  <si>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</si>
  <si>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</si>
  <si>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</si>
  <si>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</si>
  <si>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</si>
  <si>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</si>
  <si>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МР</t>
  </si>
  <si>
    <r>
      <t>Пластик холодный двухкомпонентный для разметки автомобильных дорог ручным способом, красного цвета, марка "Лимбопласт D468H" (без отвердителя)</t>
    </r>
    <r>
      <rPr>
        <i/>
        <sz val="10"/>
        <rFont val="Arial"/>
        <family val="2"/>
        <charset val="204"/>
      </rPr>
      <t xml:space="preserve">
Базисная стоимость: 91,67 = [110 / 1,2]</t>
    </r>
  </si>
  <si>
    <t>НР от ЗП</t>
  </si>
  <si>
    <t>%</t>
  </si>
  <si>
    <t>СП от ЗП</t>
  </si>
  <si>
    <t>НР и СП от ЗПМ</t>
  </si>
  <si>
    <t>ЗТР</t>
  </si>
  <si>
    <t>чел-ч</t>
  </si>
  <si>
    <r>
      <t>Знак 8.2.1 Зона действия</t>
    </r>
    <r>
      <rPr>
        <i/>
        <sz val="10"/>
        <rFont val="Arial"/>
        <family val="2"/>
        <charset val="204"/>
      </rPr>
      <t xml:space="preserve">
Базисная стоимость: 458,33 = [550 / 1,2]</t>
    </r>
  </si>
  <si>
    <r>
      <t>Знак 3.27 Остановка запрещена</t>
    </r>
    <r>
      <rPr>
        <i/>
        <sz val="10"/>
        <rFont val="Arial"/>
        <family val="2"/>
        <charset val="204"/>
      </rPr>
      <t xml:space="preserve">
Базисная стоимость: 875,00 = [1 050 / 1,2]</t>
    </r>
  </si>
  <si>
    <r>
      <t>Знак 8.30 Площадка пожарной-специальной технике</t>
    </r>
    <r>
      <rPr>
        <i/>
        <sz val="10"/>
        <rFont val="Arial"/>
        <family val="2"/>
        <charset val="204"/>
      </rPr>
      <t xml:space="preserve">
Базисная стоимость: 583,33 = [700 / 1,2]</t>
    </r>
  </si>
  <si>
    <r>
      <t>Знак Парковка для инвалидов</t>
    </r>
    <r>
      <rPr>
        <i/>
        <sz val="10"/>
        <rFont val="Arial"/>
        <family val="2"/>
        <charset val="204"/>
      </rPr>
      <t xml:space="preserve">
Базисная стоимость: 733,33 = [880 / 1,2]</t>
    </r>
  </si>
  <si>
    <t xml:space="preserve">Составил   </t>
  </si>
  <si>
    <t>[должность,подпись(инициалы,фамилия)]</t>
  </si>
  <si>
    <t xml:space="preserve">Проверил   </t>
  </si>
  <si>
    <t>Унифицированная форма № КС-2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</si>
  <si>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</si>
  <si>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</si>
  <si>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</si>
  <si>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</si>
  <si>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</si>
  <si>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>Инвестор</t>
  </si>
  <si>
    <t>по ОКПО</t>
  </si>
  <si>
    <t>организация, адрес, телефон, факс</t>
  </si>
  <si>
    <t>Заказчик</t>
  </si>
  <si>
    <t>Подрядчик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</si>
  <si>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</si>
  <si>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</si>
  <si>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</si>
  <si>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</si>
  <si>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</si>
  <si>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</si>
  <si>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</si>
  <si>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</si>
  <si>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 xml:space="preserve">Вид операции  </t>
  </si>
  <si>
    <t>Номер документа</t>
  </si>
  <si>
    <t>Дата составления</t>
  </si>
  <si>
    <t>Отчетный период</t>
  </si>
  <si>
    <t>с</t>
  </si>
  <si>
    <t>по</t>
  </si>
  <si>
    <t>AKT</t>
  </si>
  <si>
    <t>О ПРИЕМКЕ ВЫПОЛНЕННЫХ РАБОТ</t>
  </si>
  <si>
    <t>Сметная (договорная) стоимость в соответствии с договором подряда (субподряда)</t>
  </si>
  <si>
    <t xml:space="preserve"> тыс.руб</t>
  </si>
  <si>
    <t>Номер</t>
  </si>
  <si>
    <t>ВСЕГО в базисном уровне цен, руб.</t>
  </si>
  <si>
    <t>Коэфф. пересчета и нормы НР и СП</t>
  </si>
  <si>
    <t>Всего в текущем уровне цен, руб.</t>
  </si>
  <si>
    <t>п/п</t>
  </si>
  <si>
    <t>поз. по сме-те</t>
  </si>
  <si>
    <t xml:space="preserve">   Итого по ТСН-2001.16</t>
  </si>
  <si>
    <t xml:space="preserve">   Итого возвратных сумм</t>
  </si>
  <si>
    <t xml:space="preserve">Сдал   </t>
  </si>
  <si>
    <t xml:space="preserve">Принял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</si>
  <si>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</si>
  <si>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</si>
  <si>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</si>
  <si>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</si>
  <si>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</si>
  <si>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</si>
  <si>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</si>
  <si>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</si>
  <si>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</si>
  <si>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</si>
  <si>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</si>
  <si>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</si>
  <si>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</si>
  <si>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</si>
  <si>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</si>
  <si>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</si>
  <si>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</si>
  <si>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</si>
  <si>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</si>
  <si>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</si>
  <si>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</si>
  <si>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</si>
  <si>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</si>
  <si>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</si>
  <si>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</si>
  <si>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</si>
  <si>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</si>
  <si>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</si>
  <si>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</si>
  <si>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</si>
  <si>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</si>
  <si>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</si>
  <si>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</si>
  <si>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</si>
  <si>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</si>
  <si>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</si>
  <si>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</si>
  <si>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</si>
  <si>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</si>
  <si>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</si>
  <si>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</si>
  <si>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</si>
  <si>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</si>
  <si>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</si>
  <si>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Ресурсная ведомость на</t>
  </si>
  <si>
    <t>Объект: Устройство разметки на стоянках ГБУЗ "ТБ им. А.Е. Рабухина ДЗМ" в 2021г.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</si>
  <si>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</si>
  <si>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</si>
  <si>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</si>
  <si>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</si>
  <si>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</si>
  <si>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</si>
  <si>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</si>
  <si>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</si>
  <si>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</si>
  <si>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</si>
  <si>
    <t>(наименование стройки и/или объекта)</t>
  </si>
  <si>
    <t>(наименование работ и затрат)</t>
  </si>
  <si>
    <t>Составлен(а) по ТСН-2001 с учетом Дополнения №: 43</t>
  </si>
  <si>
    <t>Шифр норматива и коды ресурсов</t>
  </si>
  <si>
    <t>Наименование работ и затрат, характеристика оборудования</t>
  </si>
  <si>
    <t>Количество на единицу</t>
  </si>
  <si>
    <t>Попра-вочные коэффи-
циенты</t>
  </si>
  <si>
    <t>Количество общее</t>
  </si>
  <si>
    <t>(должность, подпись, инициалы, фамилия)</t>
  </si>
</sst>
</file>

<file path=xl/styles.xml><?xml version="1.0" encoding="utf-8"?>
<styleSheet xmlns="http://schemas.openxmlformats.org/spreadsheetml/2006/main">
  <numFmts count="3">
    <numFmt numFmtId="164" formatCode="mmmm"/>
    <numFmt numFmtId="165" formatCode="#,##0.00####;[Red]\-\ #,##0.00####"/>
    <numFmt numFmtId="166" formatCode="#,##0.00;[Red]\-\ #,##0.00"/>
  </numFmts>
  <fonts count="20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i/>
      <sz val="10"/>
      <name val="Arial"/>
      <family val="2"/>
      <charset val="204"/>
    </font>
    <font>
      <b/>
      <sz val="11"/>
      <name val="Arial"/>
      <family val="2"/>
      <charset val="204"/>
    </font>
    <font>
      <i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0" fillId="0" borderId="0" xfId="0" quotePrefix="1" applyFont="1" applyAlignment="1">
      <alignment horizontal="right" wrapText="1"/>
    </xf>
    <xf numFmtId="166" fontId="0" fillId="0" borderId="0" xfId="0" applyNumberFormat="1"/>
    <xf numFmtId="0" fontId="18" fillId="0" borderId="0" xfId="0" applyFont="1" applyAlignment="1">
      <alignment horizontal="right"/>
    </xf>
    <xf numFmtId="0" fontId="0" fillId="0" borderId="6" xfId="0" applyBorder="1"/>
    <xf numFmtId="166" fontId="18" fillId="0" borderId="6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 wrapText="1"/>
    </xf>
    <xf numFmtId="0" fontId="10" fillId="0" borderId="1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1" fillId="0" borderId="3" xfId="0" quotePrefix="1" applyFont="1" applyBorder="1" applyAlignment="1">
      <alignment horizontal="center" vertical="center" wrapText="1"/>
    </xf>
    <xf numFmtId="0" fontId="0" fillId="0" borderId="2" xfId="0" applyBorder="1"/>
    <xf numFmtId="49" fontId="10" fillId="0" borderId="3" xfId="0" applyNumberFormat="1" applyFont="1" applyBorder="1" applyAlignment="1">
      <alignment horizontal="left" vertical="top" wrapText="1"/>
    </xf>
    <xf numFmtId="166" fontId="10" fillId="0" borderId="3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center" wrapText="1"/>
    </xf>
    <xf numFmtId="0" fontId="18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65" fontId="10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 wrapText="1"/>
    </xf>
    <xf numFmtId="165" fontId="18" fillId="0" borderId="3" xfId="0" applyNumberFormat="1" applyFont="1" applyBorder="1" applyAlignment="1">
      <alignment horizontal="right"/>
    </xf>
    <xf numFmtId="0" fontId="8" fillId="0" borderId="2" xfId="0" applyFont="1" applyBorder="1" applyAlignment="1">
      <alignment wrapText="1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166" fontId="18" fillId="0" borderId="6" xfId="0" applyNumberFormat="1" applyFont="1" applyBorder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166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4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14" fontId="10" fillId="0" borderId="3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8" fillId="0" borderId="3" xfId="0" applyFont="1" applyBorder="1" applyAlignment="1">
      <alignment horizontal="right"/>
    </xf>
    <xf numFmtId="166" fontId="18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right" vertical="center"/>
    </xf>
    <xf numFmtId="0" fontId="19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83"/>
  <sheetViews>
    <sheetView tabSelected="1" workbookViewId="0">
      <selection activeCell="AN82" sqref="AN82"/>
    </sheetView>
  </sheetViews>
  <sheetFormatPr defaultRowHeight="12.75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>
      <c r="A1" s="9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11" ht="14.25">
      <c r="A2" s="10"/>
      <c r="B2" s="10"/>
      <c r="C2" s="10"/>
      <c r="D2" s="10"/>
      <c r="E2" s="10"/>
      <c r="F2" s="10"/>
      <c r="G2" s="10"/>
      <c r="H2" s="10"/>
      <c r="I2" s="10"/>
      <c r="J2" s="71" t="s">
        <v>174</v>
      </c>
      <c r="K2" s="71"/>
    </row>
    <row r="3" spans="1:11" ht="16.5">
      <c r="A3" s="12"/>
      <c r="B3" s="77" t="s">
        <v>172</v>
      </c>
      <c r="C3" s="77"/>
      <c r="D3" s="77"/>
      <c r="E3" s="77"/>
      <c r="F3" s="11"/>
      <c r="G3" s="77" t="s">
        <v>173</v>
      </c>
      <c r="H3" s="77"/>
      <c r="I3" s="77"/>
      <c r="J3" s="77"/>
      <c r="K3" s="77"/>
    </row>
    <row r="4" spans="1:11" ht="14.25">
      <c r="A4" s="11"/>
      <c r="B4" s="69"/>
      <c r="C4" s="69"/>
      <c r="D4" s="69"/>
      <c r="E4" s="69"/>
      <c r="F4" s="11"/>
      <c r="G4" s="80" t="s">
        <v>12</v>
      </c>
      <c r="H4" s="80"/>
      <c r="I4" s="80"/>
      <c r="J4" s="80"/>
      <c r="K4" s="80"/>
    </row>
    <row r="5" spans="1:11" ht="14.25">
      <c r="A5" s="13"/>
      <c r="B5" s="13"/>
      <c r="C5" s="14"/>
      <c r="D5" s="14"/>
      <c r="E5" s="14"/>
      <c r="F5" s="11"/>
      <c r="G5" s="80"/>
      <c r="H5" s="80"/>
      <c r="I5" s="80"/>
      <c r="J5" s="80"/>
      <c r="K5" s="80"/>
    </row>
    <row r="6" spans="1:11" ht="14.25">
      <c r="A6" s="15"/>
      <c r="B6" s="69" t="str">
        <f>CONCATENATE("______________________ ", IF(Source!AL12&lt;&gt;"", Source!AL12, ""))</f>
        <v xml:space="preserve">______________________ </v>
      </c>
      <c r="C6" s="69"/>
      <c r="D6" s="69"/>
      <c r="E6" s="69"/>
      <c r="F6" s="11"/>
      <c r="G6" s="69" t="str">
        <f>CONCATENATE("______________________ ", IF(Source!AH12&lt;&gt;"", Source!AH12, ""))</f>
        <v>______________________ Оприщенко С.А.</v>
      </c>
      <c r="H6" s="69"/>
      <c r="I6" s="69"/>
      <c r="J6" s="69"/>
      <c r="K6" s="69"/>
    </row>
    <row r="7" spans="1:11" ht="14.25">
      <c r="A7" s="16"/>
      <c r="B7" s="72" t="s">
        <v>175</v>
      </c>
      <c r="C7" s="72"/>
      <c r="D7" s="72"/>
      <c r="E7" s="72"/>
      <c r="F7" s="11"/>
      <c r="G7" s="72" t="s">
        <v>175</v>
      </c>
      <c r="H7" s="72"/>
      <c r="I7" s="72"/>
      <c r="J7" s="72"/>
      <c r="K7" s="72"/>
    </row>
    <row r="9" spans="1:11" ht="14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ht="15.75">
      <c r="A10" s="73" t="str">
        <f>CONCATENATE( "ЛОКАЛЬНАЯ СМЕТА № ",IF(Source!F12&lt;&gt;"Новый объект", Source!F12, ""))</f>
        <v xml:space="preserve">ЛОКАЛЬНАЯ СМЕТА № 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</row>
    <row r="11" spans="1:11">
      <c r="A11" s="75" t="s">
        <v>176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</row>
    <row r="12" spans="1:11" ht="14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18" hidden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ht="14.25" hidden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ht="18">
      <c r="A15" s="78" t="str">
        <f>IF(Source!G12&lt;&gt;"Новый объект", Source!G12, "")</f>
        <v>Устройство разметки на стоянках ГБУЗ "ТБ им. А.Е. Рабухина ДЗМ" в 2021г.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>
      <c r="A16" s="75" t="s">
        <v>177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</row>
    <row r="17" spans="1:11" ht="14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ht="14.25">
      <c r="A18" s="80" t="str">
        <f>CONCATENATE( "Основание: чертежи № ", Source!J12)</f>
        <v xml:space="preserve">Основание: чертежи № 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1:11" ht="14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4.25">
      <c r="A20" s="11"/>
      <c r="B20" s="11"/>
      <c r="C20" s="11"/>
      <c r="D20" s="11"/>
      <c r="E20" s="11"/>
      <c r="F20" s="69" t="s">
        <v>179</v>
      </c>
      <c r="G20" s="69"/>
      <c r="H20" s="69"/>
      <c r="I20" s="70"/>
      <c r="J20" s="71"/>
      <c r="K20" s="11" t="s">
        <v>180</v>
      </c>
    </row>
    <row r="21" spans="1:11" ht="14.25" hidden="1">
      <c r="A21" s="11"/>
      <c r="B21" s="11"/>
      <c r="C21" s="11"/>
      <c r="D21" s="11"/>
      <c r="E21" s="11"/>
      <c r="F21" s="69" t="s">
        <v>181</v>
      </c>
      <c r="G21" s="69"/>
      <c r="H21" s="69"/>
      <c r="I21" s="70">
        <f>(Source!F80)/1000</f>
        <v>18.461419999999997</v>
      </c>
      <c r="J21" s="71"/>
      <c r="K21" s="11" t="s">
        <v>180</v>
      </c>
    </row>
    <row r="22" spans="1:11" ht="14.25" hidden="1">
      <c r="A22" s="11"/>
      <c r="B22" s="11"/>
      <c r="C22" s="11"/>
      <c r="D22" s="11"/>
      <c r="E22" s="11"/>
      <c r="F22" s="69" t="s">
        <v>182</v>
      </c>
      <c r="G22" s="69"/>
      <c r="H22" s="69"/>
      <c r="I22" s="70">
        <f>(Source!F81)/1000</f>
        <v>0</v>
      </c>
      <c r="J22" s="71"/>
      <c r="K22" s="11" t="s">
        <v>180</v>
      </c>
    </row>
    <row r="23" spans="1:11" ht="14.25" hidden="1">
      <c r="A23" s="11"/>
      <c r="B23" s="11"/>
      <c r="C23" s="11"/>
      <c r="D23" s="11"/>
      <c r="E23" s="11"/>
      <c r="F23" s="69" t="s">
        <v>183</v>
      </c>
      <c r="G23" s="69"/>
      <c r="H23" s="69"/>
      <c r="I23" s="70">
        <f>(Source!F72)/1000</f>
        <v>0</v>
      </c>
      <c r="J23" s="71"/>
      <c r="K23" s="11" t="s">
        <v>180</v>
      </c>
    </row>
    <row r="24" spans="1:11" ht="14.25" hidden="1">
      <c r="A24" s="11"/>
      <c r="B24" s="11"/>
      <c r="C24" s="11"/>
      <c r="D24" s="11"/>
      <c r="E24" s="11"/>
      <c r="F24" s="69" t="s">
        <v>184</v>
      </c>
      <c r="G24" s="69"/>
      <c r="H24" s="69"/>
      <c r="I24" s="70">
        <f>(Source!F82+Source!F83)/1000</f>
        <v>434.07821000000001</v>
      </c>
      <c r="J24" s="71"/>
      <c r="K24" s="11" t="s">
        <v>180</v>
      </c>
    </row>
    <row r="25" spans="1:11" ht="14.25">
      <c r="A25" s="11"/>
      <c r="B25" s="11"/>
      <c r="C25" s="11"/>
      <c r="D25" s="11"/>
      <c r="E25" s="11"/>
      <c r="F25" s="69" t="s">
        <v>185</v>
      </c>
      <c r="G25" s="69"/>
      <c r="H25" s="69"/>
      <c r="I25" s="70"/>
      <c r="J25" s="71"/>
      <c r="K25" s="11" t="s">
        <v>180</v>
      </c>
    </row>
    <row r="26" spans="1:11" ht="14.25">
      <c r="A26" s="11" t="s">
        <v>199</v>
      </c>
      <c r="B26" s="11"/>
      <c r="C26" s="11"/>
      <c r="D26" s="17"/>
      <c r="E26" s="18"/>
      <c r="F26" s="11"/>
      <c r="G26" s="11"/>
      <c r="H26" s="11"/>
      <c r="I26" s="11"/>
      <c r="J26" s="11"/>
      <c r="K26" s="11"/>
    </row>
    <row r="27" spans="1:11" ht="14.25">
      <c r="A27" s="81" t="s">
        <v>186</v>
      </c>
      <c r="B27" s="81" t="s">
        <v>187</v>
      </c>
      <c r="C27" s="81" t="s">
        <v>188</v>
      </c>
      <c r="D27" s="81" t="s">
        <v>189</v>
      </c>
      <c r="E27" s="81" t="s">
        <v>190</v>
      </c>
      <c r="F27" s="81" t="s">
        <v>191</v>
      </c>
      <c r="G27" s="81" t="s">
        <v>192</v>
      </c>
      <c r="H27" s="81" t="s">
        <v>193</v>
      </c>
      <c r="I27" s="81" t="s">
        <v>194</v>
      </c>
      <c r="J27" s="81" t="s">
        <v>195</v>
      </c>
      <c r="K27" s="19" t="s">
        <v>196</v>
      </c>
    </row>
    <row r="28" spans="1:11" ht="28.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20" t="s">
        <v>197</v>
      </c>
    </row>
    <row r="29" spans="1:11" ht="28.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20" t="s">
        <v>198</v>
      </c>
    </row>
    <row r="30" spans="1:11" ht="14.25">
      <c r="A30" s="20">
        <v>1</v>
      </c>
      <c r="B30" s="20">
        <v>2</v>
      </c>
      <c r="C30" s="20">
        <v>3</v>
      </c>
      <c r="D30" s="20">
        <v>4</v>
      </c>
      <c r="E30" s="20">
        <v>5</v>
      </c>
      <c r="F30" s="20">
        <v>6</v>
      </c>
      <c r="G30" s="20">
        <v>7</v>
      </c>
      <c r="H30" s="20">
        <v>8</v>
      </c>
      <c r="I30" s="20">
        <v>9</v>
      </c>
      <c r="J30" s="20">
        <v>10</v>
      </c>
      <c r="K30" s="20">
        <v>11</v>
      </c>
    </row>
    <row r="32" spans="1:11" ht="16.5">
      <c r="A32" s="83" t="str">
        <f>CONCATENATE("Локальная смета: ",IF(Source!G20&lt;&gt;"Новая локальная смета", Source!G20, ""))</f>
        <v xml:space="preserve">Локальная смета: 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</row>
    <row r="33" spans="1:22" ht="57">
      <c r="A33" s="21" t="str">
        <f>Source!E24</f>
        <v>1</v>
      </c>
      <c r="B33" s="22" t="str">
        <f>Source!F24</f>
        <v>2.1-3203-3-1/1</v>
      </c>
      <c r="C33" s="22" t="str">
        <f>Source!G24</f>
        <v>Нанесение разметки двухкомпонентным холодным пластиком с применением ручных механизмов</v>
      </c>
      <c r="D33" s="23" t="str">
        <f>Source!H24</f>
        <v>м2</v>
      </c>
      <c r="E33" s="10">
        <f>Source!I24</f>
        <v>147</v>
      </c>
      <c r="F33" s="25"/>
      <c r="G33" s="24"/>
      <c r="H33" s="10"/>
      <c r="I33" s="10"/>
      <c r="J33" s="26"/>
      <c r="K33" s="26"/>
      <c r="Q33">
        <f>ROUND((Source!BZ24/100)*ROUND((Source!AF24*Source!AV24)*Source!I24, 2), 2)</f>
        <v>21591.360000000001</v>
      </c>
      <c r="R33">
        <f>Source!X24</f>
        <v>21591.360000000001</v>
      </c>
      <c r="S33">
        <f>ROUND((Source!CA24/100)*ROUND((Source!AF24*Source!AV24)*Source!I24, 2), 2)</f>
        <v>2698.92</v>
      </c>
      <c r="T33">
        <f>Source!Y24</f>
        <v>2698.92</v>
      </c>
      <c r="U33">
        <f>ROUND((175/100)*ROUND((Source!AE24*Source!AV24)*Source!I24, 2), 2)</f>
        <v>120.91</v>
      </c>
      <c r="V33">
        <f>ROUND((108/100)*ROUND(Source!CS24*Source!I24, 2), 2)</f>
        <v>74.62</v>
      </c>
    </row>
    <row r="34" spans="1:22" ht="14.25">
      <c r="A34" s="21"/>
      <c r="B34" s="22"/>
      <c r="C34" s="22" t="s">
        <v>200</v>
      </c>
      <c r="D34" s="23"/>
      <c r="E34" s="10"/>
      <c r="F34" s="25">
        <f>Source!AO24</f>
        <v>183.6</v>
      </c>
      <c r="G34" s="24" t="str">
        <f>Source!DG24</f>
        <v/>
      </c>
      <c r="H34" s="10">
        <f>Source!AV24</f>
        <v>1</v>
      </c>
      <c r="I34" s="10">
        <f>IF(Source!BA24&lt;&gt; 0, Source!BA24, 1)</f>
        <v>1</v>
      </c>
      <c r="J34" s="26">
        <f>Source!S24</f>
        <v>26989.200000000001</v>
      </c>
      <c r="K34" s="26"/>
    </row>
    <row r="35" spans="1:22" ht="14.25">
      <c r="A35" s="21"/>
      <c r="B35" s="22"/>
      <c r="C35" s="22" t="s">
        <v>201</v>
      </c>
      <c r="D35" s="23"/>
      <c r="E35" s="10"/>
      <c r="F35" s="25">
        <f>Source!AM24</f>
        <v>11.98</v>
      </c>
      <c r="G35" s="24" t="str">
        <f>Source!DE24</f>
        <v/>
      </c>
      <c r="H35" s="10">
        <f>Source!AV24</f>
        <v>1</v>
      </c>
      <c r="I35" s="10">
        <f>IF(Source!BB24&lt;&gt; 0, Source!BB24, 1)</f>
        <v>1</v>
      </c>
      <c r="J35" s="26">
        <f>Source!Q24</f>
        <v>1761.06</v>
      </c>
      <c r="K35" s="26"/>
    </row>
    <row r="36" spans="1:22" ht="14.25">
      <c r="A36" s="21"/>
      <c r="B36" s="22"/>
      <c r="C36" s="22" t="s">
        <v>202</v>
      </c>
      <c r="D36" s="23"/>
      <c r="E36" s="10"/>
      <c r="F36" s="25">
        <f>Source!AN24</f>
        <v>0.47</v>
      </c>
      <c r="G36" s="24" t="str">
        <f>Source!DF24</f>
        <v/>
      </c>
      <c r="H36" s="10">
        <f>Source!AV24</f>
        <v>1</v>
      </c>
      <c r="I36" s="10">
        <f>IF(Source!BS24&lt;&gt; 0, Source!BS24, 1)</f>
        <v>1</v>
      </c>
      <c r="J36" s="27">
        <f>Source!R24</f>
        <v>69.09</v>
      </c>
      <c r="K36" s="26"/>
    </row>
    <row r="37" spans="1:22" ht="14.25">
      <c r="A37" s="21"/>
      <c r="B37" s="22"/>
      <c r="C37" s="22" t="s">
        <v>203</v>
      </c>
      <c r="D37" s="23"/>
      <c r="E37" s="10"/>
      <c r="F37" s="25">
        <f>Source!AL24</f>
        <v>1324.53</v>
      </c>
      <c r="G37" s="24" t="str">
        <f>Source!DD24</f>
        <v/>
      </c>
      <c r="H37" s="10">
        <f>Source!AW24</f>
        <v>1</v>
      </c>
      <c r="I37" s="10">
        <f>IF(Source!BC24&lt;&gt; 0, Source!BC24, 1)</f>
        <v>1</v>
      </c>
      <c r="J37" s="26">
        <f>Source!P24</f>
        <v>194705.91</v>
      </c>
      <c r="K37" s="26"/>
    </row>
    <row r="38" spans="1:22" ht="84">
      <c r="A38" s="21" t="str">
        <f>Source!E25</f>
        <v>1,1</v>
      </c>
      <c r="B38" s="22" t="str">
        <f>Source!F25</f>
        <v>по счету поставщика</v>
      </c>
      <c r="C38" s="22" t="s">
        <v>204</v>
      </c>
      <c r="D38" s="23" t="str">
        <f>Source!H25</f>
        <v>кг</v>
      </c>
      <c r="E38" s="10">
        <f>Source!I25</f>
        <v>201.39</v>
      </c>
      <c r="F38" s="25">
        <f>Source!AK25</f>
        <v>91.67</v>
      </c>
      <c r="G38" s="28" t="s">
        <v>4</v>
      </c>
      <c r="H38" s="10">
        <f>Source!AW25</f>
        <v>1</v>
      </c>
      <c r="I38" s="10">
        <f>IF(Source!BC25&lt;&gt; 0, Source!BC25, 1)</f>
        <v>1</v>
      </c>
      <c r="J38" s="26">
        <f>Source!O25</f>
        <v>18461.419999999998</v>
      </c>
      <c r="K38" s="26"/>
      <c r="Q38">
        <f>ROUND((Source!BZ25/100)*ROUND((Source!AF25*Source!AV25)*Source!I25, 2), 2)</f>
        <v>0</v>
      </c>
      <c r="R38">
        <f>Source!X25</f>
        <v>0</v>
      </c>
      <c r="S38">
        <f>ROUND((Source!CA25/100)*ROUND((Source!AF25*Source!AV25)*Source!I25, 2), 2)</f>
        <v>0</v>
      </c>
      <c r="T38">
        <f>Source!Y25</f>
        <v>0</v>
      </c>
      <c r="U38">
        <f>ROUND((175/100)*ROUND((Source!AE25*Source!AV25)*Source!I25, 2), 2)</f>
        <v>0</v>
      </c>
      <c r="V38">
        <f>ROUND((108/100)*ROUND(Source!CS25*Source!I25, 2), 2)</f>
        <v>0</v>
      </c>
    </row>
    <row r="39" spans="1:22" ht="14.25">
      <c r="A39" s="21"/>
      <c r="B39" s="22"/>
      <c r="C39" s="22" t="s">
        <v>205</v>
      </c>
      <c r="D39" s="23" t="s">
        <v>206</v>
      </c>
      <c r="E39" s="10">
        <f>Source!AT24</f>
        <v>80</v>
      </c>
      <c r="F39" s="25"/>
      <c r="G39" s="24"/>
      <c r="H39" s="10"/>
      <c r="I39" s="10"/>
      <c r="J39" s="26">
        <f>SUM(R33:R38)</f>
        <v>21591.360000000001</v>
      </c>
      <c r="K39" s="26"/>
    </row>
    <row r="40" spans="1:22" ht="14.25">
      <c r="A40" s="21"/>
      <c r="B40" s="22"/>
      <c r="C40" s="22" t="s">
        <v>207</v>
      </c>
      <c r="D40" s="23" t="s">
        <v>206</v>
      </c>
      <c r="E40" s="10">
        <f>Source!AU24</f>
        <v>10</v>
      </c>
      <c r="F40" s="25"/>
      <c r="G40" s="24"/>
      <c r="H40" s="10"/>
      <c r="I40" s="10"/>
      <c r="J40" s="26">
        <f>SUM(T33:T39)</f>
        <v>2698.92</v>
      </c>
      <c r="K40" s="26"/>
    </row>
    <row r="41" spans="1:22" ht="14.25">
      <c r="A41" s="21"/>
      <c r="B41" s="22"/>
      <c r="C41" s="22" t="s">
        <v>208</v>
      </c>
      <c r="D41" s="23" t="s">
        <v>206</v>
      </c>
      <c r="E41" s="10">
        <f>108</f>
        <v>108</v>
      </c>
      <c r="F41" s="25"/>
      <c r="G41" s="24"/>
      <c r="H41" s="10"/>
      <c r="I41" s="10"/>
      <c r="J41" s="26">
        <f>SUM(V33:V40)</f>
        <v>74.62</v>
      </c>
      <c r="K41" s="26"/>
    </row>
    <row r="42" spans="1:22" ht="14.25">
      <c r="A42" s="21"/>
      <c r="B42" s="22"/>
      <c r="C42" s="22" t="s">
        <v>209</v>
      </c>
      <c r="D42" s="23" t="s">
        <v>210</v>
      </c>
      <c r="E42" s="10">
        <f>Source!AQ24</f>
        <v>0.88</v>
      </c>
      <c r="F42" s="25"/>
      <c r="G42" s="24" t="str">
        <f>Source!DI24</f>
        <v/>
      </c>
      <c r="H42" s="10">
        <f>Source!AV24</f>
        <v>1</v>
      </c>
      <c r="I42" s="10"/>
      <c r="J42" s="26"/>
      <c r="K42" s="26">
        <f>Source!U24</f>
        <v>129.36000000000001</v>
      </c>
    </row>
    <row r="43" spans="1:22" ht="15">
      <c r="A43" s="31"/>
      <c r="B43" s="31"/>
      <c r="C43" s="31"/>
      <c r="D43" s="31"/>
      <c r="E43" s="31"/>
      <c r="F43" s="31"/>
      <c r="G43" s="31"/>
      <c r="H43" s="31"/>
      <c r="I43" s="84">
        <f>J34+J35+J37+J39+J40+J41+SUM(J38:J38)</f>
        <v>266282.49000000005</v>
      </c>
      <c r="J43" s="84"/>
      <c r="K43" s="32">
        <f>IF(Source!I24&lt;&gt;0, ROUND(I43/Source!I24, 2), 0)</f>
        <v>1811.45</v>
      </c>
      <c r="P43" s="29">
        <f>I43</f>
        <v>266282.49000000005</v>
      </c>
    </row>
    <row r="44" spans="1:22" ht="42.75">
      <c r="A44" s="21" t="str">
        <f>Source!E26</f>
        <v>2</v>
      </c>
      <c r="B44" s="22" t="str">
        <f>Source!F26</f>
        <v>2.1-3203-8-1/1</v>
      </c>
      <c r="C44" s="22" t="str">
        <f>Source!G26</f>
        <v>Установка дорожных знаков на металлических стойках (без стоимости щита дорожного знака)</v>
      </c>
      <c r="D44" s="23" t="str">
        <f>Source!H26</f>
        <v>100 шт.</v>
      </c>
      <c r="E44" s="10">
        <f>Source!I26</f>
        <v>0.12</v>
      </c>
      <c r="F44" s="25"/>
      <c r="G44" s="24"/>
      <c r="H44" s="10"/>
      <c r="I44" s="10"/>
      <c r="J44" s="26"/>
      <c r="K44" s="26"/>
      <c r="Q44">
        <f>ROUND((Source!BZ26/100)*ROUND((Source!AF26*Source!AV26)*Source!I26, 2), 2)</f>
        <v>5816.83</v>
      </c>
      <c r="R44">
        <f>Source!X26</f>
        <v>5816.83</v>
      </c>
      <c r="S44">
        <f>ROUND((Source!CA26/100)*ROUND((Source!AF26*Source!AV26)*Source!I26, 2), 2)</f>
        <v>830.98</v>
      </c>
      <c r="T44">
        <f>Source!Y26</f>
        <v>830.98</v>
      </c>
      <c r="U44">
        <f>ROUND((175/100)*ROUND((Source!AE26*Source!AV26)*Source!I26, 2), 2)</f>
        <v>1839.86</v>
      </c>
      <c r="V44">
        <f>ROUND((108/100)*ROUND(Source!CS26*Source!I26, 2), 2)</f>
        <v>1135.46</v>
      </c>
    </row>
    <row r="45" spans="1:22">
      <c r="C45" s="33" t="str">
        <f>"Объем: "&amp;Source!I26&amp;"=12/"&amp;"100"</f>
        <v>Объем: 0,12=12/100</v>
      </c>
    </row>
    <row r="46" spans="1:22" ht="14.25">
      <c r="A46" s="21"/>
      <c r="B46" s="22"/>
      <c r="C46" s="22" t="s">
        <v>200</v>
      </c>
      <c r="D46" s="23"/>
      <c r="E46" s="10"/>
      <c r="F46" s="25">
        <f>Source!AO26</f>
        <v>69247.89</v>
      </c>
      <c r="G46" s="24" t="str">
        <f>Source!DG26</f>
        <v/>
      </c>
      <c r="H46" s="10">
        <f>Source!AV26</f>
        <v>1</v>
      </c>
      <c r="I46" s="10">
        <f>IF(Source!BA26&lt;&gt; 0, Source!BA26, 1)</f>
        <v>1</v>
      </c>
      <c r="J46" s="26">
        <f>Source!S26</f>
        <v>8309.75</v>
      </c>
      <c r="K46" s="26"/>
    </row>
    <row r="47" spans="1:22" ht="14.25">
      <c r="A47" s="21"/>
      <c r="B47" s="22"/>
      <c r="C47" s="22" t="s">
        <v>201</v>
      </c>
      <c r="D47" s="23"/>
      <c r="E47" s="10"/>
      <c r="F47" s="25">
        <f>Source!AM26</f>
        <v>17727.330000000002</v>
      </c>
      <c r="G47" s="24" t="str">
        <f>Source!DE26</f>
        <v/>
      </c>
      <c r="H47" s="10">
        <f>Source!AV26</f>
        <v>1</v>
      </c>
      <c r="I47" s="10">
        <f>IF(Source!BB26&lt;&gt; 0, Source!BB26, 1)</f>
        <v>1</v>
      </c>
      <c r="J47" s="26">
        <f>Source!Q26</f>
        <v>2127.2800000000002</v>
      </c>
      <c r="K47" s="26"/>
    </row>
    <row r="48" spans="1:22" ht="14.25">
      <c r="A48" s="21"/>
      <c r="B48" s="22"/>
      <c r="C48" s="22" t="s">
        <v>202</v>
      </c>
      <c r="D48" s="23"/>
      <c r="E48" s="10"/>
      <c r="F48" s="25">
        <f>Source!AN26</f>
        <v>8761.2199999999993</v>
      </c>
      <c r="G48" s="24" t="str">
        <f>Source!DF26</f>
        <v/>
      </c>
      <c r="H48" s="10">
        <f>Source!AV26</f>
        <v>1</v>
      </c>
      <c r="I48" s="10">
        <f>IF(Source!BS26&lt;&gt; 0, Source!BS26, 1)</f>
        <v>1</v>
      </c>
      <c r="J48" s="27">
        <f>Source!R26</f>
        <v>1051.3499999999999</v>
      </c>
      <c r="K48" s="26"/>
    </row>
    <row r="49" spans="1:22" ht="14.25">
      <c r="A49" s="21"/>
      <c r="B49" s="22"/>
      <c r="C49" s="22" t="s">
        <v>203</v>
      </c>
      <c r="D49" s="23"/>
      <c r="E49" s="10"/>
      <c r="F49" s="25">
        <f>Source!AL26</f>
        <v>185650.06</v>
      </c>
      <c r="G49" s="24" t="str">
        <f>Source!DD26</f>
        <v/>
      </c>
      <c r="H49" s="10">
        <f>Source!AW26</f>
        <v>1</v>
      </c>
      <c r="I49" s="10">
        <f>IF(Source!BC26&lt;&gt; 0, Source!BC26, 1)</f>
        <v>1</v>
      </c>
      <c r="J49" s="26">
        <f>Source!P26</f>
        <v>22278.01</v>
      </c>
      <c r="K49" s="26"/>
    </row>
    <row r="50" spans="1:22" ht="42.75">
      <c r="A50" s="21" t="str">
        <f>Source!E27</f>
        <v>2,1</v>
      </c>
      <c r="B50" s="22" t="str">
        <f>Source!F27</f>
        <v>по счету поставщика</v>
      </c>
      <c r="C50" s="22" t="s">
        <v>211</v>
      </c>
      <c r="D50" s="23" t="str">
        <f>Source!H27</f>
        <v>ШТ</v>
      </c>
      <c r="E50" s="10">
        <f>Source!I27</f>
        <v>7</v>
      </c>
      <c r="F50" s="25">
        <f>Source!AK27</f>
        <v>458.33</v>
      </c>
      <c r="G50" s="28" t="s">
        <v>4</v>
      </c>
      <c r="H50" s="10">
        <f>Source!AW27</f>
        <v>1</v>
      </c>
      <c r="I50" s="10">
        <f>IF(Source!BC27&lt;&gt; 0, Source!BC27, 1)</f>
        <v>1</v>
      </c>
      <c r="J50" s="26">
        <f>Source!O27</f>
        <v>3208.31</v>
      </c>
      <c r="K50" s="26"/>
      <c r="Q50">
        <f>ROUND((Source!BZ27/100)*ROUND((Source!AF27*Source!AV27)*Source!I27, 2), 2)</f>
        <v>0</v>
      </c>
      <c r="R50">
        <f>Source!X27</f>
        <v>0</v>
      </c>
      <c r="S50">
        <f>ROUND((Source!CA27/100)*ROUND((Source!AF27*Source!AV27)*Source!I27, 2), 2)</f>
        <v>0</v>
      </c>
      <c r="T50">
        <f>Source!Y27</f>
        <v>0</v>
      </c>
      <c r="U50">
        <f>ROUND((175/100)*ROUND((Source!AE27*Source!AV27)*Source!I27, 2), 2)</f>
        <v>0</v>
      </c>
      <c r="V50">
        <f>ROUND((108/100)*ROUND(Source!CS27*Source!I27, 2), 2)</f>
        <v>0</v>
      </c>
    </row>
    <row r="51" spans="1:22" ht="42.75">
      <c r="A51" s="21" t="str">
        <f>Source!E28</f>
        <v>2,2</v>
      </c>
      <c r="B51" s="22" t="str">
        <f>Source!F28</f>
        <v>по счету поставщика</v>
      </c>
      <c r="C51" s="22" t="s">
        <v>212</v>
      </c>
      <c r="D51" s="23" t="str">
        <f>Source!H28</f>
        <v>ШТ</v>
      </c>
      <c r="E51" s="10">
        <f>Source!I28</f>
        <v>8</v>
      </c>
      <c r="F51" s="25">
        <f>Source!AK28</f>
        <v>875</v>
      </c>
      <c r="G51" s="28" t="s">
        <v>4</v>
      </c>
      <c r="H51" s="10">
        <f>Source!AW28</f>
        <v>1</v>
      </c>
      <c r="I51" s="10">
        <f>IF(Source!BC28&lt;&gt; 0, Source!BC28, 1)</f>
        <v>1</v>
      </c>
      <c r="J51" s="26">
        <f>Source!O28</f>
        <v>7000</v>
      </c>
      <c r="K51" s="26"/>
      <c r="Q51">
        <f>ROUND((Source!BZ28/100)*ROUND((Source!AF28*Source!AV28)*Source!I28, 2), 2)</f>
        <v>0</v>
      </c>
      <c r="R51">
        <f>Source!X28</f>
        <v>0</v>
      </c>
      <c r="S51">
        <f>ROUND((Source!CA28/100)*ROUND((Source!AF28*Source!AV28)*Source!I28, 2), 2)</f>
        <v>0</v>
      </c>
      <c r="T51">
        <f>Source!Y28</f>
        <v>0</v>
      </c>
      <c r="U51">
        <f>ROUND((175/100)*ROUND((Source!AE28*Source!AV28)*Source!I28, 2), 2)</f>
        <v>0</v>
      </c>
      <c r="V51">
        <f>ROUND((108/100)*ROUND(Source!CS28*Source!I28, 2), 2)</f>
        <v>0</v>
      </c>
    </row>
    <row r="52" spans="1:22" ht="42.75">
      <c r="A52" s="21" t="str">
        <f>Source!E29</f>
        <v>2,3</v>
      </c>
      <c r="B52" s="22" t="str">
        <f>Source!F29</f>
        <v>по счету поставщика</v>
      </c>
      <c r="C52" s="22" t="s">
        <v>213</v>
      </c>
      <c r="D52" s="23" t="str">
        <f>Source!H29</f>
        <v>ШТ</v>
      </c>
      <c r="E52" s="10">
        <f>Source!I29</f>
        <v>7</v>
      </c>
      <c r="F52" s="25">
        <f>Source!AK29</f>
        <v>583.33000000000004</v>
      </c>
      <c r="G52" s="28" t="s">
        <v>4</v>
      </c>
      <c r="H52" s="10">
        <f>Source!AW29</f>
        <v>1</v>
      </c>
      <c r="I52" s="10">
        <f>IF(Source!BC29&lt;&gt; 0, Source!BC29, 1)</f>
        <v>1</v>
      </c>
      <c r="J52" s="26">
        <f>Source!O29</f>
        <v>4083.31</v>
      </c>
      <c r="K52" s="26"/>
      <c r="Q52">
        <f>ROUND((Source!BZ29/100)*ROUND((Source!AF29*Source!AV29)*Source!I29, 2), 2)</f>
        <v>0</v>
      </c>
      <c r="R52">
        <f>Source!X29</f>
        <v>0</v>
      </c>
      <c r="S52">
        <f>ROUND((Source!CA29/100)*ROUND((Source!AF29*Source!AV29)*Source!I29, 2), 2)</f>
        <v>0</v>
      </c>
      <c r="T52">
        <f>Source!Y29</f>
        <v>0</v>
      </c>
      <c r="U52">
        <f>ROUND((175/100)*ROUND((Source!AE29*Source!AV29)*Source!I29, 2), 2)</f>
        <v>0</v>
      </c>
      <c r="V52">
        <f>ROUND((108/100)*ROUND(Source!CS29*Source!I29, 2), 2)</f>
        <v>0</v>
      </c>
    </row>
    <row r="53" spans="1:22" ht="42.75">
      <c r="A53" s="21" t="str">
        <f>Source!E30</f>
        <v>2,4</v>
      </c>
      <c r="B53" s="22" t="str">
        <f>Source!F30</f>
        <v>по счету поставщика</v>
      </c>
      <c r="C53" s="22" t="s">
        <v>214</v>
      </c>
      <c r="D53" s="23" t="str">
        <f>Source!H30</f>
        <v>ШТ</v>
      </c>
      <c r="E53" s="10">
        <f>Source!I30</f>
        <v>2</v>
      </c>
      <c r="F53" s="25">
        <f>Source!AK30</f>
        <v>733.33</v>
      </c>
      <c r="G53" s="28" t="s">
        <v>4</v>
      </c>
      <c r="H53" s="10">
        <f>Source!AW30</f>
        <v>1</v>
      </c>
      <c r="I53" s="10">
        <f>IF(Source!BC30&lt;&gt; 0, Source!BC30, 1)</f>
        <v>1</v>
      </c>
      <c r="J53" s="26">
        <f>Source!O30</f>
        <v>1466.66</v>
      </c>
      <c r="K53" s="26"/>
      <c r="Q53">
        <f>ROUND((Source!BZ30/100)*ROUND((Source!AF30*Source!AV30)*Source!I30, 2), 2)</f>
        <v>0</v>
      </c>
      <c r="R53">
        <f>Source!X30</f>
        <v>0</v>
      </c>
      <c r="S53">
        <f>ROUND((Source!CA30/100)*ROUND((Source!AF30*Source!AV30)*Source!I30, 2), 2)</f>
        <v>0</v>
      </c>
      <c r="T53">
        <f>Source!Y30</f>
        <v>0</v>
      </c>
      <c r="U53">
        <f>ROUND((175/100)*ROUND((Source!AE30*Source!AV30)*Source!I30, 2), 2)</f>
        <v>0</v>
      </c>
      <c r="V53">
        <f>ROUND((108/100)*ROUND(Source!CS30*Source!I30, 2), 2)</f>
        <v>0</v>
      </c>
    </row>
    <row r="54" spans="1:22" ht="14.25">
      <c r="A54" s="21"/>
      <c r="B54" s="22"/>
      <c r="C54" s="22" t="s">
        <v>205</v>
      </c>
      <c r="D54" s="23" t="s">
        <v>206</v>
      </c>
      <c r="E54" s="10">
        <f>Source!AT26</f>
        <v>70</v>
      </c>
      <c r="F54" s="25"/>
      <c r="G54" s="24"/>
      <c r="H54" s="10"/>
      <c r="I54" s="10"/>
      <c r="J54" s="26">
        <f>SUM(R44:R53)</f>
        <v>5816.83</v>
      </c>
      <c r="K54" s="26"/>
    </row>
    <row r="55" spans="1:22" ht="14.25">
      <c r="A55" s="21"/>
      <c r="B55" s="22"/>
      <c r="C55" s="22" t="s">
        <v>207</v>
      </c>
      <c r="D55" s="23" t="s">
        <v>206</v>
      </c>
      <c r="E55" s="10">
        <f>Source!AU26</f>
        <v>10</v>
      </c>
      <c r="F55" s="25"/>
      <c r="G55" s="24"/>
      <c r="H55" s="10"/>
      <c r="I55" s="10"/>
      <c r="J55" s="26">
        <f>SUM(T44:T54)</f>
        <v>830.98</v>
      </c>
      <c r="K55" s="26"/>
    </row>
    <row r="56" spans="1:22" ht="14.25">
      <c r="A56" s="21"/>
      <c r="B56" s="22"/>
      <c r="C56" s="22" t="s">
        <v>208</v>
      </c>
      <c r="D56" s="23" t="s">
        <v>206</v>
      </c>
      <c r="E56" s="10">
        <f>108</f>
        <v>108</v>
      </c>
      <c r="F56" s="25"/>
      <c r="G56" s="24"/>
      <c r="H56" s="10"/>
      <c r="I56" s="10"/>
      <c r="J56" s="26">
        <f>SUM(V44:V55)</f>
        <v>1135.46</v>
      </c>
      <c r="K56" s="26"/>
    </row>
    <row r="57" spans="1:22" ht="14.25">
      <c r="A57" s="21"/>
      <c r="B57" s="22"/>
      <c r="C57" s="22" t="s">
        <v>209</v>
      </c>
      <c r="D57" s="23" t="s">
        <v>210</v>
      </c>
      <c r="E57" s="10">
        <f>Source!AQ26</f>
        <v>342.54</v>
      </c>
      <c r="F57" s="25"/>
      <c r="G57" s="24" t="str">
        <f>Source!DI26</f>
        <v/>
      </c>
      <c r="H57" s="10">
        <f>Source!AV26</f>
        <v>1</v>
      </c>
      <c r="I57" s="10"/>
      <c r="J57" s="26"/>
      <c r="K57" s="26">
        <f>Source!U26</f>
        <v>41.104800000000004</v>
      </c>
    </row>
    <row r="58" spans="1:22" ht="15">
      <c r="A58" s="31"/>
      <c r="B58" s="31"/>
      <c r="C58" s="31"/>
      <c r="D58" s="31"/>
      <c r="E58" s="31"/>
      <c r="F58" s="31"/>
      <c r="G58" s="31"/>
      <c r="H58" s="31"/>
      <c r="I58" s="84">
        <f>J46+J47+J49+J54+J55+J56+SUM(J50:J53)</f>
        <v>56256.590000000004</v>
      </c>
      <c r="J58" s="84"/>
      <c r="K58" s="32">
        <f>IF(Source!I26&lt;&gt;0, ROUND(I58/Source!I26, 2), 0)</f>
        <v>468804.92</v>
      </c>
      <c r="P58" s="29">
        <f>I58</f>
        <v>56256.590000000004</v>
      </c>
    </row>
    <row r="59" spans="1:22" ht="57">
      <c r="A59" s="21" t="str">
        <f>Source!E31</f>
        <v>3</v>
      </c>
      <c r="B59" s="22" t="str">
        <f>Source!F31</f>
        <v>2.1-3203-12-4/1</v>
      </c>
      <c r="C59" s="22" t="str">
        <f>Source!G31</f>
        <v>Нанесение линии обозначения мест парковки машин термопластиком без стеклошариков (парковочные места для инвалидов)</v>
      </c>
      <c r="D59" s="23" t="str">
        <f>Source!H31</f>
        <v>м2</v>
      </c>
      <c r="E59" s="10">
        <f>Source!I31</f>
        <v>60</v>
      </c>
      <c r="F59" s="25"/>
      <c r="G59" s="24"/>
      <c r="H59" s="10"/>
      <c r="I59" s="10"/>
      <c r="J59" s="26"/>
      <c r="K59" s="26"/>
      <c r="Q59">
        <f>ROUND((Source!BZ31/100)*ROUND((Source!AF31*Source!AV31)*Source!I31, 2), 2)</f>
        <v>10667.04</v>
      </c>
      <c r="R59">
        <f>Source!X31</f>
        <v>10667.04</v>
      </c>
      <c r="S59">
        <f>ROUND((Source!CA31/100)*ROUND((Source!AF31*Source!AV31)*Source!I31, 2), 2)</f>
        <v>1333.38</v>
      </c>
      <c r="T59">
        <f>Source!Y31</f>
        <v>1333.38</v>
      </c>
      <c r="U59">
        <f>ROUND((175/100)*ROUND((Source!AE31*Source!AV31)*Source!I31, 2), 2)</f>
        <v>42956.55</v>
      </c>
      <c r="V59">
        <f>ROUND((108/100)*ROUND(Source!CS31*Source!I31, 2), 2)</f>
        <v>26510.33</v>
      </c>
    </row>
    <row r="60" spans="1:22" ht="14.25">
      <c r="A60" s="21"/>
      <c r="B60" s="22"/>
      <c r="C60" s="22" t="s">
        <v>200</v>
      </c>
      <c r="D60" s="23"/>
      <c r="E60" s="10"/>
      <c r="F60" s="25">
        <f>Source!AO31</f>
        <v>222.23</v>
      </c>
      <c r="G60" s="24" t="str">
        <f>Source!DG31</f>
        <v/>
      </c>
      <c r="H60" s="10">
        <f>Source!AV31</f>
        <v>1</v>
      </c>
      <c r="I60" s="10">
        <f>IF(Source!BA31&lt;&gt; 0, Source!BA31, 1)</f>
        <v>1</v>
      </c>
      <c r="J60" s="26">
        <f>Source!S31</f>
        <v>13333.8</v>
      </c>
      <c r="K60" s="26"/>
    </row>
    <row r="61" spans="1:22" ht="14.25">
      <c r="A61" s="21"/>
      <c r="B61" s="22"/>
      <c r="C61" s="22" t="s">
        <v>201</v>
      </c>
      <c r="D61" s="23"/>
      <c r="E61" s="10"/>
      <c r="F61" s="25">
        <f>Source!AM31</f>
        <v>829.22</v>
      </c>
      <c r="G61" s="24" t="str">
        <f>Source!DE31</f>
        <v/>
      </c>
      <c r="H61" s="10">
        <f>Source!AV31</f>
        <v>1</v>
      </c>
      <c r="I61" s="10">
        <f>IF(Source!BB31&lt;&gt; 0, Source!BB31, 1)</f>
        <v>1</v>
      </c>
      <c r="J61" s="26">
        <f>Source!Q31</f>
        <v>49753.2</v>
      </c>
      <c r="K61" s="26"/>
    </row>
    <row r="62" spans="1:22" ht="14.25">
      <c r="A62" s="21"/>
      <c r="B62" s="22"/>
      <c r="C62" s="22" t="s">
        <v>202</v>
      </c>
      <c r="D62" s="23"/>
      <c r="E62" s="10"/>
      <c r="F62" s="25">
        <f>Source!AN31</f>
        <v>409.11</v>
      </c>
      <c r="G62" s="24" t="str">
        <f>Source!DF31</f>
        <v/>
      </c>
      <c r="H62" s="10">
        <f>Source!AV31</f>
        <v>1</v>
      </c>
      <c r="I62" s="10">
        <f>IF(Source!BS31&lt;&gt; 0, Source!BS31, 1)</f>
        <v>1</v>
      </c>
      <c r="J62" s="27">
        <f>Source!R31</f>
        <v>24546.6</v>
      </c>
      <c r="K62" s="26"/>
    </row>
    <row r="63" spans="1:22" ht="14.25">
      <c r="A63" s="21"/>
      <c r="B63" s="22"/>
      <c r="C63" s="22" t="s">
        <v>203</v>
      </c>
      <c r="D63" s="23"/>
      <c r="E63" s="10"/>
      <c r="F63" s="25">
        <f>Source!AL31</f>
        <v>473.38</v>
      </c>
      <c r="G63" s="24" t="str">
        <f>Source!DD31</f>
        <v/>
      </c>
      <c r="H63" s="10">
        <f>Source!AW31</f>
        <v>1</v>
      </c>
      <c r="I63" s="10">
        <f>IF(Source!BC31&lt;&gt; 0, Source!BC31, 1)</f>
        <v>1</v>
      </c>
      <c r="J63" s="26">
        <f>Source!P31</f>
        <v>28402.799999999999</v>
      </c>
      <c r="K63" s="26"/>
    </row>
    <row r="64" spans="1:22" ht="14.25">
      <c r="A64" s="21"/>
      <c r="B64" s="22"/>
      <c r="C64" s="22" t="s">
        <v>205</v>
      </c>
      <c r="D64" s="23" t="s">
        <v>206</v>
      </c>
      <c r="E64" s="10">
        <f>Source!AT31</f>
        <v>80</v>
      </c>
      <c r="F64" s="25"/>
      <c r="G64" s="24"/>
      <c r="H64" s="10"/>
      <c r="I64" s="10"/>
      <c r="J64" s="26">
        <f>SUM(R59:R63)</f>
        <v>10667.04</v>
      </c>
      <c r="K64" s="26"/>
    </row>
    <row r="65" spans="1:32" ht="14.25">
      <c r="A65" s="21"/>
      <c r="B65" s="22"/>
      <c r="C65" s="22" t="s">
        <v>207</v>
      </c>
      <c r="D65" s="23" t="s">
        <v>206</v>
      </c>
      <c r="E65" s="10">
        <f>Source!AU31</f>
        <v>10</v>
      </c>
      <c r="F65" s="25"/>
      <c r="G65" s="24"/>
      <c r="H65" s="10"/>
      <c r="I65" s="10"/>
      <c r="J65" s="26">
        <f>SUM(T59:T64)</f>
        <v>1333.38</v>
      </c>
      <c r="K65" s="26"/>
    </row>
    <row r="66" spans="1:32" ht="14.25">
      <c r="A66" s="21"/>
      <c r="B66" s="22"/>
      <c r="C66" s="22" t="s">
        <v>208</v>
      </c>
      <c r="D66" s="23" t="s">
        <v>206</v>
      </c>
      <c r="E66" s="10">
        <f>108</f>
        <v>108</v>
      </c>
      <c r="F66" s="25"/>
      <c r="G66" s="24"/>
      <c r="H66" s="10"/>
      <c r="I66" s="10"/>
      <c r="J66" s="26">
        <f>SUM(V59:V65)</f>
        <v>26510.33</v>
      </c>
      <c r="K66" s="26"/>
    </row>
    <row r="67" spans="1:32" ht="14.25">
      <c r="A67" s="21"/>
      <c r="B67" s="22"/>
      <c r="C67" s="22" t="s">
        <v>209</v>
      </c>
      <c r="D67" s="23" t="s">
        <v>210</v>
      </c>
      <c r="E67" s="10">
        <f>Source!AQ31</f>
        <v>1.06</v>
      </c>
      <c r="F67" s="25"/>
      <c r="G67" s="24" t="str">
        <f>Source!DI31</f>
        <v/>
      </c>
      <c r="H67" s="10">
        <f>Source!AV31</f>
        <v>1</v>
      </c>
      <c r="I67" s="10"/>
      <c r="J67" s="26"/>
      <c r="K67" s="26">
        <f>Source!U31</f>
        <v>63.6</v>
      </c>
    </row>
    <row r="68" spans="1:32" ht="15">
      <c r="A68" s="31"/>
      <c r="B68" s="31"/>
      <c r="C68" s="31"/>
      <c r="D68" s="31"/>
      <c r="E68" s="31"/>
      <c r="F68" s="31"/>
      <c r="G68" s="31"/>
      <c r="H68" s="31"/>
      <c r="I68" s="84">
        <f>J60+J61+J63+J64+J65+J66</f>
        <v>130000.55</v>
      </c>
      <c r="J68" s="84"/>
      <c r="K68" s="32">
        <f>IF(Source!I31&lt;&gt;0, ROUND(I68/Source!I31, 2), 0)</f>
        <v>2166.6799999999998</v>
      </c>
      <c r="P68" s="29">
        <f>I68</f>
        <v>130000.55</v>
      </c>
    </row>
    <row r="70" spans="1:32" ht="15">
      <c r="A70" s="89" t="str">
        <f>CONCATENATE("Итого по локальной смете: ",IF(Source!G33&lt;&gt;"Новая локальная смета", Source!G33, ""))</f>
        <v xml:space="preserve">Итого по локальной смете: </v>
      </c>
      <c r="B70" s="89"/>
      <c r="C70" s="89"/>
      <c r="D70" s="89"/>
      <c r="E70" s="89"/>
      <c r="F70" s="89"/>
      <c r="G70" s="89"/>
      <c r="H70" s="89"/>
      <c r="I70" s="87">
        <v>452540.01</v>
      </c>
      <c r="J70" s="88"/>
      <c r="K70" s="34"/>
    </row>
    <row r="73" spans="1:32" ht="15">
      <c r="A73" s="89" t="str">
        <f>CONCATENATE("Итого по смете: ",IF(Source!G63&lt;&gt;"Новый объект", Source!G63, ""))</f>
        <v>Итого по смете: Устройство разметки на стоянках ГБУЗ "ТБ им. А.Е. Рабухина ДЗМ" в 2021г.</v>
      </c>
      <c r="B73" s="89"/>
      <c r="C73" s="89"/>
      <c r="D73" s="89"/>
      <c r="E73" s="89"/>
      <c r="F73" s="89"/>
      <c r="G73" s="89"/>
      <c r="H73" s="89"/>
      <c r="I73" s="87">
        <v>452540.01</v>
      </c>
      <c r="J73" s="88"/>
      <c r="K73" s="34"/>
      <c r="AF73" s="35" t="str">
        <f>CONCATENATE("Итого по смете: ",IF(Source!G63&lt;&gt;"Новый объект", Source!G63, ""))</f>
        <v>Итого по смете: Устройство разметки на стоянках ГБУЗ "ТБ им. А.Е. Рабухина ДЗМ" в 2021г.</v>
      </c>
    </row>
    <row r="74" spans="1:32" ht="14.25">
      <c r="C74" s="80" t="str">
        <f>Source!H92</f>
        <v>Итого по смете</v>
      </c>
      <c r="D74" s="80"/>
      <c r="E74" s="80"/>
      <c r="F74" s="80"/>
      <c r="G74" s="80"/>
      <c r="H74" s="80"/>
      <c r="I74" s="70">
        <v>452540.01</v>
      </c>
      <c r="J74" s="70"/>
    </row>
    <row r="75" spans="1:32" ht="14.25">
      <c r="C75" s="80" t="str">
        <f>Source!H93</f>
        <v>НДС 20%</v>
      </c>
      <c r="D75" s="80"/>
      <c r="E75" s="80"/>
      <c r="F75" s="80"/>
      <c r="G75" s="80"/>
      <c r="H75" s="80"/>
      <c r="I75" s="70">
        <f>IF(Source!F93=0, "", Source!F93)</f>
        <v>90507.93</v>
      </c>
      <c r="J75" s="70"/>
    </row>
    <row r="76" spans="1:32" ht="14.25">
      <c r="C76" s="80" t="str">
        <f>Source!H94</f>
        <v>Всего по смете</v>
      </c>
      <c r="D76" s="80"/>
      <c r="E76" s="80"/>
      <c r="F76" s="80"/>
      <c r="G76" s="80"/>
      <c r="H76" s="80"/>
      <c r="I76" s="70">
        <v>543047.93999999994</v>
      </c>
      <c r="J76" s="70"/>
    </row>
    <row r="79" spans="1:32" ht="14.25">
      <c r="A79" s="85" t="s">
        <v>215</v>
      </c>
      <c r="B79" s="85"/>
      <c r="C79" s="36" t="str">
        <f>IF(Source!AC12&lt;&gt;"", Source!AC12," ")</f>
        <v>Инженер ИТО</v>
      </c>
      <c r="D79" s="36"/>
      <c r="E79" s="36"/>
      <c r="F79" s="36"/>
      <c r="G79" s="36"/>
      <c r="H79" s="11" t="str">
        <f>IF(Source!AB12&lt;&gt;"", Source!AB12," ")</f>
        <v>Прибыткова М.В.</v>
      </c>
      <c r="I79" s="11"/>
      <c r="J79" s="11"/>
      <c r="K79" s="11"/>
    </row>
    <row r="80" spans="1:32" ht="14.25">
      <c r="A80" s="11"/>
      <c r="B80" s="11"/>
      <c r="C80" s="86" t="s">
        <v>216</v>
      </c>
      <c r="D80" s="86"/>
      <c r="E80" s="86"/>
      <c r="F80" s="86"/>
      <c r="G80" s="86"/>
      <c r="H80" s="11"/>
      <c r="I80" s="11"/>
      <c r="J80" s="11"/>
      <c r="K80" s="11"/>
    </row>
    <row r="81" spans="1:11" ht="14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4.25">
      <c r="A82" s="85" t="s">
        <v>217</v>
      </c>
      <c r="B82" s="85"/>
      <c r="C82" s="36" t="str">
        <f>IF(Source!AE12&lt;&gt;"", Source!AE12," ")</f>
        <v>Зам.гл.вр.по ХВ</v>
      </c>
      <c r="D82" s="36"/>
      <c r="E82" s="36"/>
      <c r="F82" s="36"/>
      <c r="G82" s="36"/>
      <c r="H82" s="11" t="str">
        <f>IF(Source!AD12&lt;&gt;"", Source!AD12," ")</f>
        <v>Жуков И.Н.</v>
      </c>
      <c r="I82" s="11"/>
      <c r="J82" s="11"/>
      <c r="K82" s="11"/>
    </row>
    <row r="83" spans="1:11" ht="14.25">
      <c r="A83" s="11"/>
      <c r="B83" s="11"/>
      <c r="C83" s="86" t="s">
        <v>216</v>
      </c>
      <c r="D83" s="86"/>
      <c r="E83" s="86"/>
      <c r="F83" s="86"/>
      <c r="G83" s="86"/>
      <c r="H83" s="11"/>
      <c r="I83" s="11"/>
      <c r="J83" s="11"/>
      <c r="K83" s="11"/>
    </row>
  </sheetData>
  <mergeCells count="55">
    <mergeCell ref="C83:G83"/>
    <mergeCell ref="G4:K5"/>
    <mergeCell ref="C75:H75"/>
    <mergeCell ref="I75:J75"/>
    <mergeCell ref="C76:H76"/>
    <mergeCell ref="I76:J76"/>
    <mergeCell ref="C80:G80"/>
    <mergeCell ref="I70:J70"/>
    <mergeCell ref="A70:H70"/>
    <mergeCell ref="I73:J73"/>
    <mergeCell ref="A73:H73"/>
    <mergeCell ref="C74:H74"/>
    <mergeCell ref="I74:J74"/>
    <mergeCell ref="I27:I29"/>
    <mergeCell ref="A32:K32"/>
    <mergeCell ref="I43:J43"/>
    <mergeCell ref="I58:J58"/>
    <mergeCell ref="I68:J68"/>
    <mergeCell ref="A82:B82"/>
    <mergeCell ref="A79:B79"/>
    <mergeCell ref="F24:H24"/>
    <mergeCell ref="I24:J24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J27:J29"/>
    <mergeCell ref="F20:H20"/>
    <mergeCell ref="I20:J20"/>
    <mergeCell ref="F22:H22"/>
    <mergeCell ref="I22:J22"/>
    <mergeCell ref="F23:H23"/>
    <mergeCell ref="I23:J23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B6:E6"/>
    <mergeCell ref="G6:K6"/>
    <mergeCell ref="A15:K15"/>
    <mergeCell ref="A16:K16"/>
    <mergeCell ref="A18:K18"/>
  </mergeCells>
  <pageMargins left="0.4" right="0.2" top="0.4" bottom="0.4" header="0.2" footer="0.2"/>
  <pageSetup paperSize="9" scale="65" fitToHeight="0" orientation="portrait" verticalDpi="0" r:id="rId1"/>
  <headerFooter>
    <oddHeader>&amp;L&amp;8ГБУЗ "ТБ им.А.Е.Рабухина ДЗМ"  Доп. раб. место  MCCS-0027243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C23"/>
  <sheetViews>
    <sheetView workbookViewId="0"/>
  </sheetViews>
  <sheetFormatPr defaultColWidth="9.140625" defaultRowHeight="12.75"/>
  <cols>
    <col min="1" max="256" width="9.140625" customWidth="1"/>
  </cols>
  <sheetData>
    <row r="1" spans="1:107">
      <c r="A1">
        <f>ROW(Source!A24)</f>
        <v>24</v>
      </c>
      <c r="B1">
        <v>25859284</v>
      </c>
      <c r="C1">
        <v>25859513</v>
      </c>
      <c r="D1">
        <v>25400113</v>
      </c>
      <c r="E1">
        <v>27</v>
      </c>
      <c r="F1">
        <v>1</v>
      </c>
      <c r="G1">
        <v>27</v>
      </c>
      <c r="H1">
        <v>1</v>
      </c>
      <c r="I1" t="s">
        <v>117</v>
      </c>
      <c r="J1" t="s">
        <v>4</v>
      </c>
      <c r="K1" t="s">
        <v>118</v>
      </c>
      <c r="L1">
        <v>1191</v>
      </c>
      <c r="N1">
        <v>1013</v>
      </c>
      <c r="O1" t="s">
        <v>119</v>
      </c>
      <c r="P1" t="s">
        <v>119</v>
      </c>
      <c r="Q1">
        <v>1</v>
      </c>
      <c r="W1">
        <v>0</v>
      </c>
      <c r="X1">
        <v>476480486</v>
      </c>
      <c r="Y1">
        <v>0.88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4</v>
      </c>
      <c r="AT1">
        <v>0.88</v>
      </c>
      <c r="AU1" t="s">
        <v>4</v>
      </c>
      <c r="AV1">
        <v>1</v>
      </c>
      <c r="AW1">
        <v>2</v>
      </c>
      <c r="AX1">
        <v>25859514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Y1*Source!I24</f>
        <v>129.36000000000001</v>
      </c>
      <c r="CY1">
        <f>AD1</f>
        <v>0</v>
      </c>
      <c r="CZ1">
        <f>AH1</f>
        <v>0</v>
      </c>
      <c r="DA1">
        <f>AL1</f>
        <v>1</v>
      </c>
      <c r="DB1">
        <f t="shared" ref="DB1:DB7" si="0">ROUND(ROUND(AT1*CZ1,2),6)</f>
        <v>0</v>
      </c>
      <c r="DC1">
        <f t="shared" ref="DC1:DC7" si="1">ROUND(ROUND(AT1*AG1,2),6)</f>
        <v>0</v>
      </c>
    </row>
    <row r="2" spans="1:107">
      <c r="A2">
        <f>ROW(Source!A24)</f>
        <v>24</v>
      </c>
      <c r="B2">
        <v>25859284</v>
      </c>
      <c r="C2">
        <v>25859513</v>
      </c>
      <c r="D2">
        <v>25412869</v>
      </c>
      <c r="E2">
        <v>1</v>
      </c>
      <c r="F2">
        <v>1</v>
      </c>
      <c r="G2">
        <v>27</v>
      </c>
      <c r="H2">
        <v>2</v>
      </c>
      <c r="I2" t="s">
        <v>120</v>
      </c>
      <c r="J2" t="s">
        <v>121</v>
      </c>
      <c r="K2" t="s">
        <v>122</v>
      </c>
      <c r="L2">
        <v>1368</v>
      </c>
      <c r="N2">
        <v>1011</v>
      </c>
      <c r="O2" t="s">
        <v>123</v>
      </c>
      <c r="P2" t="s">
        <v>123</v>
      </c>
      <c r="Q2">
        <v>1</v>
      </c>
      <c r="W2">
        <v>0</v>
      </c>
      <c r="X2">
        <v>289144545</v>
      </c>
      <c r="Y2">
        <v>0.01</v>
      </c>
      <c r="AA2">
        <v>0</v>
      </c>
      <c r="AB2">
        <v>41.45</v>
      </c>
      <c r="AC2">
        <v>0.15</v>
      </c>
      <c r="AD2">
        <v>0</v>
      </c>
      <c r="AE2">
        <v>0</v>
      </c>
      <c r="AF2">
        <v>41.45</v>
      </c>
      <c r="AG2">
        <v>0.15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4</v>
      </c>
      <c r="AT2">
        <v>0.01</v>
      </c>
      <c r="AU2" t="s">
        <v>4</v>
      </c>
      <c r="AV2">
        <v>0</v>
      </c>
      <c r="AW2">
        <v>2</v>
      </c>
      <c r="AX2">
        <v>25859515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Y2*Source!I24</f>
        <v>1.47</v>
      </c>
      <c r="CY2">
        <f>AB2</f>
        <v>41.45</v>
      </c>
      <c r="CZ2">
        <f>AF2</f>
        <v>41.45</v>
      </c>
      <c r="DA2">
        <f>AJ2</f>
        <v>1</v>
      </c>
      <c r="DB2">
        <f t="shared" si="0"/>
        <v>0.41</v>
      </c>
      <c r="DC2">
        <f t="shared" si="1"/>
        <v>0</v>
      </c>
    </row>
    <row r="3" spans="1:107">
      <c r="A3">
        <f>ROW(Source!A24)</f>
        <v>24</v>
      </c>
      <c r="B3">
        <v>25859284</v>
      </c>
      <c r="C3">
        <v>25859513</v>
      </c>
      <c r="D3">
        <v>25413295</v>
      </c>
      <c r="E3">
        <v>1</v>
      </c>
      <c r="F3">
        <v>1</v>
      </c>
      <c r="G3">
        <v>27</v>
      </c>
      <c r="H3">
        <v>2</v>
      </c>
      <c r="I3" t="s">
        <v>124</v>
      </c>
      <c r="J3" t="s">
        <v>125</v>
      </c>
      <c r="K3" t="s">
        <v>126</v>
      </c>
      <c r="L3">
        <v>1368</v>
      </c>
      <c r="N3">
        <v>1011</v>
      </c>
      <c r="O3" t="s">
        <v>123</v>
      </c>
      <c r="P3" t="s">
        <v>123</v>
      </c>
      <c r="Q3">
        <v>1</v>
      </c>
      <c r="W3">
        <v>0</v>
      </c>
      <c r="X3">
        <v>-1222982568</v>
      </c>
      <c r="Y3">
        <v>0.04</v>
      </c>
      <c r="AA3">
        <v>0</v>
      </c>
      <c r="AB3">
        <v>7.44</v>
      </c>
      <c r="AC3">
        <v>0.98</v>
      </c>
      <c r="AD3">
        <v>0</v>
      </c>
      <c r="AE3">
        <v>0</v>
      </c>
      <c r="AF3">
        <v>7.44</v>
      </c>
      <c r="AG3">
        <v>0.98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4</v>
      </c>
      <c r="AT3">
        <v>0.04</v>
      </c>
      <c r="AU3" t="s">
        <v>4</v>
      </c>
      <c r="AV3">
        <v>0</v>
      </c>
      <c r="AW3">
        <v>2</v>
      </c>
      <c r="AX3">
        <v>25859516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Y3*Source!I24</f>
        <v>5.88</v>
      </c>
      <c r="CY3">
        <f>AB3</f>
        <v>7.44</v>
      </c>
      <c r="CZ3">
        <f>AF3</f>
        <v>7.44</v>
      </c>
      <c r="DA3">
        <f>AJ3</f>
        <v>1</v>
      </c>
      <c r="DB3">
        <f t="shared" si="0"/>
        <v>0.3</v>
      </c>
      <c r="DC3">
        <f t="shared" si="1"/>
        <v>0.04</v>
      </c>
    </row>
    <row r="4" spans="1:107">
      <c r="A4">
        <f>ROW(Source!A24)</f>
        <v>24</v>
      </c>
      <c r="B4">
        <v>25859284</v>
      </c>
      <c r="C4">
        <v>25859513</v>
      </c>
      <c r="D4">
        <v>25412629</v>
      </c>
      <c r="E4">
        <v>1</v>
      </c>
      <c r="F4">
        <v>1</v>
      </c>
      <c r="G4">
        <v>27</v>
      </c>
      <c r="H4">
        <v>2</v>
      </c>
      <c r="I4" t="s">
        <v>127</v>
      </c>
      <c r="J4" t="s">
        <v>128</v>
      </c>
      <c r="K4" t="s">
        <v>129</v>
      </c>
      <c r="L4">
        <v>1368</v>
      </c>
      <c r="N4">
        <v>1011</v>
      </c>
      <c r="O4" t="s">
        <v>123</v>
      </c>
      <c r="P4" t="s">
        <v>123</v>
      </c>
      <c r="Q4">
        <v>1</v>
      </c>
      <c r="W4">
        <v>0</v>
      </c>
      <c r="X4">
        <v>1527516419</v>
      </c>
      <c r="Y4">
        <v>0.04</v>
      </c>
      <c r="AA4">
        <v>0</v>
      </c>
      <c r="AB4">
        <v>281.77999999999997</v>
      </c>
      <c r="AC4">
        <v>10.65</v>
      </c>
      <c r="AD4">
        <v>0</v>
      </c>
      <c r="AE4">
        <v>0</v>
      </c>
      <c r="AF4">
        <v>281.77999999999997</v>
      </c>
      <c r="AG4">
        <v>10.65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4</v>
      </c>
      <c r="AT4">
        <v>0.04</v>
      </c>
      <c r="AU4" t="s">
        <v>4</v>
      </c>
      <c r="AV4">
        <v>0</v>
      </c>
      <c r="AW4">
        <v>2</v>
      </c>
      <c r="AX4">
        <v>25859517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Y4*Source!I24</f>
        <v>5.88</v>
      </c>
      <c r="CY4">
        <f>AB4</f>
        <v>281.77999999999997</v>
      </c>
      <c r="CZ4">
        <f>AF4</f>
        <v>281.77999999999997</v>
      </c>
      <c r="DA4">
        <f>AJ4</f>
        <v>1</v>
      </c>
      <c r="DB4">
        <f t="shared" si="0"/>
        <v>11.27</v>
      </c>
      <c r="DC4">
        <f t="shared" si="1"/>
        <v>0.43</v>
      </c>
    </row>
    <row r="5" spans="1:107">
      <c r="A5">
        <f>ROW(Source!A24)</f>
        <v>24</v>
      </c>
      <c r="B5">
        <v>25859284</v>
      </c>
      <c r="C5">
        <v>25859513</v>
      </c>
      <c r="D5">
        <v>25415402</v>
      </c>
      <c r="E5">
        <v>1</v>
      </c>
      <c r="F5">
        <v>1</v>
      </c>
      <c r="G5">
        <v>27</v>
      </c>
      <c r="H5">
        <v>3</v>
      </c>
      <c r="I5" t="s">
        <v>130</v>
      </c>
      <c r="J5" t="s">
        <v>131</v>
      </c>
      <c r="K5" t="s">
        <v>132</v>
      </c>
      <c r="L5">
        <v>1301</v>
      </c>
      <c r="N5">
        <v>1003</v>
      </c>
      <c r="O5" t="s">
        <v>133</v>
      </c>
      <c r="P5" t="s">
        <v>133</v>
      </c>
      <c r="Q5">
        <v>1</v>
      </c>
      <c r="W5">
        <v>0</v>
      </c>
      <c r="X5">
        <v>852130430</v>
      </c>
      <c r="Y5">
        <v>6.25</v>
      </c>
      <c r="AA5">
        <v>26.54</v>
      </c>
      <c r="AB5">
        <v>0</v>
      </c>
      <c r="AC5">
        <v>0</v>
      </c>
      <c r="AD5">
        <v>0</v>
      </c>
      <c r="AE5">
        <v>26.54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4</v>
      </c>
      <c r="AT5">
        <v>6.25</v>
      </c>
      <c r="AU5" t="s">
        <v>4</v>
      </c>
      <c r="AV5">
        <v>0</v>
      </c>
      <c r="AW5">
        <v>2</v>
      </c>
      <c r="AX5">
        <v>25859518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Y5*Source!I24</f>
        <v>918.75</v>
      </c>
      <c r="CY5">
        <f t="shared" ref="CY5:CY11" si="2">AA5</f>
        <v>26.54</v>
      </c>
      <c r="CZ5">
        <f t="shared" ref="CZ5:CZ11" si="3">AE5</f>
        <v>26.54</v>
      </c>
      <c r="DA5">
        <f t="shared" ref="DA5:DA11" si="4">AI5</f>
        <v>1</v>
      </c>
      <c r="DB5">
        <f t="shared" si="0"/>
        <v>165.88</v>
      </c>
      <c r="DC5">
        <f t="shared" si="1"/>
        <v>0</v>
      </c>
    </row>
    <row r="6" spans="1:107">
      <c r="A6">
        <f>ROW(Source!A24)</f>
        <v>24</v>
      </c>
      <c r="B6">
        <v>25859284</v>
      </c>
      <c r="C6">
        <v>25859513</v>
      </c>
      <c r="D6">
        <v>25415455</v>
      </c>
      <c r="E6">
        <v>1</v>
      </c>
      <c r="F6">
        <v>1</v>
      </c>
      <c r="G6">
        <v>27</v>
      </c>
      <c r="H6">
        <v>3</v>
      </c>
      <c r="I6" t="s">
        <v>134</v>
      </c>
      <c r="J6" t="s">
        <v>135</v>
      </c>
      <c r="K6" t="s">
        <v>136</v>
      </c>
      <c r="L6">
        <v>1346</v>
      </c>
      <c r="N6">
        <v>1009</v>
      </c>
      <c r="O6" t="s">
        <v>31</v>
      </c>
      <c r="P6" t="s">
        <v>31</v>
      </c>
      <c r="Q6">
        <v>1</v>
      </c>
      <c r="W6">
        <v>0</v>
      </c>
      <c r="X6">
        <v>647130367</v>
      </c>
      <c r="Y6">
        <v>8.2000000000000003E-2</v>
      </c>
      <c r="AA6">
        <v>851.18</v>
      </c>
      <c r="AB6">
        <v>0</v>
      </c>
      <c r="AC6">
        <v>0</v>
      </c>
      <c r="AD6">
        <v>0</v>
      </c>
      <c r="AE6">
        <v>851.18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4</v>
      </c>
      <c r="AT6">
        <v>8.2000000000000003E-2</v>
      </c>
      <c r="AU6" t="s">
        <v>4</v>
      </c>
      <c r="AV6">
        <v>0</v>
      </c>
      <c r="AW6">
        <v>2</v>
      </c>
      <c r="AX6">
        <v>25859519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Y6*Source!I24</f>
        <v>12.054</v>
      </c>
      <c r="CY6">
        <f t="shared" si="2"/>
        <v>851.18</v>
      </c>
      <c r="CZ6">
        <f t="shared" si="3"/>
        <v>851.18</v>
      </c>
      <c r="DA6">
        <f t="shared" si="4"/>
        <v>1</v>
      </c>
      <c r="DB6">
        <f t="shared" si="0"/>
        <v>69.8</v>
      </c>
      <c r="DC6">
        <f t="shared" si="1"/>
        <v>0</v>
      </c>
    </row>
    <row r="7" spans="1:107">
      <c r="A7">
        <f>ROW(Source!A24)</f>
        <v>24</v>
      </c>
      <c r="B7">
        <v>25859284</v>
      </c>
      <c r="C7">
        <v>25859513</v>
      </c>
      <c r="D7">
        <v>25415828</v>
      </c>
      <c r="E7">
        <v>1</v>
      </c>
      <c r="F7">
        <v>1</v>
      </c>
      <c r="G7">
        <v>27</v>
      </c>
      <c r="H7">
        <v>3</v>
      </c>
      <c r="I7" t="s">
        <v>137</v>
      </c>
      <c r="J7" t="s">
        <v>138</v>
      </c>
      <c r="K7" t="s">
        <v>139</v>
      </c>
      <c r="L7">
        <v>1348</v>
      </c>
      <c r="N7">
        <v>1009</v>
      </c>
      <c r="O7" t="s">
        <v>140</v>
      </c>
      <c r="P7" t="s">
        <v>140</v>
      </c>
      <c r="Q7">
        <v>1000</v>
      </c>
      <c r="W7">
        <v>0</v>
      </c>
      <c r="X7">
        <v>-1477556458</v>
      </c>
      <c r="Y7">
        <v>3.5E-4</v>
      </c>
      <c r="AA7">
        <v>68136.09</v>
      </c>
      <c r="AB7">
        <v>0</v>
      </c>
      <c r="AC7">
        <v>0</v>
      </c>
      <c r="AD7">
        <v>0</v>
      </c>
      <c r="AE7">
        <v>68136.09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4</v>
      </c>
      <c r="AT7">
        <v>3.5E-4</v>
      </c>
      <c r="AU7" t="s">
        <v>4</v>
      </c>
      <c r="AV7">
        <v>0</v>
      </c>
      <c r="AW7">
        <v>2</v>
      </c>
      <c r="AX7">
        <v>25859520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Y7*Source!I24</f>
        <v>5.1450000000000003E-2</v>
      </c>
      <c r="CY7">
        <f t="shared" si="2"/>
        <v>68136.09</v>
      </c>
      <c r="CZ7">
        <f t="shared" si="3"/>
        <v>68136.09</v>
      </c>
      <c r="DA7">
        <f t="shared" si="4"/>
        <v>1</v>
      </c>
      <c r="DB7">
        <f t="shared" si="0"/>
        <v>23.85</v>
      </c>
      <c r="DC7">
        <f t="shared" si="1"/>
        <v>0</v>
      </c>
    </row>
    <row r="8" spans="1:107">
      <c r="A8">
        <f>ROW(Source!A24)</f>
        <v>24</v>
      </c>
      <c r="B8">
        <v>25859284</v>
      </c>
      <c r="C8">
        <v>25859513</v>
      </c>
      <c r="D8">
        <v>25415863</v>
      </c>
      <c r="E8">
        <v>1</v>
      </c>
      <c r="F8">
        <v>1</v>
      </c>
      <c r="G8">
        <v>27</v>
      </c>
      <c r="H8">
        <v>3</v>
      </c>
      <c r="I8" t="s">
        <v>141</v>
      </c>
      <c r="J8" t="s">
        <v>142</v>
      </c>
      <c r="K8" t="s">
        <v>143</v>
      </c>
      <c r="L8">
        <v>1346</v>
      </c>
      <c r="N8">
        <v>1009</v>
      </c>
      <c r="O8" t="s">
        <v>31</v>
      </c>
      <c r="P8" t="s">
        <v>31</v>
      </c>
      <c r="Q8">
        <v>1</v>
      </c>
      <c r="W8">
        <v>0</v>
      </c>
      <c r="X8">
        <v>-851996094</v>
      </c>
      <c r="Y8">
        <v>2.472</v>
      </c>
      <c r="AA8">
        <v>222.01</v>
      </c>
      <c r="AB8">
        <v>0</v>
      </c>
      <c r="AC8">
        <v>0</v>
      </c>
      <c r="AD8">
        <v>0</v>
      </c>
      <c r="AE8">
        <v>222.01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4</v>
      </c>
      <c r="AT8">
        <v>4.12</v>
      </c>
      <c r="AU8" t="s">
        <v>144</v>
      </c>
      <c r="AV8">
        <v>0</v>
      </c>
      <c r="AW8">
        <v>2</v>
      </c>
      <c r="AX8">
        <v>25859521</v>
      </c>
      <c r="AY8">
        <v>1</v>
      </c>
      <c r="AZ8">
        <v>2048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Y8*Source!I24</f>
        <v>363.38400000000001</v>
      </c>
      <c r="CY8">
        <f t="shared" si="2"/>
        <v>222.01</v>
      </c>
      <c r="CZ8">
        <f t="shared" si="3"/>
        <v>222.01</v>
      </c>
      <c r="DA8">
        <f t="shared" si="4"/>
        <v>1</v>
      </c>
      <c r="DB8">
        <f>ROUND((ROUND(AT8*CZ8,2)*0.6),6)</f>
        <v>548.80799999999999</v>
      </c>
      <c r="DC8">
        <f>ROUND((ROUND(AT8*AG8,2)*0.6),6)</f>
        <v>0</v>
      </c>
    </row>
    <row r="9" spans="1:107">
      <c r="A9">
        <f>ROW(Source!A24)</f>
        <v>24</v>
      </c>
      <c r="B9">
        <v>25859284</v>
      </c>
      <c r="C9">
        <v>25859513</v>
      </c>
      <c r="D9">
        <v>25413543</v>
      </c>
      <c r="E9">
        <v>1</v>
      </c>
      <c r="F9">
        <v>1</v>
      </c>
      <c r="G9">
        <v>27</v>
      </c>
      <c r="H9">
        <v>3</v>
      </c>
      <c r="I9" t="s">
        <v>145</v>
      </c>
      <c r="J9" t="s">
        <v>146</v>
      </c>
      <c r="K9" t="s">
        <v>147</v>
      </c>
      <c r="L9">
        <v>1327</v>
      </c>
      <c r="N9">
        <v>1005</v>
      </c>
      <c r="O9" t="s">
        <v>23</v>
      </c>
      <c r="P9" t="s">
        <v>23</v>
      </c>
      <c r="Q9">
        <v>1</v>
      </c>
      <c r="W9">
        <v>0</v>
      </c>
      <c r="X9">
        <v>1191847735</v>
      </c>
      <c r="Y9">
        <v>0.31</v>
      </c>
      <c r="AA9">
        <v>28.26</v>
      </c>
      <c r="AB9">
        <v>0</v>
      </c>
      <c r="AC9">
        <v>0</v>
      </c>
      <c r="AD9">
        <v>0</v>
      </c>
      <c r="AE9">
        <v>28.26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4</v>
      </c>
      <c r="AT9">
        <v>0.31</v>
      </c>
      <c r="AU9" t="s">
        <v>4</v>
      </c>
      <c r="AV9">
        <v>0</v>
      </c>
      <c r="AW9">
        <v>2</v>
      </c>
      <c r="AX9">
        <v>25859522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Y9*Source!I24</f>
        <v>45.57</v>
      </c>
      <c r="CY9">
        <f t="shared" si="2"/>
        <v>28.26</v>
      </c>
      <c r="CZ9">
        <f t="shared" si="3"/>
        <v>28.26</v>
      </c>
      <c r="DA9">
        <f t="shared" si="4"/>
        <v>1</v>
      </c>
      <c r="DB9">
        <f t="shared" ref="DB9:DB23" si="5">ROUND(ROUND(AT9*CZ9,2),6)</f>
        <v>8.76</v>
      </c>
      <c r="DC9">
        <f t="shared" ref="DC9:DC23" si="6">ROUND(ROUND(AT9*AG9,2),6)</f>
        <v>0</v>
      </c>
    </row>
    <row r="10" spans="1:107">
      <c r="A10">
        <f>ROW(Source!A24)</f>
        <v>24</v>
      </c>
      <c r="B10">
        <v>25859284</v>
      </c>
      <c r="C10">
        <v>25859513</v>
      </c>
      <c r="D10">
        <v>25413794</v>
      </c>
      <c r="E10">
        <v>1</v>
      </c>
      <c r="F10">
        <v>1</v>
      </c>
      <c r="G10">
        <v>27</v>
      </c>
      <c r="H10">
        <v>3</v>
      </c>
      <c r="I10" t="s">
        <v>148</v>
      </c>
      <c r="J10" t="s">
        <v>149</v>
      </c>
      <c r="K10" t="s">
        <v>150</v>
      </c>
      <c r="L10">
        <v>1348</v>
      </c>
      <c r="N10">
        <v>1009</v>
      </c>
      <c r="O10" t="s">
        <v>140</v>
      </c>
      <c r="P10" t="s">
        <v>140</v>
      </c>
      <c r="Q10">
        <v>1000</v>
      </c>
      <c r="W10">
        <v>0</v>
      </c>
      <c r="X10">
        <v>-1038574955</v>
      </c>
      <c r="Y10">
        <v>1.34E-3</v>
      </c>
      <c r="AA10">
        <v>105650.49</v>
      </c>
      <c r="AB10">
        <v>0</v>
      </c>
      <c r="AC10">
        <v>0</v>
      </c>
      <c r="AD10">
        <v>0</v>
      </c>
      <c r="AE10">
        <v>105650.49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4</v>
      </c>
      <c r="AT10">
        <v>1.34E-3</v>
      </c>
      <c r="AU10" t="s">
        <v>4</v>
      </c>
      <c r="AV10">
        <v>0</v>
      </c>
      <c r="AW10">
        <v>2</v>
      </c>
      <c r="AX10">
        <v>25859523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Y10*Source!I24</f>
        <v>0.19698000000000002</v>
      </c>
      <c r="CY10">
        <f t="shared" si="2"/>
        <v>105650.49</v>
      </c>
      <c r="CZ10">
        <f t="shared" si="3"/>
        <v>105650.49</v>
      </c>
      <c r="DA10">
        <f t="shared" si="4"/>
        <v>1</v>
      </c>
      <c r="DB10">
        <f t="shared" si="5"/>
        <v>141.57</v>
      </c>
      <c r="DC10">
        <f t="shared" si="6"/>
        <v>0</v>
      </c>
    </row>
    <row r="11" spans="1:107">
      <c r="A11">
        <f>ROW(Source!A24)</f>
        <v>24</v>
      </c>
      <c r="B11">
        <v>25859284</v>
      </c>
      <c r="C11">
        <v>25859513</v>
      </c>
      <c r="D11">
        <v>0</v>
      </c>
      <c r="E11">
        <v>27</v>
      </c>
      <c r="F11">
        <v>1</v>
      </c>
      <c r="G11">
        <v>27</v>
      </c>
      <c r="H11">
        <v>3</v>
      </c>
      <c r="I11" t="s">
        <v>29</v>
      </c>
      <c r="J11" t="s">
        <v>4</v>
      </c>
      <c r="K11" t="s">
        <v>30</v>
      </c>
      <c r="L11">
        <v>1346</v>
      </c>
      <c r="N11">
        <v>1009</v>
      </c>
      <c r="O11" t="s">
        <v>31</v>
      </c>
      <c r="P11" t="s">
        <v>31</v>
      </c>
      <c r="Q11">
        <v>1</v>
      </c>
      <c r="W11">
        <v>0</v>
      </c>
      <c r="X11">
        <v>-2029778333</v>
      </c>
      <c r="Y11">
        <v>1.37</v>
      </c>
      <c r="AA11">
        <v>91.67</v>
      </c>
      <c r="AB11">
        <v>0</v>
      </c>
      <c r="AC11">
        <v>0</v>
      </c>
      <c r="AD11">
        <v>0</v>
      </c>
      <c r="AE11">
        <v>91.67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4</v>
      </c>
      <c r="AT11">
        <v>1.37</v>
      </c>
      <c r="AU11" t="s">
        <v>4</v>
      </c>
      <c r="AV11">
        <v>0</v>
      </c>
      <c r="AW11">
        <v>1</v>
      </c>
      <c r="AX11">
        <v>-1</v>
      </c>
      <c r="AY11">
        <v>0</v>
      </c>
      <c r="AZ11">
        <v>0</v>
      </c>
      <c r="BA11" t="s">
        <v>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Y11*Source!I24</f>
        <v>201.39000000000001</v>
      </c>
      <c r="CY11">
        <f t="shared" si="2"/>
        <v>91.67</v>
      </c>
      <c r="CZ11">
        <f t="shared" si="3"/>
        <v>91.67</v>
      </c>
      <c r="DA11">
        <f t="shared" si="4"/>
        <v>1</v>
      </c>
      <c r="DB11">
        <f t="shared" si="5"/>
        <v>125.59</v>
      </c>
      <c r="DC11">
        <f t="shared" si="6"/>
        <v>0</v>
      </c>
    </row>
    <row r="12" spans="1:107">
      <c r="A12">
        <f>ROW(Source!A26)</f>
        <v>26</v>
      </c>
      <c r="B12">
        <v>25859284</v>
      </c>
      <c r="C12">
        <v>25859547</v>
      </c>
      <c r="D12">
        <v>25400113</v>
      </c>
      <c r="E12">
        <v>27</v>
      </c>
      <c r="F12">
        <v>1</v>
      </c>
      <c r="G12">
        <v>27</v>
      </c>
      <c r="H12">
        <v>1</v>
      </c>
      <c r="I12" t="s">
        <v>117</v>
      </c>
      <c r="J12" t="s">
        <v>4</v>
      </c>
      <c r="K12" t="s">
        <v>118</v>
      </c>
      <c r="L12">
        <v>1191</v>
      </c>
      <c r="N12">
        <v>1013</v>
      </c>
      <c r="O12" t="s">
        <v>119</v>
      </c>
      <c r="P12" t="s">
        <v>119</v>
      </c>
      <c r="Q12">
        <v>1</v>
      </c>
      <c r="W12">
        <v>0</v>
      </c>
      <c r="X12">
        <v>476480486</v>
      </c>
      <c r="Y12">
        <v>342.54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4</v>
      </c>
      <c r="AT12">
        <v>342.54</v>
      </c>
      <c r="AU12" t="s">
        <v>4</v>
      </c>
      <c r="AV12">
        <v>1</v>
      </c>
      <c r="AW12">
        <v>2</v>
      </c>
      <c r="AX12">
        <v>25859548</v>
      </c>
      <c r="AY12">
        <v>1</v>
      </c>
      <c r="AZ12">
        <v>0</v>
      </c>
      <c r="BA12">
        <v>11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Y12*Source!I26</f>
        <v>41.104800000000004</v>
      </c>
      <c r="CY12">
        <f>AD12</f>
        <v>0</v>
      </c>
      <c r="CZ12">
        <f>AH12</f>
        <v>0</v>
      </c>
      <c r="DA12">
        <f>AL12</f>
        <v>1</v>
      </c>
      <c r="DB12">
        <f t="shared" si="5"/>
        <v>0</v>
      </c>
      <c r="DC12">
        <f t="shared" si="6"/>
        <v>0</v>
      </c>
    </row>
    <row r="13" spans="1:107">
      <c r="A13">
        <f>ROW(Source!A26)</f>
        <v>26</v>
      </c>
      <c r="B13">
        <v>25859284</v>
      </c>
      <c r="C13">
        <v>25859547</v>
      </c>
      <c r="D13">
        <v>25412707</v>
      </c>
      <c r="E13">
        <v>1</v>
      </c>
      <c r="F13">
        <v>1</v>
      </c>
      <c r="G13">
        <v>27</v>
      </c>
      <c r="H13">
        <v>2</v>
      </c>
      <c r="I13" t="s">
        <v>151</v>
      </c>
      <c r="J13" t="s">
        <v>152</v>
      </c>
      <c r="K13" t="s">
        <v>153</v>
      </c>
      <c r="L13">
        <v>1368</v>
      </c>
      <c r="N13">
        <v>1011</v>
      </c>
      <c r="O13" t="s">
        <v>123</v>
      </c>
      <c r="P13" t="s">
        <v>123</v>
      </c>
      <c r="Q13">
        <v>1</v>
      </c>
      <c r="W13">
        <v>0</v>
      </c>
      <c r="X13">
        <v>-1749865602</v>
      </c>
      <c r="Y13">
        <v>13.75</v>
      </c>
      <c r="AA13">
        <v>0</v>
      </c>
      <c r="AB13">
        <v>1289.26</v>
      </c>
      <c r="AC13">
        <v>637.17999999999995</v>
      </c>
      <c r="AD13">
        <v>0</v>
      </c>
      <c r="AE13">
        <v>0</v>
      </c>
      <c r="AF13">
        <v>1289.26</v>
      </c>
      <c r="AG13">
        <v>637.17999999999995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4</v>
      </c>
      <c r="AT13">
        <v>13.75</v>
      </c>
      <c r="AU13" t="s">
        <v>4</v>
      </c>
      <c r="AV13">
        <v>0</v>
      </c>
      <c r="AW13">
        <v>2</v>
      </c>
      <c r="AX13">
        <v>25859549</v>
      </c>
      <c r="AY13">
        <v>1</v>
      </c>
      <c r="AZ13">
        <v>0</v>
      </c>
      <c r="BA13">
        <v>12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Y13*Source!I26</f>
        <v>1.65</v>
      </c>
      <c r="CY13">
        <f>AB13</f>
        <v>1289.26</v>
      </c>
      <c r="CZ13">
        <f>AF13</f>
        <v>1289.26</v>
      </c>
      <c r="DA13">
        <f>AJ13</f>
        <v>1</v>
      </c>
      <c r="DB13">
        <f t="shared" si="5"/>
        <v>17727.330000000002</v>
      </c>
      <c r="DC13">
        <f t="shared" si="6"/>
        <v>8761.23</v>
      </c>
    </row>
    <row r="14" spans="1:107">
      <c r="A14">
        <f>ROW(Source!A26)</f>
        <v>26</v>
      </c>
      <c r="B14">
        <v>25859284</v>
      </c>
      <c r="C14">
        <v>25859547</v>
      </c>
      <c r="D14">
        <v>25414327</v>
      </c>
      <c r="E14">
        <v>1</v>
      </c>
      <c r="F14">
        <v>1</v>
      </c>
      <c r="G14">
        <v>27</v>
      </c>
      <c r="H14">
        <v>3</v>
      </c>
      <c r="I14" t="s">
        <v>154</v>
      </c>
      <c r="J14" t="s">
        <v>155</v>
      </c>
      <c r="K14" t="s">
        <v>156</v>
      </c>
      <c r="L14">
        <v>1348</v>
      </c>
      <c r="N14">
        <v>1009</v>
      </c>
      <c r="O14" t="s">
        <v>140</v>
      </c>
      <c r="P14" t="s">
        <v>140</v>
      </c>
      <c r="Q14">
        <v>1000</v>
      </c>
      <c r="W14">
        <v>0</v>
      </c>
      <c r="X14">
        <v>-1651770909</v>
      </c>
      <c r="Y14">
        <v>4.8000000000000001E-2</v>
      </c>
      <c r="AA14">
        <v>116855.43</v>
      </c>
      <c r="AB14">
        <v>0</v>
      </c>
      <c r="AC14">
        <v>0</v>
      </c>
      <c r="AD14">
        <v>0</v>
      </c>
      <c r="AE14">
        <v>116855.43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4</v>
      </c>
      <c r="AT14">
        <v>4.8000000000000001E-2</v>
      </c>
      <c r="AU14" t="s">
        <v>4</v>
      </c>
      <c r="AV14">
        <v>0</v>
      </c>
      <c r="AW14">
        <v>2</v>
      </c>
      <c r="AX14">
        <v>25859550</v>
      </c>
      <c r="AY14">
        <v>1</v>
      </c>
      <c r="AZ14">
        <v>0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Y14*Source!I26</f>
        <v>5.7599999999999995E-3</v>
      </c>
      <c r="CY14">
        <f t="shared" ref="CY14:CY19" si="7">AA14</f>
        <v>116855.43</v>
      </c>
      <c r="CZ14">
        <f t="shared" ref="CZ14:CZ19" si="8">AE14</f>
        <v>116855.43</v>
      </c>
      <c r="DA14">
        <f t="shared" ref="DA14:DA19" si="9">AI14</f>
        <v>1</v>
      </c>
      <c r="DB14">
        <f t="shared" si="5"/>
        <v>5609.06</v>
      </c>
      <c r="DC14">
        <f t="shared" si="6"/>
        <v>0</v>
      </c>
    </row>
    <row r="15" spans="1:107">
      <c r="A15">
        <f>ROW(Source!A26)</f>
        <v>26</v>
      </c>
      <c r="B15">
        <v>25859284</v>
      </c>
      <c r="C15">
        <v>25859547</v>
      </c>
      <c r="D15">
        <v>25418056</v>
      </c>
      <c r="E15">
        <v>1</v>
      </c>
      <c r="F15">
        <v>1</v>
      </c>
      <c r="G15">
        <v>27</v>
      </c>
      <c r="H15">
        <v>3</v>
      </c>
      <c r="I15" t="s">
        <v>157</v>
      </c>
      <c r="J15" t="s">
        <v>158</v>
      </c>
      <c r="K15" t="s">
        <v>159</v>
      </c>
      <c r="L15">
        <v>1354</v>
      </c>
      <c r="N15">
        <v>1010</v>
      </c>
      <c r="O15" t="s">
        <v>160</v>
      </c>
      <c r="P15" t="s">
        <v>160</v>
      </c>
      <c r="Q15">
        <v>1</v>
      </c>
      <c r="W15">
        <v>0</v>
      </c>
      <c r="X15">
        <v>611244235</v>
      </c>
      <c r="Y15">
        <v>100</v>
      </c>
      <c r="AA15">
        <v>1800.41</v>
      </c>
      <c r="AB15">
        <v>0</v>
      </c>
      <c r="AC15">
        <v>0</v>
      </c>
      <c r="AD15">
        <v>0</v>
      </c>
      <c r="AE15">
        <v>1800.41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4</v>
      </c>
      <c r="AT15">
        <v>100</v>
      </c>
      <c r="AU15" t="s">
        <v>4</v>
      </c>
      <c r="AV15">
        <v>0</v>
      </c>
      <c r="AW15">
        <v>2</v>
      </c>
      <c r="AX15">
        <v>25859551</v>
      </c>
      <c r="AY15">
        <v>1</v>
      </c>
      <c r="AZ15">
        <v>0</v>
      </c>
      <c r="BA15">
        <v>14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Y15*Source!I26</f>
        <v>12</v>
      </c>
      <c r="CY15">
        <f t="shared" si="7"/>
        <v>1800.41</v>
      </c>
      <c r="CZ15">
        <f t="shared" si="8"/>
        <v>1800.41</v>
      </c>
      <c r="DA15">
        <f t="shared" si="9"/>
        <v>1</v>
      </c>
      <c r="DB15">
        <f t="shared" si="5"/>
        <v>180041</v>
      </c>
      <c r="DC15">
        <f t="shared" si="6"/>
        <v>0</v>
      </c>
    </row>
    <row r="16" spans="1:107">
      <c r="A16">
        <f>ROW(Source!A26)</f>
        <v>26</v>
      </c>
      <c r="B16">
        <v>25859284</v>
      </c>
      <c r="C16">
        <v>25859547</v>
      </c>
      <c r="D16">
        <v>0</v>
      </c>
      <c r="E16">
        <v>0</v>
      </c>
      <c r="F16">
        <v>1</v>
      </c>
      <c r="G16">
        <v>27</v>
      </c>
      <c r="H16">
        <v>3</v>
      </c>
      <c r="I16" t="s">
        <v>29</v>
      </c>
      <c r="J16" t="s">
        <v>4</v>
      </c>
      <c r="K16" t="s">
        <v>42</v>
      </c>
      <c r="L16">
        <v>1371</v>
      </c>
      <c r="N16">
        <v>1013</v>
      </c>
      <c r="O16" t="s">
        <v>43</v>
      </c>
      <c r="P16" t="s">
        <v>43</v>
      </c>
      <c r="Q16">
        <v>1</v>
      </c>
      <c r="W16">
        <v>0</v>
      </c>
      <c r="X16">
        <v>1060887624</v>
      </c>
      <c r="Y16">
        <v>58.333333000000003</v>
      </c>
      <c r="AA16">
        <v>458.33</v>
      </c>
      <c r="AB16">
        <v>0</v>
      </c>
      <c r="AC16">
        <v>0</v>
      </c>
      <c r="AD16">
        <v>0</v>
      </c>
      <c r="AE16">
        <v>458.33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4</v>
      </c>
      <c r="AT16">
        <v>58.333333000000003</v>
      </c>
      <c r="AU16" t="s">
        <v>4</v>
      </c>
      <c r="AV16">
        <v>0</v>
      </c>
      <c r="AW16">
        <v>1</v>
      </c>
      <c r="AX16">
        <v>-1</v>
      </c>
      <c r="AY16">
        <v>0</v>
      </c>
      <c r="AZ16">
        <v>0</v>
      </c>
      <c r="BA16" t="s">
        <v>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Y16*Source!I26</f>
        <v>6.9999999600000002</v>
      </c>
      <c r="CY16">
        <f t="shared" si="7"/>
        <v>458.33</v>
      </c>
      <c r="CZ16">
        <f t="shared" si="8"/>
        <v>458.33</v>
      </c>
      <c r="DA16">
        <f t="shared" si="9"/>
        <v>1</v>
      </c>
      <c r="DB16">
        <f t="shared" si="5"/>
        <v>26735.919999999998</v>
      </c>
      <c r="DC16">
        <f t="shared" si="6"/>
        <v>0</v>
      </c>
    </row>
    <row r="17" spans="1:107">
      <c r="A17">
        <f>ROW(Source!A26)</f>
        <v>26</v>
      </c>
      <c r="B17">
        <v>25859284</v>
      </c>
      <c r="C17">
        <v>25859547</v>
      </c>
      <c r="D17">
        <v>0</v>
      </c>
      <c r="E17">
        <v>27</v>
      </c>
      <c r="F17">
        <v>1</v>
      </c>
      <c r="G17">
        <v>27</v>
      </c>
      <c r="H17">
        <v>3</v>
      </c>
      <c r="I17" t="s">
        <v>29</v>
      </c>
      <c r="J17" t="s">
        <v>4</v>
      </c>
      <c r="K17" t="s">
        <v>46</v>
      </c>
      <c r="L17">
        <v>1371</v>
      </c>
      <c r="N17">
        <v>1013</v>
      </c>
      <c r="O17" t="s">
        <v>43</v>
      </c>
      <c r="P17" t="s">
        <v>43</v>
      </c>
      <c r="Q17">
        <v>1</v>
      </c>
      <c r="W17">
        <v>0</v>
      </c>
      <c r="X17">
        <v>21436170</v>
      </c>
      <c r="Y17">
        <v>66.666667000000004</v>
      </c>
      <c r="AA17">
        <v>875</v>
      </c>
      <c r="AB17">
        <v>0</v>
      </c>
      <c r="AC17">
        <v>0</v>
      </c>
      <c r="AD17">
        <v>0</v>
      </c>
      <c r="AE17">
        <v>875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4</v>
      </c>
      <c r="AT17">
        <v>66.666667000000004</v>
      </c>
      <c r="AU17" t="s">
        <v>4</v>
      </c>
      <c r="AV17">
        <v>0</v>
      </c>
      <c r="AW17">
        <v>1</v>
      </c>
      <c r="AX17">
        <v>-1</v>
      </c>
      <c r="AY17">
        <v>0</v>
      </c>
      <c r="AZ17">
        <v>0</v>
      </c>
      <c r="BA17" t="s">
        <v>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Y17*Source!I26</f>
        <v>8.0000000399999998</v>
      </c>
      <c r="CY17">
        <f t="shared" si="7"/>
        <v>875</v>
      </c>
      <c r="CZ17">
        <f t="shared" si="8"/>
        <v>875</v>
      </c>
      <c r="DA17">
        <f t="shared" si="9"/>
        <v>1</v>
      </c>
      <c r="DB17">
        <f t="shared" si="5"/>
        <v>58333.33</v>
      </c>
      <c r="DC17">
        <f t="shared" si="6"/>
        <v>0</v>
      </c>
    </row>
    <row r="18" spans="1:107">
      <c r="A18">
        <f>ROW(Source!A26)</f>
        <v>26</v>
      </c>
      <c r="B18">
        <v>25859284</v>
      </c>
      <c r="C18">
        <v>25859547</v>
      </c>
      <c r="D18">
        <v>0</v>
      </c>
      <c r="E18">
        <v>27</v>
      </c>
      <c r="F18">
        <v>1</v>
      </c>
      <c r="G18">
        <v>27</v>
      </c>
      <c r="H18">
        <v>3</v>
      </c>
      <c r="I18" t="s">
        <v>29</v>
      </c>
      <c r="J18" t="s">
        <v>4</v>
      </c>
      <c r="K18" t="s">
        <v>49</v>
      </c>
      <c r="L18">
        <v>1371</v>
      </c>
      <c r="N18">
        <v>1013</v>
      </c>
      <c r="O18" t="s">
        <v>43</v>
      </c>
      <c r="P18" t="s">
        <v>43</v>
      </c>
      <c r="Q18">
        <v>1</v>
      </c>
      <c r="W18">
        <v>0</v>
      </c>
      <c r="X18">
        <v>964456726</v>
      </c>
      <c r="Y18">
        <v>58.333333000000003</v>
      </c>
      <c r="AA18">
        <v>583.33000000000004</v>
      </c>
      <c r="AB18">
        <v>0</v>
      </c>
      <c r="AC18">
        <v>0</v>
      </c>
      <c r="AD18">
        <v>0</v>
      </c>
      <c r="AE18">
        <v>583.33000000000004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4</v>
      </c>
      <c r="AT18">
        <v>58.333333000000003</v>
      </c>
      <c r="AU18" t="s">
        <v>4</v>
      </c>
      <c r="AV18">
        <v>0</v>
      </c>
      <c r="AW18">
        <v>1</v>
      </c>
      <c r="AX18">
        <v>-1</v>
      </c>
      <c r="AY18">
        <v>0</v>
      </c>
      <c r="AZ18">
        <v>0</v>
      </c>
      <c r="BA18" t="s">
        <v>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Y18*Source!I26</f>
        <v>6.9999999600000002</v>
      </c>
      <c r="CY18">
        <f t="shared" si="7"/>
        <v>583.33000000000004</v>
      </c>
      <c r="CZ18">
        <f t="shared" si="8"/>
        <v>583.33000000000004</v>
      </c>
      <c r="DA18">
        <f t="shared" si="9"/>
        <v>1</v>
      </c>
      <c r="DB18">
        <f t="shared" si="5"/>
        <v>34027.58</v>
      </c>
      <c r="DC18">
        <f t="shared" si="6"/>
        <v>0</v>
      </c>
    </row>
    <row r="19" spans="1:107">
      <c r="A19">
        <f>ROW(Source!A26)</f>
        <v>26</v>
      </c>
      <c r="B19">
        <v>25859284</v>
      </c>
      <c r="C19">
        <v>25859547</v>
      </c>
      <c r="D19">
        <v>0</v>
      </c>
      <c r="E19">
        <v>27</v>
      </c>
      <c r="F19">
        <v>1</v>
      </c>
      <c r="G19">
        <v>27</v>
      </c>
      <c r="H19">
        <v>3</v>
      </c>
      <c r="I19" t="s">
        <v>29</v>
      </c>
      <c r="J19" t="s">
        <v>4</v>
      </c>
      <c r="K19" t="s">
        <v>52</v>
      </c>
      <c r="L19">
        <v>1371</v>
      </c>
      <c r="N19">
        <v>1013</v>
      </c>
      <c r="O19" t="s">
        <v>43</v>
      </c>
      <c r="P19" t="s">
        <v>43</v>
      </c>
      <c r="Q19">
        <v>1</v>
      </c>
      <c r="W19">
        <v>0</v>
      </c>
      <c r="X19">
        <v>1272699849</v>
      </c>
      <c r="Y19">
        <v>16.666667</v>
      </c>
      <c r="AA19">
        <v>733.33</v>
      </c>
      <c r="AB19">
        <v>0</v>
      </c>
      <c r="AC19">
        <v>0</v>
      </c>
      <c r="AD19">
        <v>0</v>
      </c>
      <c r="AE19">
        <v>733.33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 t="s">
        <v>4</v>
      </c>
      <c r="AT19">
        <v>16.666667</v>
      </c>
      <c r="AU19" t="s">
        <v>4</v>
      </c>
      <c r="AV19">
        <v>0</v>
      </c>
      <c r="AW19">
        <v>1</v>
      </c>
      <c r="AX19">
        <v>-1</v>
      </c>
      <c r="AY19">
        <v>0</v>
      </c>
      <c r="AZ19">
        <v>0</v>
      </c>
      <c r="BA19" t="s">
        <v>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Y19*Source!I26</f>
        <v>2.0000000399999998</v>
      </c>
      <c r="CY19">
        <f t="shared" si="7"/>
        <v>733.33</v>
      </c>
      <c r="CZ19">
        <f t="shared" si="8"/>
        <v>733.33</v>
      </c>
      <c r="DA19">
        <f t="shared" si="9"/>
        <v>1</v>
      </c>
      <c r="DB19">
        <f t="shared" si="5"/>
        <v>12222.17</v>
      </c>
      <c r="DC19">
        <f t="shared" si="6"/>
        <v>0</v>
      </c>
    </row>
    <row r="20" spans="1:107">
      <c r="A20">
        <f>ROW(Source!A31)</f>
        <v>31</v>
      </c>
      <c r="B20">
        <v>25859284</v>
      </c>
      <c r="C20">
        <v>25859554</v>
      </c>
      <c r="D20">
        <v>25400113</v>
      </c>
      <c r="E20">
        <v>27</v>
      </c>
      <c r="F20">
        <v>1</v>
      </c>
      <c r="G20">
        <v>27</v>
      </c>
      <c r="H20">
        <v>1</v>
      </c>
      <c r="I20" t="s">
        <v>117</v>
      </c>
      <c r="J20" t="s">
        <v>4</v>
      </c>
      <c r="K20" t="s">
        <v>118</v>
      </c>
      <c r="L20">
        <v>1191</v>
      </c>
      <c r="N20">
        <v>1013</v>
      </c>
      <c r="O20" t="s">
        <v>119</v>
      </c>
      <c r="P20" t="s">
        <v>119</v>
      </c>
      <c r="Q20">
        <v>1</v>
      </c>
      <c r="W20">
        <v>0</v>
      </c>
      <c r="X20">
        <v>476480486</v>
      </c>
      <c r="Y20">
        <v>1.06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4</v>
      </c>
      <c r="AT20">
        <v>1.06</v>
      </c>
      <c r="AU20" t="s">
        <v>4</v>
      </c>
      <c r="AV20">
        <v>1</v>
      </c>
      <c r="AW20">
        <v>2</v>
      </c>
      <c r="AX20">
        <v>25859555</v>
      </c>
      <c r="AY20">
        <v>1</v>
      </c>
      <c r="AZ20">
        <v>0</v>
      </c>
      <c r="BA20">
        <v>16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Y20*Source!I31</f>
        <v>63.6</v>
      </c>
      <c r="CY20">
        <f>AD20</f>
        <v>0</v>
      </c>
      <c r="CZ20">
        <f>AH20</f>
        <v>0</v>
      </c>
      <c r="DA20">
        <f>AL20</f>
        <v>1</v>
      </c>
      <c r="DB20">
        <f t="shared" si="5"/>
        <v>0</v>
      </c>
      <c r="DC20">
        <f t="shared" si="6"/>
        <v>0</v>
      </c>
    </row>
    <row r="21" spans="1:107">
      <c r="A21">
        <f>ROW(Source!A31)</f>
        <v>31</v>
      </c>
      <c r="B21">
        <v>25859284</v>
      </c>
      <c r="C21">
        <v>25859554</v>
      </c>
      <c r="D21">
        <v>25412615</v>
      </c>
      <c r="E21">
        <v>1</v>
      </c>
      <c r="F21">
        <v>1</v>
      </c>
      <c r="G21">
        <v>27</v>
      </c>
      <c r="H21">
        <v>2</v>
      </c>
      <c r="I21" t="s">
        <v>161</v>
      </c>
      <c r="J21" t="s">
        <v>162</v>
      </c>
      <c r="K21" t="s">
        <v>163</v>
      </c>
      <c r="L21">
        <v>1368</v>
      </c>
      <c r="N21">
        <v>1011</v>
      </c>
      <c r="O21" t="s">
        <v>123</v>
      </c>
      <c r="P21" t="s">
        <v>123</v>
      </c>
      <c r="Q21">
        <v>1</v>
      </c>
      <c r="W21">
        <v>0</v>
      </c>
      <c r="X21">
        <v>-2099648192</v>
      </c>
      <c r="Y21">
        <v>0.28000000000000003</v>
      </c>
      <c r="AA21">
        <v>0</v>
      </c>
      <c r="AB21">
        <v>1376.39</v>
      </c>
      <c r="AC21">
        <v>1154.8399999999999</v>
      </c>
      <c r="AD21">
        <v>0</v>
      </c>
      <c r="AE21">
        <v>0</v>
      </c>
      <c r="AF21">
        <v>1376.39</v>
      </c>
      <c r="AG21">
        <v>1154.8399999999999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4</v>
      </c>
      <c r="AT21">
        <v>0.28000000000000003</v>
      </c>
      <c r="AU21" t="s">
        <v>4</v>
      </c>
      <c r="AV21">
        <v>0</v>
      </c>
      <c r="AW21">
        <v>2</v>
      </c>
      <c r="AX21">
        <v>25859556</v>
      </c>
      <c r="AY21">
        <v>1</v>
      </c>
      <c r="AZ21">
        <v>0</v>
      </c>
      <c r="BA21">
        <v>17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Y21*Source!I31</f>
        <v>16.8</v>
      </c>
      <c r="CY21">
        <f>AB21</f>
        <v>1376.39</v>
      </c>
      <c r="CZ21">
        <f>AF21</f>
        <v>1376.39</v>
      </c>
      <c r="DA21">
        <f>AJ21</f>
        <v>1</v>
      </c>
      <c r="DB21">
        <f t="shared" si="5"/>
        <v>385.39</v>
      </c>
      <c r="DC21">
        <f t="shared" si="6"/>
        <v>323.36</v>
      </c>
    </row>
    <row r="22" spans="1:107">
      <c r="A22">
        <f>ROW(Source!A31)</f>
        <v>31</v>
      </c>
      <c r="B22">
        <v>25859284</v>
      </c>
      <c r="C22">
        <v>25859554</v>
      </c>
      <c r="D22">
        <v>25412622</v>
      </c>
      <c r="E22">
        <v>1</v>
      </c>
      <c r="F22">
        <v>1</v>
      </c>
      <c r="G22">
        <v>27</v>
      </c>
      <c r="H22">
        <v>2</v>
      </c>
      <c r="I22" t="s">
        <v>164</v>
      </c>
      <c r="J22" t="s">
        <v>165</v>
      </c>
      <c r="K22" t="s">
        <v>166</v>
      </c>
      <c r="L22">
        <v>1368</v>
      </c>
      <c r="N22">
        <v>1011</v>
      </c>
      <c r="O22" t="s">
        <v>123</v>
      </c>
      <c r="P22" t="s">
        <v>123</v>
      </c>
      <c r="Q22">
        <v>1</v>
      </c>
      <c r="W22">
        <v>0</v>
      </c>
      <c r="X22">
        <v>-1903850885</v>
      </c>
      <c r="Y22">
        <v>0.2</v>
      </c>
      <c r="AA22">
        <v>0</v>
      </c>
      <c r="AB22">
        <v>2219.16</v>
      </c>
      <c r="AC22">
        <v>428.75</v>
      </c>
      <c r="AD22">
        <v>0</v>
      </c>
      <c r="AE22">
        <v>0</v>
      </c>
      <c r="AF22">
        <v>2219.16</v>
      </c>
      <c r="AG22">
        <v>428.75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4</v>
      </c>
      <c r="AT22">
        <v>0.2</v>
      </c>
      <c r="AU22" t="s">
        <v>4</v>
      </c>
      <c r="AV22">
        <v>0</v>
      </c>
      <c r="AW22">
        <v>2</v>
      </c>
      <c r="AX22">
        <v>25859557</v>
      </c>
      <c r="AY22">
        <v>1</v>
      </c>
      <c r="AZ22">
        <v>0</v>
      </c>
      <c r="BA22">
        <v>18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Y22*Source!I31</f>
        <v>12</v>
      </c>
      <c r="CY22">
        <f>AB22</f>
        <v>2219.16</v>
      </c>
      <c r="CZ22">
        <f>AF22</f>
        <v>2219.16</v>
      </c>
      <c r="DA22">
        <f>AJ22</f>
        <v>1</v>
      </c>
      <c r="DB22">
        <f t="shared" si="5"/>
        <v>443.83</v>
      </c>
      <c r="DC22">
        <f t="shared" si="6"/>
        <v>85.75</v>
      </c>
    </row>
    <row r="23" spans="1:107">
      <c r="A23">
        <f>ROW(Source!A31)</f>
        <v>31</v>
      </c>
      <c r="B23">
        <v>25859284</v>
      </c>
      <c r="C23">
        <v>25859554</v>
      </c>
      <c r="D23">
        <v>25415854</v>
      </c>
      <c r="E23">
        <v>1</v>
      </c>
      <c r="F23">
        <v>1</v>
      </c>
      <c r="G23">
        <v>27</v>
      </c>
      <c r="H23">
        <v>3</v>
      </c>
      <c r="I23" t="s">
        <v>167</v>
      </c>
      <c r="J23" t="s">
        <v>168</v>
      </c>
      <c r="K23" t="s">
        <v>169</v>
      </c>
      <c r="L23">
        <v>1346</v>
      </c>
      <c r="N23">
        <v>1009</v>
      </c>
      <c r="O23" t="s">
        <v>31</v>
      </c>
      <c r="P23" t="s">
        <v>31</v>
      </c>
      <c r="Q23">
        <v>1</v>
      </c>
      <c r="W23">
        <v>0</v>
      </c>
      <c r="X23">
        <v>-581309856</v>
      </c>
      <c r="Y23">
        <v>6.3</v>
      </c>
      <c r="AA23">
        <v>75.14</v>
      </c>
      <c r="AB23">
        <v>0</v>
      </c>
      <c r="AC23">
        <v>0</v>
      </c>
      <c r="AD23">
        <v>0</v>
      </c>
      <c r="AE23">
        <v>75.14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4</v>
      </c>
      <c r="AT23">
        <v>6.3</v>
      </c>
      <c r="AU23" t="s">
        <v>4</v>
      </c>
      <c r="AV23">
        <v>0</v>
      </c>
      <c r="AW23">
        <v>2</v>
      </c>
      <c r="AX23">
        <v>25859558</v>
      </c>
      <c r="AY23">
        <v>1</v>
      </c>
      <c r="AZ23">
        <v>0</v>
      </c>
      <c r="BA23">
        <v>19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Y23*Source!I31</f>
        <v>378</v>
      </c>
      <c r="CY23">
        <f>AA23</f>
        <v>75.14</v>
      </c>
      <c r="CZ23">
        <f>AE23</f>
        <v>75.14</v>
      </c>
      <c r="DA23">
        <f>AI23</f>
        <v>1</v>
      </c>
      <c r="DB23">
        <f t="shared" si="5"/>
        <v>473.38</v>
      </c>
      <c r="DC23">
        <f t="shared" si="6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R19"/>
  <sheetViews>
    <sheetView workbookViewId="0"/>
  </sheetViews>
  <sheetFormatPr defaultColWidth="9.140625" defaultRowHeight="12.75"/>
  <cols>
    <col min="1" max="256" width="9.140625" customWidth="1"/>
  </cols>
  <sheetData>
    <row r="1" spans="1:44">
      <c r="A1">
        <f>ROW(Source!A24)</f>
        <v>24</v>
      </c>
      <c r="B1">
        <v>25859514</v>
      </c>
      <c r="C1">
        <v>25859513</v>
      </c>
      <c r="D1">
        <v>25400113</v>
      </c>
      <c r="E1">
        <v>27</v>
      </c>
      <c r="F1">
        <v>1</v>
      </c>
      <c r="G1">
        <v>27</v>
      </c>
      <c r="H1">
        <v>1</v>
      </c>
      <c r="I1" t="s">
        <v>117</v>
      </c>
      <c r="J1" t="s">
        <v>4</v>
      </c>
      <c r="K1" t="s">
        <v>118</v>
      </c>
      <c r="L1">
        <v>1191</v>
      </c>
      <c r="N1">
        <v>1013</v>
      </c>
      <c r="O1" t="s">
        <v>119</v>
      </c>
      <c r="P1" t="s">
        <v>119</v>
      </c>
      <c r="Q1">
        <v>1</v>
      </c>
      <c r="X1">
        <v>0.88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4</v>
      </c>
      <c r="AG1">
        <v>0.88</v>
      </c>
      <c r="AH1">
        <v>2</v>
      </c>
      <c r="AI1">
        <v>25859514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>
      <c r="A2">
        <f>ROW(Source!A24)</f>
        <v>24</v>
      </c>
      <c r="B2">
        <v>25859515</v>
      </c>
      <c r="C2">
        <v>25859513</v>
      </c>
      <c r="D2">
        <v>25412869</v>
      </c>
      <c r="E2">
        <v>1</v>
      </c>
      <c r="F2">
        <v>1</v>
      </c>
      <c r="G2">
        <v>27</v>
      </c>
      <c r="H2">
        <v>2</v>
      </c>
      <c r="I2" t="s">
        <v>120</v>
      </c>
      <c r="J2" t="s">
        <v>121</v>
      </c>
      <c r="K2" t="s">
        <v>122</v>
      </c>
      <c r="L2">
        <v>1368</v>
      </c>
      <c r="N2">
        <v>1011</v>
      </c>
      <c r="O2" t="s">
        <v>123</v>
      </c>
      <c r="P2" t="s">
        <v>123</v>
      </c>
      <c r="Q2">
        <v>1</v>
      </c>
      <c r="X2">
        <v>0.01</v>
      </c>
      <c r="Y2">
        <v>0</v>
      </c>
      <c r="Z2">
        <v>41.45</v>
      </c>
      <c r="AA2">
        <v>0.15</v>
      </c>
      <c r="AB2">
        <v>0</v>
      </c>
      <c r="AC2">
        <v>0</v>
      </c>
      <c r="AD2">
        <v>1</v>
      </c>
      <c r="AE2">
        <v>0</v>
      </c>
      <c r="AF2" t="s">
        <v>4</v>
      </c>
      <c r="AG2">
        <v>0.01</v>
      </c>
      <c r="AH2">
        <v>2</v>
      </c>
      <c r="AI2">
        <v>25859515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>
        <f>ROW(Source!A24)</f>
        <v>24</v>
      </c>
      <c r="B3">
        <v>25859516</v>
      </c>
      <c r="C3">
        <v>25859513</v>
      </c>
      <c r="D3">
        <v>25413295</v>
      </c>
      <c r="E3">
        <v>1</v>
      </c>
      <c r="F3">
        <v>1</v>
      </c>
      <c r="G3">
        <v>27</v>
      </c>
      <c r="H3">
        <v>2</v>
      </c>
      <c r="I3" t="s">
        <v>124</v>
      </c>
      <c r="J3" t="s">
        <v>125</v>
      </c>
      <c r="K3" t="s">
        <v>126</v>
      </c>
      <c r="L3">
        <v>1368</v>
      </c>
      <c r="N3">
        <v>1011</v>
      </c>
      <c r="O3" t="s">
        <v>123</v>
      </c>
      <c r="P3" t="s">
        <v>123</v>
      </c>
      <c r="Q3">
        <v>1</v>
      </c>
      <c r="X3">
        <v>0.04</v>
      </c>
      <c r="Y3">
        <v>0</v>
      </c>
      <c r="Z3">
        <v>7.44</v>
      </c>
      <c r="AA3">
        <v>0.98</v>
      </c>
      <c r="AB3">
        <v>0</v>
      </c>
      <c r="AC3">
        <v>0</v>
      </c>
      <c r="AD3">
        <v>1</v>
      </c>
      <c r="AE3">
        <v>0</v>
      </c>
      <c r="AF3" t="s">
        <v>4</v>
      </c>
      <c r="AG3">
        <v>0.04</v>
      </c>
      <c r="AH3">
        <v>2</v>
      </c>
      <c r="AI3">
        <v>25859516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>
        <f>ROW(Source!A24)</f>
        <v>24</v>
      </c>
      <c r="B4">
        <v>25859517</v>
      </c>
      <c r="C4">
        <v>25859513</v>
      </c>
      <c r="D4">
        <v>25412629</v>
      </c>
      <c r="E4">
        <v>1</v>
      </c>
      <c r="F4">
        <v>1</v>
      </c>
      <c r="G4">
        <v>27</v>
      </c>
      <c r="H4">
        <v>2</v>
      </c>
      <c r="I4" t="s">
        <v>127</v>
      </c>
      <c r="J4" t="s">
        <v>128</v>
      </c>
      <c r="K4" t="s">
        <v>129</v>
      </c>
      <c r="L4">
        <v>1368</v>
      </c>
      <c r="N4">
        <v>1011</v>
      </c>
      <c r="O4" t="s">
        <v>123</v>
      </c>
      <c r="P4" t="s">
        <v>123</v>
      </c>
      <c r="Q4">
        <v>1</v>
      </c>
      <c r="X4">
        <v>0.04</v>
      </c>
      <c r="Y4">
        <v>0</v>
      </c>
      <c r="Z4">
        <v>281.77999999999997</v>
      </c>
      <c r="AA4">
        <v>10.65</v>
      </c>
      <c r="AB4">
        <v>0</v>
      </c>
      <c r="AC4">
        <v>0</v>
      </c>
      <c r="AD4">
        <v>1</v>
      </c>
      <c r="AE4">
        <v>0</v>
      </c>
      <c r="AF4" t="s">
        <v>4</v>
      </c>
      <c r="AG4">
        <v>0.04</v>
      </c>
      <c r="AH4">
        <v>2</v>
      </c>
      <c r="AI4">
        <v>25859517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>
        <f>ROW(Source!A24)</f>
        <v>24</v>
      </c>
      <c r="B5">
        <v>25859518</v>
      </c>
      <c r="C5">
        <v>25859513</v>
      </c>
      <c r="D5">
        <v>25415402</v>
      </c>
      <c r="E5">
        <v>1</v>
      </c>
      <c r="F5">
        <v>1</v>
      </c>
      <c r="G5">
        <v>27</v>
      </c>
      <c r="H5">
        <v>3</v>
      </c>
      <c r="I5" t="s">
        <v>130</v>
      </c>
      <c r="J5" t="s">
        <v>131</v>
      </c>
      <c r="K5" t="s">
        <v>132</v>
      </c>
      <c r="L5">
        <v>1301</v>
      </c>
      <c r="N5">
        <v>1003</v>
      </c>
      <c r="O5" t="s">
        <v>133</v>
      </c>
      <c r="P5" t="s">
        <v>133</v>
      </c>
      <c r="Q5">
        <v>1</v>
      </c>
      <c r="X5">
        <v>6.25</v>
      </c>
      <c r="Y5">
        <v>26.54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4</v>
      </c>
      <c r="AG5">
        <v>6.25</v>
      </c>
      <c r="AH5">
        <v>2</v>
      </c>
      <c r="AI5">
        <v>25859518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>
        <f>ROW(Source!A24)</f>
        <v>24</v>
      </c>
      <c r="B6">
        <v>25859519</v>
      </c>
      <c r="C6">
        <v>25859513</v>
      </c>
      <c r="D6">
        <v>25415455</v>
      </c>
      <c r="E6">
        <v>1</v>
      </c>
      <c r="F6">
        <v>1</v>
      </c>
      <c r="G6">
        <v>27</v>
      </c>
      <c r="H6">
        <v>3</v>
      </c>
      <c r="I6" t="s">
        <v>134</v>
      </c>
      <c r="J6" t="s">
        <v>135</v>
      </c>
      <c r="K6" t="s">
        <v>136</v>
      </c>
      <c r="L6">
        <v>1346</v>
      </c>
      <c r="N6">
        <v>1009</v>
      </c>
      <c r="O6" t="s">
        <v>31</v>
      </c>
      <c r="P6" t="s">
        <v>31</v>
      </c>
      <c r="Q6">
        <v>1</v>
      </c>
      <c r="X6">
        <v>8.2000000000000003E-2</v>
      </c>
      <c r="Y6">
        <v>851.18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4</v>
      </c>
      <c r="AG6">
        <v>8.2000000000000003E-2</v>
      </c>
      <c r="AH6">
        <v>2</v>
      </c>
      <c r="AI6">
        <v>25859519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>
        <f>ROW(Source!A24)</f>
        <v>24</v>
      </c>
      <c r="B7">
        <v>25859520</v>
      </c>
      <c r="C7">
        <v>25859513</v>
      </c>
      <c r="D7">
        <v>25415828</v>
      </c>
      <c r="E7">
        <v>1</v>
      </c>
      <c r="F7">
        <v>1</v>
      </c>
      <c r="G7">
        <v>27</v>
      </c>
      <c r="H7">
        <v>3</v>
      </c>
      <c r="I7" t="s">
        <v>137</v>
      </c>
      <c r="J7" t="s">
        <v>138</v>
      </c>
      <c r="K7" t="s">
        <v>139</v>
      </c>
      <c r="L7">
        <v>1348</v>
      </c>
      <c r="N7">
        <v>1009</v>
      </c>
      <c r="O7" t="s">
        <v>140</v>
      </c>
      <c r="P7" t="s">
        <v>140</v>
      </c>
      <c r="Q7">
        <v>1000</v>
      </c>
      <c r="X7">
        <v>3.5E-4</v>
      </c>
      <c r="Y7">
        <v>68136.09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4</v>
      </c>
      <c r="AG7">
        <v>3.5E-4</v>
      </c>
      <c r="AH7">
        <v>2</v>
      </c>
      <c r="AI7">
        <v>25859520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>
        <f>ROW(Source!A24)</f>
        <v>24</v>
      </c>
      <c r="B8">
        <v>25859521</v>
      </c>
      <c r="C8">
        <v>25859513</v>
      </c>
      <c r="D8">
        <v>25415863</v>
      </c>
      <c r="E8">
        <v>1</v>
      </c>
      <c r="F8">
        <v>1</v>
      </c>
      <c r="G8">
        <v>27</v>
      </c>
      <c r="H8">
        <v>3</v>
      </c>
      <c r="I8" t="s">
        <v>141</v>
      </c>
      <c r="J8" t="s">
        <v>142</v>
      </c>
      <c r="K8" t="s">
        <v>143</v>
      </c>
      <c r="L8">
        <v>1346</v>
      </c>
      <c r="N8">
        <v>1009</v>
      </c>
      <c r="O8" t="s">
        <v>31</v>
      </c>
      <c r="P8" t="s">
        <v>31</v>
      </c>
      <c r="Q8">
        <v>1</v>
      </c>
      <c r="X8">
        <v>4.12</v>
      </c>
      <c r="Y8">
        <v>222.01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4</v>
      </c>
      <c r="AG8">
        <v>4.12</v>
      </c>
      <c r="AH8">
        <v>2</v>
      </c>
      <c r="AI8">
        <v>25859521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>
        <f>ROW(Source!A24)</f>
        <v>24</v>
      </c>
      <c r="B9">
        <v>25859522</v>
      </c>
      <c r="C9">
        <v>25859513</v>
      </c>
      <c r="D9">
        <v>25413543</v>
      </c>
      <c r="E9">
        <v>1</v>
      </c>
      <c r="F9">
        <v>1</v>
      </c>
      <c r="G9">
        <v>27</v>
      </c>
      <c r="H9">
        <v>3</v>
      </c>
      <c r="I9" t="s">
        <v>145</v>
      </c>
      <c r="J9" t="s">
        <v>146</v>
      </c>
      <c r="K9" t="s">
        <v>147</v>
      </c>
      <c r="L9">
        <v>1327</v>
      </c>
      <c r="N9">
        <v>1005</v>
      </c>
      <c r="O9" t="s">
        <v>23</v>
      </c>
      <c r="P9" t="s">
        <v>23</v>
      </c>
      <c r="Q9">
        <v>1</v>
      </c>
      <c r="X9">
        <v>0.31</v>
      </c>
      <c r="Y9">
        <v>28.26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4</v>
      </c>
      <c r="AG9">
        <v>0.31</v>
      </c>
      <c r="AH9">
        <v>2</v>
      </c>
      <c r="AI9">
        <v>25859522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>
        <f>ROW(Source!A24)</f>
        <v>24</v>
      </c>
      <c r="B10">
        <v>25859523</v>
      </c>
      <c r="C10">
        <v>25859513</v>
      </c>
      <c r="D10">
        <v>25413794</v>
      </c>
      <c r="E10">
        <v>1</v>
      </c>
      <c r="F10">
        <v>1</v>
      </c>
      <c r="G10">
        <v>27</v>
      </c>
      <c r="H10">
        <v>3</v>
      </c>
      <c r="I10" t="s">
        <v>148</v>
      </c>
      <c r="J10" t="s">
        <v>149</v>
      </c>
      <c r="K10" t="s">
        <v>150</v>
      </c>
      <c r="L10">
        <v>1348</v>
      </c>
      <c r="N10">
        <v>1009</v>
      </c>
      <c r="O10" t="s">
        <v>140</v>
      </c>
      <c r="P10" t="s">
        <v>140</v>
      </c>
      <c r="Q10">
        <v>1000</v>
      </c>
      <c r="X10">
        <v>1.34E-3</v>
      </c>
      <c r="Y10">
        <v>105650.49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4</v>
      </c>
      <c r="AG10">
        <v>1.34E-3</v>
      </c>
      <c r="AH10">
        <v>2</v>
      </c>
      <c r="AI10">
        <v>25859523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>
        <f>ROW(Source!A26)</f>
        <v>26</v>
      </c>
      <c r="B11">
        <v>25859548</v>
      </c>
      <c r="C11">
        <v>25859547</v>
      </c>
      <c r="D11">
        <v>25400113</v>
      </c>
      <c r="E11">
        <v>27</v>
      </c>
      <c r="F11">
        <v>1</v>
      </c>
      <c r="G11">
        <v>27</v>
      </c>
      <c r="H11">
        <v>1</v>
      </c>
      <c r="I11" t="s">
        <v>117</v>
      </c>
      <c r="J11" t="s">
        <v>4</v>
      </c>
      <c r="K11" t="s">
        <v>118</v>
      </c>
      <c r="L11">
        <v>1191</v>
      </c>
      <c r="N11">
        <v>1013</v>
      </c>
      <c r="O11" t="s">
        <v>119</v>
      </c>
      <c r="P11" t="s">
        <v>119</v>
      </c>
      <c r="Q11">
        <v>1</v>
      </c>
      <c r="X11">
        <v>342.54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 t="s">
        <v>4</v>
      </c>
      <c r="AG11">
        <v>342.54</v>
      </c>
      <c r="AH11">
        <v>2</v>
      </c>
      <c r="AI11">
        <v>25859548</v>
      </c>
      <c r="AJ11">
        <v>12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>
        <f>ROW(Source!A26)</f>
        <v>26</v>
      </c>
      <c r="B12">
        <v>25859549</v>
      </c>
      <c r="C12">
        <v>25859547</v>
      </c>
      <c r="D12">
        <v>25412707</v>
      </c>
      <c r="E12">
        <v>1</v>
      </c>
      <c r="F12">
        <v>1</v>
      </c>
      <c r="G12">
        <v>27</v>
      </c>
      <c r="H12">
        <v>2</v>
      </c>
      <c r="I12" t="s">
        <v>151</v>
      </c>
      <c r="J12" t="s">
        <v>152</v>
      </c>
      <c r="K12" t="s">
        <v>153</v>
      </c>
      <c r="L12">
        <v>1368</v>
      </c>
      <c r="N12">
        <v>1011</v>
      </c>
      <c r="O12" t="s">
        <v>123</v>
      </c>
      <c r="P12" t="s">
        <v>123</v>
      </c>
      <c r="Q12">
        <v>1</v>
      </c>
      <c r="X12">
        <v>13.75</v>
      </c>
      <c r="Y12">
        <v>0</v>
      </c>
      <c r="Z12">
        <v>1289.26</v>
      </c>
      <c r="AA12">
        <v>637.17999999999995</v>
      </c>
      <c r="AB12">
        <v>0</v>
      </c>
      <c r="AC12">
        <v>0</v>
      </c>
      <c r="AD12">
        <v>1</v>
      </c>
      <c r="AE12">
        <v>0</v>
      </c>
      <c r="AF12" t="s">
        <v>4</v>
      </c>
      <c r="AG12">
        <v>13.75</v>
      </c>
      <c r="AH12">
        <v>2</v>
      </c>
      <c r="AI12">
        <v>25859549</v>
      </c>
      <c r="AJ12">
        <v>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>
        <f>ROW(Source!A26)</f>
        <v>26</v>
      </c>
      <c r="B13">
        <v>25859550</v>
      </c>
      <c r="C13">
        <v>25859547</v>
      </c>
      <c r="D13">
        <v>25414327</v>
      </c>
      <c r="E13">
        <v>1</v>
      </c>
      <c r="F13">
        <v>1</v>
      </c>
      <c r="G13">
        <v>27</v>
      </c>
      <c r="H13">
        <v>3</v>
      </c>
      <c r="I13" t="s">
        <v>154</v>
      </c>
      <c r="J13" t="s">
        <v>155</v>
      </c>
      <c r="K13" t="s">
        <v>156</v>
      </c>
      <c r="L13">
        <v>1348</v>
      </c>
      <c r="N13">
        <v>1009</v>
      </c>
      <c r="O13" t="s">
        <v>140</v>
      </c>
      <c r="P13" t="s">
        <v>140</v>
      </c>
      <c r="Q13">
        <v>1000</v>
      </c>
      <c r="X13">
        <v>4.8000000000000001E-2</v>
      </c>
      <c r="Y13">
        <v>116855.43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4</v>
      </c>
      <c r="AG13">
        <v>4.8000000000000001E-2</v>
      </c>
      <c r="AH13">
        <v>2</v>
      </c>
      <c r="AI13">
        <v>25859550</v>
      </c>
      <c r="AJ13">
        <v>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>
        <f>ROW(Source!A26)</f>
        <v>26</v>
      </c>
      <c r="B14">
        <v>25859551</v>
      </c>
      <c r="C14">
        <v>25859547</v>
      </c>
      <c r="D14">
        <v>25418056</v>
      </c>
      <c r="E14">
        <v>1</v>
      </c>
      <c r="F14">
        <v>1</v>
      </c>
      <c r="G14">
        <v>27</v>
      </c>
      <c r="H14">
        <v>3</v>
      </c>
      <c r="I14" t="s">
        <v>157</v>
      </c>
      <c r="J14" t="s">
        <v>158</v>
      </c>
      <c r="K14" t="s">
        <v>159</v>
      </c>
      <c r="L14">
        <v>1354</v>
      </c>
      <c r="N14">
        <v>1010</v>
      </c>
      <c r="O14" t="s">
        <v>160</v>
      </c>
      <c r="P14" t="s">
        <v>160</v>
      </c>
      <c r="Q14">
        <v>1</v>
      </c>
      <c r="X14">
        <v>100</v>
      </c>
      <c r="Y14">
        <v>1800.41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4</v>
      </c>
      <c r="AG14">
        <v>100</v>
      </c>
      <c r="AH14">
        <v>2</v>
      </c>
      <c r="AI14">
        <v>25859551</v>
      </c>
      <c r="AJ14">
        <v>15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>
        <f>ROW(Source!A26)</f>
        <v>26</v>
      </c>
      <c r="B15">
        <v>25859552</v>
      </c>
      <c r="C15">
        <v>25859547</v>
      </c>
      <c r="D15">
        <v>25400847</v>
      </c>
      <c r="E15">
        <v>27</v>
      </c>
      <c r="F15">
        <v>1</v>
      </c>
      <c r="G15">
        <v>27</v>
      </c>
      <c r="H15">
        <v>3</v>
      </c>
      <c r="I15" t="s">
        <v>170</v>
      </c>
      <c r="J15" t="s">
        <v>4</v>
      </c>
      <c r="K15" t="s">
        <v>171</v>
      </c>
      <c r="L15">
        <v>1354</v>
      </c>
      <c r="N15">
        <v>1010</v>
      </c>
      <c r="O15" t="s">
        <v>160</v>
      </c>
      <c r="P15" t="s">
        <v>160</v>
      </c>
      <c r="Q15">
        <v>1</v>
      </c>
      <c r="X15">
        <v>100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4</v>
      </c>
      <c r="AG15">
        <v>100</v>
      </c>
      <c r="AH15">
        <v>3</v>
      </c>
      <c r="AI15">
        <v>-1</v>
      </c>
      <c r="AJ15" t="s">
        <v>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>
        <f>ROW(Source!A31)</f>
        <v>31</v>
      </c>
      <c r="B16">
        <v>25859555</v>
      </c>
      <c r="C16">
        <v>25859554</v>
      </c>
      <c r="D16">
        <v>25400113</v>
      </c>
      <c r="E16">
        <v>27</v>
      </c>
      <c r="F16">
        <v>1</v>
      </c>
      <c r="G16">
        <v>27</v>
      </c>
      <c r="H16">
        <v>1</v>
      </c>
      <c r="I16" t="s">
        <v>117</v>
      </c>
      <c r="J16" t="s">
        <v>4</v>
      </c>
      <c r="K16" t="s">
        <v>118</v>
      </c>
      <c r="L16">
        <v>1191</v>
      </c>
      <c r="N16">
        <v>1013</v>
      </c>
      <c r="O16" t="s">
        <v>119</v>
      </c>
      <c r="P16" t="s">
        <v>119</v>
      </c>
      <c r="Q16">
        <v>1</v>
      </c>
      <c r="X16">
        <v>1.06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 t="s">
        <v>4</v>
      </c>
      <c r="AG16">
        <v>1.06</v>
      </c>
      <c r="AH16">
        <v>2</v>
      </c>
      <c r="AI16">
        <v>25859555</v>
      </c>
      <c r="AJ16">
        <v>20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>
        <f>ROW(Source!A31)</f>
        <v>31</v>
      </c>
      <c r="B17">
        <v>25859556</v>
      </c>
      <c r="C17">
        <v>25859554</v>
      </c>
      <c r="D17">
        <v>25412615</v>
      </c>
      <c r="E17">
        <v>1</v>
      </c>
      <c r="F17">
        <v>1</v>
      </c>
      <c r="G17">
        <v>27</v>
      </c>
      <c r="H17">
        <v>2</v>
      </c>
      <c r="I17" t="s">
        <v>161</v>
      </c>
      <c r="J17" t="s">
        <v>162</v>
      </c>
      <c r="K17" t="s">
        <v>163</v>
      </c>
      <c r="L17">
        <v>1368</v>
      </c>
      <c r="N17">
        <v>1011</v>
      </c>
      <c r="O17" t="s">
        <v>123</v>
      </c>
      <c r="P17" t="s">
        <v>123</v>
      </c>
      <c r="Q17">
        <v>1</v>
      </c>
      <c r="X17">
        <v>0.28000000000000003</v>
      </c>
      <c r="Y17">
        <v>0</v>
      </c>
      <c r="Z17">
        <v>1376.39</v>
      </c>
      <c r="AA17">
        <v>1154.8399999999999</v>
      </c>
      <c r="AB17">
        <v>0</v>
      </c>
      <c r="AC17">
        <v>0</v>
      </c>
      <c r="AD17">
        <v>1</v>
      </c>
      <c r="AE17">
        <v>0</v>
      </c>
      <c r="AF17" t="s">
        <v>4</v>
      </c>
      <c r="AG17">
        <v>0.28000000000000003</v>
      </c>
      <c r="AH17">
        <v>2</v>
      </c>
      <c r="AI17">
        <v>25859556</v>
      </c>
      <c r="AJ17">
        <v>21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>
        <f>ROW(Source!A31)</f>
        <v>31</v>
      </c>
      <c r="B18">
        <v>25859557</v>
      </c>
      <c r="C18">
        <v>25859554</v>
      </c>
      <c r="D18">
        <v>25412622</v>
      </c>
      <c r="E18">
        <v>1</v>
      </c>
      <c r="F18">
        <v>1</v>
      </c>
      <c r="G18">
        <v>27</v>
      </c>
      <c r="H18">
        <v>2</v>
      </c>
      <c r="I18" t="s">
        <v>164</v>
      </c>
      <c r="J18" t="s">
        <v>165</v>
      </c>
      <c r="K18" t="s">
        <v>166</v>
      </c>
      <c r="L18">
        <v>1368</v>
      </c>
      <c r="N18">
        <v>1011</v>
      </c>
      <c r="O18" t="s">
        <v>123</v>
      </c>
      <c r="P18" t="s">
        <v>123</v>
      </c>
      <c r="Q18">
        <v>1</v>
      </c>
      <c r="X18">
        <v>0.2</v>
      </c>
      <c r="Y18">
        <v>0</v>
      </c>
      <c r="Z18">
        <v>2219.16</v>
      </c>
      <c r="AA18">
        <v>428.75</v>
      </c>
      <c r="AB18">
        <v>0</v>
      </c>
      <c r="AC18">
        <v>0</v>
      </c>
      <c r="AD18">
        <v>1</v>
      </c>
      <c r="AE18">
        <v>0</v>
      </c>
      <c r="AF18" t="s">
        <v>4</v>
      </c>
      <c r="AG18">
        <v>0.2</v>
      </c>
      <c r="AH18">
        <v>2</v>
      </c>
      <c r="AI18">
        <v>25859557</v>
      </c>
      <c r="AJ18">
        <v>22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>
        <f>ROW(Source!A31)</f>
        <v>31</v>
      </c>
      <c r="B19">
        <v>25859558</v>
      </c>
      <c r="C19">
        <v>25859554</v>
      </c>
      <c r="D19">
        <v>25415854</v>
      </c>
      <c r="E19">
        <v>1</v>
      </c>
      <c r="F19">
        <v>1</v>
      </c>
      <c r="G19">
        <v>27</v>
      </c>
      <c r="H19">
        <v>3</v>
      </c>
      <c r="I19" t="s">
        <v>167</v>
      </c>
      <c r="J19" t="s">
        <v>168</v>
      </c>
      <c r="K19" t="s">
        <v>169</v>
      </c>
      <c r="L19">
        <v>1346</v>
      </c>
      <c r="N19">
        <v>1009</v>
      </c>
      <c r="O19" t="s">
        <v>31</v>
      </c>
      <c r="P19" t="s">
        <v>31</v>
      </c>
      <c r="Q19">
        <v>1</v>
      </c>
      <c r="X19">
        <v>6.3</v>
      </c>
      <c r="Y19">
        <v>75.14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4</v>
      </c>
      <c r="AG19">
        <v>6.3</v>
      </c>
      <c r="AH19">
        <v>2</v>
      </c>
      <c r="AI19">
        <v>25859558</v>
      </c>
      <c r="AJ19">
        <v>23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94"/>
  <sheetViews>
    <sheetView workbookViewId="0"/>
  </sheetViews>
  <sheetFormatPr defaultRowHeight="12.75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9" max="9" width="10.7109375" customWidth="1"/>
    <col min="10" max="12" width="12.7109375" customWidth="1"/>
    <col min="15" max="35" width="0" hidden="1" customWidth="1"/>
    <col min="36" max="36" width="99.7109375" hidden="1" customWidth="1"/>
    <col min="37" max="37" width="0" hidden="1" customWidth="1"/>
    <col min="38" max="38" width="109.7109375" hidden="1" customWidth="1"/>
    <col min="39" max="42" width="0" hidden="1" customWidth="1"/>
  </cols>
  <sheetData>
    <row r="1" spans="1:36">
      <c r="A1" s="9" t="str">
        <f>Source!B1</f>
        <v>Smeta.RU  (495) 974-1589</v>
      </c>
    </row>
    <row r="2" spans="1:36" ht="15">
      <c r="A2" s="11"/>
      <c r="B2" s="11"/>
      <c r="C2" s="34"/>
      <c r="D2" s="34"/>
      <c r="E2" s="34"/>
      <c r="F2" s="11"/>
      <c r="G2" s="11"/>
      <c r="H2" s="11"/>
      <c r="I2" s="90" t="s">
        <v>218</v>
      </c>
      <c r="J2" s="90"/>
      <c r="K2" s="90"/>
      <c r="L2" s="90"/>
    </row>
    <row r="3" spans="1:36" ht="14.25">
      <c r="A3" s="11"/>
      <c r="B3" s="11"/>
      <c r="C3" s="11"/>
      <c r="D3" s="11"/>
      <c r="E3" s="11"/>
      <c r="F3" s="11"/>
      <c r="G3" s="11"/>
      <c r="H3" s="11"/>
      <c r="I3" s="90" t="s">
        <v>219</v>
      </c>
      <c r="J3" s="90"/>
      <c r="K3" s="90"/>
      <c r="L3" s="90"/>
    </row>
    <row r="4" spans="1:36" ht="14.25">
      <c r="A4" s="11"/>
      <c r="B4" s="11"/>
      <c r="C4" s="11"/>
      <c r="D4" s="11"/>
      <c r="E4" s="11"/>
      <c r="F4" s="11"/>
      <c r="G4" s="11"/>
      <c r="H4" s="11"/>
      <c r="I4" s="90" t="s">
        <v>220</v>
      </c>
      <c r="J4" s="90"/>
      <c r="K4" s="90"/>
      <c r="L4" s="90"/>
    </row>
    <row r="5" spans="1:36" ht="14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36" ht="14.25">
      <c r="A6" s="11"/>
      <c r="B6" s="11"/>
      <c r="C6" s="11"/>
      <c r="D6" s="11"/>
      <c r="E6" s="11"/>
      <c r="F6" s="11"/>
      <c r="G6" s="11"/>
      <c r="H6" s="11"/>
      <c r="I6" s="11"/>
      <c r="J6" s="91" t="s">
        <v>221</v>
      </c>
      <c r="K6" s="91"/>
      <c r="L6" s="91"/>
    </row>
    <row r="7" spans="1:36" ht="14.25">
      <c r="A7" s="11"/>
      <c r="B7" s="11"/>
      <c r="C7" s="11"/>
      <c r="D7" s="11"/>
      <c r="E7" s="11"/>
      <c r="F7" s="11"/>
      <c r="G7" s="11"/>
      <c r="H7" s="11"/>
      <c r="I7" s="10" t="s">
        <v>222</v>
      </c>
      <c r="J7" s="92" t="s">
        <v>223</v>
      </c>
      <c r="K7" s="92"/>
      <c r="L7" s="92"/>
    </row>
    <row r="8" spans="1:36" ht="14.25">
      <c r="A8" s="11"/>
      <c r="B8" s="11"/>
      <c r="C8" s="11"/>
      <c r="D8" s="11"/>
      <c r="E8" s="11"/>
      <c r="F8" s="11"/>
      <c r="G8" s="11"/>
      <c r="H8" s="11"/>
      <c r="I8" s="11"/>
      <c r="J8" s="91" t="str">
        <f>IF(Source!AT15 &lt;&gt; "", Source!AT15, "")</f>
        <v/>
      </c>
      <c r="K8" s="91"/>
      <c r="L8" s="91"/>
    </row>
    <row r="9" spans="1:36" ht="14.25">
      <c r="A9" s="11" t="s">
        <v>224</v>
      </c>
      <c r="B9" s="11"/>
      <c r="C9" s="93" t="str">
        <f>IF(Source!BA15 &lt;&gt; "", Source!BA15, IF(Source!AU15 &lt;&gt; "", Source!AU15, ""))</f>
        <v/>
      </c>
      <c r="D9" s="93"/>
      <c r="E9" s="93"/>
      <c r="F9" s="93"/>
      <c r="G9" s="93"/>
      <c r="H9" s="93"/>
      <c r="I9" s="10" t="s">
        <v>225</v>
      </c>
      <c r="J9" s="91"/>
      <c r="K9" s="91"/>
      <c r="L9" s="91"/>
    </row>
    <row r="10" spans="1:36" ht="14.25">
      <c r="A10" s="11"/>
      <c r="B10" s="11"/>
      <c r="C10" s="86" t="s">
        <v>226</v>
      </c>
      <c r="D10" s="86"/>
      <c r="E10" s="86"/>
      <c r="F10" s="86"/>
      <c r="G10" s="86"/>
      <c r="H10" s="86"/>
      <c r="I10" s="11"/>
      <c r="J10" s="91" t="str">
        <f>IF(Source!AK15 &lt;&gt; "", Source!AK15, "")</f>
        <v/>
      </c>
      <c r="K10" s="91"/>
      <c r="L10" s="91"/>
    </row>
    <row r="11" spans="1:36" ht="14.25">
      <c r="A11" s="11" t="s">
        <v>227</v>
      </c>
      <c r="B11" s="11"/>
      <c r="C11" s="93" t="str">
        <f>IF(Source!AX12&lt;&gt; "", Source!AX12, IF(Source!AJ12 &lt;&gt; "", Source!AJ12, ""))</f>
        <v>ГБУЗ "Туберкулезная больница им. Е.А. Рабухина  Департамента здравоохранения г.Москвы"</v>
      </c>
      <c r="D11" s="93"/>
      <c r="E11" s="93"/>
      <c r="F11" s="93"/>
      <c r="G11" s="93"/>
      <c r="H11" s="93"/>
      <c r="I11" s="10" t="s">
        <v>225</v>
      </c>
      <c r="J11" s="91"/>
      <c r="K11" s="91"/>
      <c r="L11" s="91"/>
      <c r="AJ11" s="43" t="str">
        <f>IF(Source!AX12&lt;&gt; "", Source!AX12, IF(Source!AJ12 &lt;&gt; "", Source!AJ12, ""))</f>
        <v>ГБУЗ "Туберкулезная больница им. Е.А. Рабухина  Департамента здравоохранения г.Москвы"</v>
      </c>
    </row>
    <row r="12" spans="1:36" ht="14.25">
      <c r="A12" s="11"/>
      <c r="B12" s="11"/>
      <c r="C12" s="86" t="s">
        <v>226</v>
      </c>
      <c r="D12" s="86"/>
      <c r="E12" s="86"/>
      <c r="F12" s="86"/>
      <c r="G12" s="86"/>
      <c r="H12" s="86"/>
      <c r="I12" s="11"/>
      <c r="J12" s="91" t="str">
        <f>IF(Source!AO15 &lt;&gt; "", Source!AO15, "")</f>
        <v/>
      </c>
      <c r="K12" s="91"/>
      <c r="L12" s="91"/>
    </row>
    <row r="13" spans="1:36" ht="14.25">
      <c r="A13" s="11" t="s">
        <v>228</v>
      </c>
      <c r="B13" s="11"/>
      <c r="C13" s="93" t="str">
        <f>IF(Source!AY12&lt;&gt; "", Source!AY12, IF(Source!AN12 &lt;&gt; "", Source!AN12, ""))</f>
        <v/>
      </c>
      <c r="D13" s="93"/>
      <c r="E13" s="93"/>
      <c r="F13" s="93"/>
      <c r="G13" s="93"/>
      <c r="H13" s="93"/>
      <c r="I13" s="10" t="s">
        <v>225</v>
      </c>
      <c r="J13" s="91"/>
      <c r="K13" s="91"/>
      <c r="L13" s="91"/>
    </row>
    <row r="14" spans="1:36" ht="14.25">
      <c r="A14" s="11"/>
      <c r="B14" s="11"/>
      <c r="C14" s="86" t="s">
        <v>226</v>
      </c>
      <c r="D14" s="86"/>
      <c r="E14" s="86"/>
      <c r="F14" s="86"/>
      <c r="G14" s="86"/>
      <c r="H14" s="86"/>
      <c r="I14" s="11"/>
      <c r="J14" s="91" t="str">
        <f>IF(Source!CO15 &lt;&gt; "", Source!CO15, "")</f>
        <v/>
      </c>
      <c r="K14" s="91"/>
      <c r="L14" s="91"/>
    </row>
    <row r="15" spans="1:36" ht="14.25">
      <c r="A15" s="11" t="s">
        <v>229</v>
      </c>
      <c r="B15" s="11"/>
      <c r="C15" s="93" t="s">
        <v>5</v>
      </c>
      <c r="D15" s="93"/>
      <c r="E15" s="93"/>
      <c r="F15" s="93"/>
      <c r="G15" s="93"/>
      <c r="H15" s="93"/>
      <c r="I15" s="11"/>
      <c r="J15" s="91"/>
      <c r="K15" s="91"/>
      <c r="L15" s="91"/>
      <c r="AJ15" s="43" t="s">
        <v>5</v>
      </c>
    </row>
    <row r="16" spans="1:36" ht="14.25">
      <c r="A16" s="11"/>
      <c r="B16" s="11"/>
      <c r="C16" s="86" t="s">
        <v>230</v>
      </c>
      <c r="D16" s="86"/>
      <c r="E16" s="86"/>
      <c r="F16" s="86"/>
      <c r="G16" s="86"/>
      <c r="H16" s="86"/>
      <c r="I16" s="11"/>
      <c r="J16" s="91" t="str">
        <f>IF(Source!CP15 &lt;&gt; "", Source!CP15, "")</f>
        <v/>
      </c>
      <c r="K16" s="91"/>
      <c r="L16" s="91"/>
    </row>
    <row r="17" spans="1:36" ht="14.25">
      <c r="A17" s="11" t="s">
        <v>231</v>
      </c>
      <c r="B17" s="11"/>
      <c r="C17" s="72" t="str">
        <f>IF(Source!G12&lt;&gt;"Новый объект", Source!G12, "")</f>
        <v>Устройство разметки на стоянках ГБУЗ "ТБ им. А.Е. Рабухина ДЗМ" в 2021г.</v>
      </c>
      <c r="D17" s="72"/>
      <c r="E17" s="72"/>
      <c r="F17" s="72"/>
      <c r="G17" s="72"/>
      <c r="H17" s="72"/>
      <c r="I17" s="11"/>
      <c r="J17" s="91"/>
      <c r="K17" s="91"/>
      <c r="L17" s="91"/>
      <c r="AJ17" s="44" t="str">
        <f>IF(Source!G12&lt;&gt;"Новый объект", Source!G12, "")</f>
        <v>Устройство разметки на стоянках ГБУЗ "ТБ им. А.Е. Рабухина ДЗМ" в 2021г.</v>
      </c>
    </row>
    <row r="18" spans="1:36" ht="14.25">
      <c r="A18" s="11"/>
      <c r="B18" s="11"/>
      <c r="C18" s="86" t="s">
        <v>232</v>
      </c>
      <c r="D18" s="86"/>
      <c r="E18" s="86"/>
      <c r="F18" s="86"/>
      <c r="G18" s="86"/>
      <c r="H18" s="86"/>
      <c r="I18" s="11"/>
      <c r="J18" s="11"/>
      <c r="K18" s="11"/>
      <c r="L18" s="11"/>
    </row>
    <row r="19" spans="1:36" ht="14.25">
      <c r="A19" s="11"/>
      <c r="B19" s="11"/>
      <c r="C19" s="11"/>
      <c r="D19" s="11"/>
      <c r="E19" s="11"/>
      <c r="F19" s="11"/>
      <c r="G19" s="71" t="s">
        <v>233</v>
      </c>
      <c r="H19" s="71"/>
      <c r="I19" s="95"/>
      <c r="J19" s="91" t="str">
        <f>IF(Source!CQ15 &lt;&gt; "", Source!CQ15, "")</f>
        <v/>
      </c>
      <c r="K19" s="91"/>
      <c r="L19" s="91"/>
    </row>
    <row r="20" spans="1:36" ht="14.25">
      <c r="A20" s="11"/>
      <c r="B20" s="11"/>
      <c r="C20" s="11"/>
      <c r="D20" s="11"/>
      <c r="E20" s="11"/>
      <c r="F20" s="11"/>
      <c r="G20" s="71" t="s">
        <v>234</v>
      </c>
      <c r="H20" s="96"/>
      <c r="I20" s="37" t="s">
        <v>235</v>
      </c>
      <c r="J20" s="91" t="str">
        <f>IF(Source!CR15 &lt;&gt; "", Source!CR15, "")</f>
        <v/>
      </c>
      <c r="K20" s="91"/>
      <c r="L20" s="91"/>
    </row>
    <row r="21" spans="1:36" ht="14.25">
      <c r="A21" s="11"/>
      <c r="B21" s="11"/>
      <c r="C21" s="11"/>
      <c r="D21" s="11"/>
      <c r="E21" s="11"/>
      <c r="F21" s="11"/>
      <c r="G21" s="11"/>
      <c r="H21" s="11"/>
      <c r="I21" s="38" t="s">
        <v>236</v>
      </c>
      <c r="J21" s="97" t="str">
        <f>IF(Source!CS15 &lt;&gt; 0, Source!CS15, "")</f>
        <v/>
      </c>
      <c r="K21" s="97"/>
      <c r="L21" s="97"/>
    </row>
    <row r="22" spans="1:36" ht="14.25">
      <c r="A22" s="11"/>
      <c r="B22" s="11"/>
      <c r="C22" s="11"/>
      <c r="D22" s="11"/>
      <c r="E22" s="11"/>
      <c r="F22" s="11"/>
      <c r="G22" s="11"/>
      <c r="H22" s="11"/>
      <c r="I22" s="10" t="s">
        <v>237</v>
      </c>
      <c r="J22" s="91" t="str">
        <f>IF(Source!CT15 &lt;&gt; "", Source!CT15, "")</f>
        <v/>
      </c>
      <c r="K22" s="91"/>
      <c r="L22" s="91"/>
    </row>
    <row r="23" spans="1:36" ht="14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36" ht="14.25">
      <c r="A24" s="11"/>
      <c r="B24" s="11"/>
      <c r="C24" s="11"/>
      <c r="D24" s="11"/>
      <c r="E24" s="11"/>
      <c r="F24" s="11"/>
      <c r="G24" s="98" t="s">
        <v>238</v>
      </c>
      <c r="H24" s="100" t="s">
        <v>239</v>
      </c>
      <c r="I24" s="100" t="s">
        <v>240</v>
      </c>
      <c r="J24" s="102"/>
      <c r="K24" s="11"/>
      <c r="L24" s="11"/>
    </row>
    <row r="25" spans="1:36" ht="14.25">
      <c r="A25" s="11"/>
      <c r="B25" s="11"/>
      <c r="C25" s="11"/>
      <c r="D25" s="11"/>
      <c r="E25" s="11"/>
      <c r="F25" s="11"/>
      <c r="G25" s="99"/>
      <c r="H25" s="101"/>
      <c r="I25" s="39" t="s">
        <v>241</v>
      </c>
      <c r="J25" s="40" t="s">
        <v>242</v>
      </c>
      <c r="K25" s="11"/>
      <c r="L25" s="11"/>
    </row>
    <row r="26" spans="1:36" ht="14.25">
      <c r="A26" s="11"/>
      <c r="B26" s="11"/>
      <c r="C26" s="11"/>
      <c r="D26" s="11"/>
      <c r="E26" s="11"/>
      <c r="F26" s="11"/>
      <c r="G26" s="41" t="str">
        <f>IF(Source!CN15 &lt;&gt; "", Source!CN15, "")</f>
        <v/>
      </c>
      <c r="H26" s="42" t="str">
        <f>IF(Source!CX15 &lt;&gt; 0, Source!CX15, "")</f>
        <v/>
      </c>
      <c r="I26" s="42" t="str">
        <f>IF(Source!CV15 &lt;&gt; 0, Source!CV15, "")</f>
        <v/>
      </c>
      <c r="J26" s="42" t="str">
        <f>IF(Source!CW15 &lt;&gt; 0, Source!CW15, "")</f>
        <v/>
      </c>
      <c r="K26" s="11"/>
      <c r="L26" s="11"/>
    </row>
    <row r="27" spans="1:36" ht="14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36" ht="18">
      <c r="A28" s="94" t="s">
        <v>243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</row>
    <row r="29" spans="1:36" ht="18">
      <c r="A29" s="94" t="s">
        <v>244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36" ht="14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36" ht="15">
      <c r="A31" s="11" t="s">
        <v>245</v>
      </c>
      <c r="B31" s="11"/>
      <c r="C31" s="11"/>
      <c r="D31" s="11"/>
      <c r="E31" s="11"/>
      <c r="F31" s="11"/>
      <c r="G31" s="11"/>
      <c r="H31" s="103">
        <f>(Source!F91/1000)</f>
        <v>452.53962999999999</v>
      </c>
      <c r="I31" s="103"/>
      <c r="J31" s="11" t="s">
        <v>246</v>
      </c>
      <c r="K31" s="11"/>
      <c r="L31" s="11"/>
    </row>
    <row r="32" spans="1:36" ht="14.25">
      <c r="A32" s="93" t="s">
        <v>199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</row>
    <row r="33" spans="1:27" ht="14.25">
      <c r="A33" s="104" t="s">
        <v>247</v>
      </c>
      <c r="B33" s="104"/>
      <c r="C33" s="104" t="s">
        <v>187</v>
      </c>
      <c r="D33" s="104" t="s">
        <v>188</v>
      </c>
      <c r="E33" s="104" t="s">
        <v>189</v>
      </c>
      <c r="F33" s="104" t="s">
        <v>190</v>
      </c>
      <c r="G33" s="104" t="s">
        <v>191</v>
      </c>
      <c r="H33" s="81" t="s">
        <v>192</v>
      </c>
      <c r="I33" s="81" t="s">
        <v>193</v>
      </c>
      <c r="J33" s="104" t="s">
        <v>248</v>
      </c>
      <c r="K33" s="104" t="s">
        <v>249</v>
      </c>
      <c r="L33" s="104" t="s">
        <v>250</v>
      </c>
    </row>
    <row r="34" spans="1:27">
      <c r="A34" s="81" t="s">
        <v>251</v>
      </c>
      <c r="B34" s="81" t="s">
        <v>252</v>
      </c>
      <c r="C34" s="104"/>
      <c r="D34" s="104"/>
      <c r="E34" s="104"/>
      <c r="F34" s="104"/>
      <c r="G34" s="104"/>
      <c r="H34" s="82"/>
      <c r="I34" s="82"/>
      <c r="J34" s="104"/>
      <c r="K34" s="104"/>
      <c r="L34" s="104"/>
    </row>
    <row r="35" spans="1:27">
      <c r="A35" s="82"/>
      <c r="B35" s="82"/>
      <c r="C35" s="104"/>
      <c r="D35" s="104"/>
      <c r="E35" s="104"/>
      <c r="F35" s="104"/>
      <c r="G35" s="104"/>
      <c r="H35" s="82"/>
      <c r="I35" s="82"/>
      <c r="J35" s="104"/>
      <c r="K35" s="104"/>
      <c r="L35" s="104"/>
    </row>
    <row r="36" spans="1:27" ht="20.100000000000001" customHeight="1">
      <c r="A36" s="82"/>
      <c r="B36" s="82"/>
      <c r="C36" s="104"/>
      <c r="D36" s="104"/>
      <c r="E36" s="104"/>
      <c r="F36" s="104"/>
      <c r="G36" s="104"/>
      <c r="H36" s="82"/>
      <c r="I36" s="82"/>
      <c r="J36" s="104"/>
      <c r="K36" s="104"/>
      <c r="L36" s="104"/>
    </row>
    <row r="37" spans="1:27" ht="20.100000000000001" customHeight="1">
      <c r="A37" s="105"/>
      <c r="B37" s="105"/>
      <c r="C37" s="104"/>
      <c r="D37" s="104"/>
      <c r="E37" s="104"/>
      <c r="F37" s="104"/>
      <c r="G37" s="104"/>
      <c r="H37" s="105"/>
      <c r="I37" s="105"/>
      <c r="J37" s="104"/>
      <c r="K37" s="104"/>
      <c r="L37" s="104"/>
    </row>
    <row r="38" spans="1:27" ht="14.25">
      <c r="A38" s="20">
        <v>1</v>
      </c>
      <c r="B38" s="20">
        <v>2</v>
      </c>
      <c r="C38" s="20">
        <v>3</v>
      </c>
      <c r="D38" s="20">
        <v>4</v>
      </c>
      <c r="E38" s="20">
        <v>5</v>
      </c>
      <c r="F38" s="20">
        <v>6</v>
      </c>
      <c r="G38" s="20">
        <v>7</v>
      </c>
      <c r="H38" s="20">
        <v>8</v>
      </c>
      <c r="I38" s="20">
        <v>9</v>
      </c>
      <c r="J38" s="20">
        <v>10</v>
      </c>
      <c r="K38" s="20">
        <v>11</v>
      </c>
      <c r="L38" s="20">
        <v>12</v>
      </c>
    </row>
    <row r="40" spans="1:27" ht="16.5">
      <c r="A40" s="83" t="str">
        <f>CONCATENATE("Локальная смета: ",IF(Source!G20&lt;&gt;"Новая локальная смета", Source!G20, ""))</f>
        <v xml:space="preserve">Локальная смета: 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27" ht="57">
      <c r="A41" s="21">
        <v>1</v>
      </c>
      <c r="B41" s="21" t="str">
        <f>Source!E24</f>
        <v>1</v>
      </c>
      <c r="C41" s="22" t="str">
        <f>Source!F24</f>
        <v>2.1-3203-3-1/1</v>
      </c>
      <c r="D41" s="22" t="s">
        <v>22</v>
      </c>
      <c r="E41" s="23" t="str">
        <f>Source!H24</f>
        <v>м2</v>
      </c>
      <c r="F41" s="10">
        <f>Source!I24</f>
        <v>147</v>
      </c>
      <c r="G41" s="25"/>
      <c r="H41" s="24"/>
      <c r="I41" s="10"/>
      <c r="J41" s="26"/>
      <c r="K41" s="10"/>
      <c r="L41" s="26"/>
      <c r="Q41">
        <f>ROUND((Source!BZ24/100)*ROUND((Source!AF24*Source!AV24)*Source!I24, 2), 2)</f>
        <v>21591.360000000001</v>
      </c>
      <c r="R41">
        <f>Source!X24</f>
        <v>21591.360000000001</v>
      </c>
      <c r="S41">
        <f>ROUND((Source!CA24/100)*ROUND((Source!AF24*Source!AV24)*Source!I24, 2), 2)</f>
        <v>2698.92</v>
      </c>
      <c r="T41">
        <f>Source!Y24</f>
        <v>2698.92</v>
      </c>
      <c r="U41">
        <f>ROUND((175/100)*ROUND((Source!AE24*Source!AV24)*Source!I24, 2), 2)</f>
        <v>120.91</v>
      </c>
      <c r="V41">
        <f>ROUND((108/100)*ROUND(Source!CS24*Source!I24, 2), 2)</f>
        <v>74.62</v>
      </c>
    </row>
    <row r="42" spans="1:27" ht="14.25">
      <c r="A42" s="21"/>
      <c r="B42" s="21"/>
      <c r="C42" s="22"/>
      <c r="D42" s="22" t="s">
        <v>200</v>
      </c>
      <c r="E42" s="23"/>
      <c r="F42" s="10"/>
      <c r="G42" s="25">
        <f>Source!AO24</f>
        <v>183.6</v>
      </c>
      <c r="H42" s="24" t="str">
        <f>Source!DG24</f>
        <v/>
      </c>
      <c r="I42" s="10">
        <f>Source!AV24</f>
        <v>1</v>
      </c>
      <c r="J42" s="26">
        <f>ROUND((Source!AF24*Source!AV24)*Source!I24, 2)</f>
        <v>26989.200000000001</v>
      </c>
      <c r="K42" s="10">
        <f>IF(Source!BA24&lt;&gt; 0, Source!BA24, 1)</f>
        <v>1</v>
      </c>
      <c r="L42" s="26">
        <f>Source!S24</f>
        <v>26989.200000000001</v>
      </c>
      <c r="W42">
        <f>J42</f>
        <v>26989.200000000001</v>
      </c>
    </row>
    <row r="43" spans="1:27" ht="14.25">
      <c r="A43" s="21"/>
      <c r="B43" s="21"/>
      <c r="C43" s="22"/>
      <c r="D43" s="22" t="s">
        <v>201</v>
      </c>
      <c r="E43" s="23"/>
      <c r="F43" s="10"/>
      <c r="G43" s="25">
        <f>Source!AM24</f>
        <v>11.98</v>
      </c>
      <c r="H43" s="24" t="str">
        <f>Source!DE24</f>
        <v/>
      </c>
      <c r="I43" s="10">
        <f>Source!AV24</f>
        <v>1</v>
      </c>
      <c r="J43" s="26">
        <f>ROUND(((((Source!ET24)-(Source!EU24))+Source!AE24)*Source!AV24)*Source!I24, 2)</f>
        <v>1761.06</v>
      </c>
      <c r="K43" s="10">
        <f>IF(Source!BB24&lt;&gt; 0, Source!BB24, 1)</f>
        <v>1</v>
      </c>
      <c r="L43" s="26">
        <f>Source!Q24</f>
        <v>1761.06</v>
      </c>
    </row>
    <row r="44" spans="1:27" ht="14.25">
      <c r="A44" s="21"/>
      <c r="B44" s="21"/>
      <c r="C44" s="22"/>
      <c r="D44" s="22" t="s">
        <v>202</v>
      </c>
      <c r="E44" s="23"/>
      <c r="F44" s="10"/>
      <c r="G44" s="25">
        <f>Source!AN24</f>
        <v>0.47</v>
      </c>
      <c r="H44" s="24" t="str">
        <f>Source!DF24</f>
        <v/>
      </c>
      <c r="I44" s="10">
        <f>Source!AV24</f>
        <v>1</v>
      </c>
      <c r="J44" s="27">
        <f>ROUND((Source!AE24*Source!AV24)*Source!I24, 2)</f>
        <v>69.09</v>
      </c>
      <c r="K44" s="10">
        <f>IF(Source!BS24&lt;&gt; 0, Source!BS24, 1)</f>
        <v>1</v>
      </c>
      <c r="L44" s="27">
        <f>Source!R24</f>
        <v>69.09</v>
      </c>
      <c r="W44">
        <f>J44</f>
        <v>69.09</v>
      </c>
    </row>
    <row r="45" spans="1:27" ht="14.25">
      <c r="A45" s="21"/>
      <c r="B45" s="21"/>
      <c r="C45" s="22"/>
      <c r="D45" s="22" t="s">
        <v>203</v>
      </c>
      <c r="E45" s="23"/>
      <c r="F45" s="10"/>
      <c r="G45" s="25">
        <f>Source!AL24</f>
        <v>1324.53</v>
      </c>
      <c r="H45" s="24" t="str">
        <f>Source!DD24</f>
        <v/>
      </c>
      <c r="I45" s="10">
        <f>Source!AW24</f>
        <v>1</v>
      </c>
      <c r="J45" s="26">
        <f>ROUND((Source!AC24*Source!AW24)*Source!I24, 2)</f>
        <v>194705.91</v>
      </c>
      <c r="K45" s="10">
        <f>IF(Source!BC24&lt;&gt; 0, Source!BC24, 1)</f>
        <v>1</v>
      </c>
      <c r="L45" s="26">
        <f>Source!P24</f>
        <v>194705.91</v>
      </c>
    </row>
    <row r="46" spans="1:27" ht="84">
      <c r="A46" s="21">
        <v>2</v>
      </c>
      <c r="B46" s="21" t="str">
        <f>Source!E25</f>
        <v>1,1</v>
      </c>
      <c r="C46" s="22" t="str">
        <f>Source!F25</f>
        <v>по счету поставщика</v>
      </c>
      <c r="D46" s="22" t="s">
        <v>204</v>
      </c>
      <c r="E46" s="23" t="str">
        <f>Source!H25</f>
        <v>кг</v>
      </c>
      <c r="F46" s="10">
        <f>Source!I25</f>
        <v>201.39</v>
      </c>
      <c r="G46" s="25">
        <f>Source!AK25</f>
        <v>91.67</v>
      </c>
      <c r="H46" s="28" t="s">
        <v>4</v>
      </c>
      <c r="I46" s="10">
        <f>Source!AW25</f>
        <v>1</v>
      </c>
      <c r="J46" s="26">
        <f>ROUND((Source!AC25*Source!AW25)*Source!I25, 2)+ROUND(((((Source!ET25)-(Source!EU25))+Source!AE25)*Source!AV25)*Source!I25, 2)+ROUND((Source!AF25*Source!AV25)*Source!I25, 2)</f>
        <v>18461.419999999998</v>
      </c>
      <c r="K46" s="10">
        <f>IF(Source!BC25&lt;&gt; 0, Source!BC25, 1)</f>
        <v>1</v>
      </c>
      <c r="L46" s="26">
        <f>Source!O25</f>
        <v>18461.419999999998</v>
      </c>
      <c r="Q46">
        <f>ROUND((Source!BZ25/100)*ROUND((Source!AF25*Source!AV25)*Source!I25, 2), 2)</f>
        <v>0</v>
      </c>
      <c r="R46">
        <f>Source!X25</f>
        <v>0</v>
      </c>
      <c r="S46">
        <f>ROUND((Source!CA25/100)*ROUND((Source!AF25*Source!AV25)*Source!I25, 2), 2)</f>
        <v>0</v>
      </c>
      <c r="T46">
        <f>Source!Y25</f>
        <v>0</v>
      </c>
      <c r="U46">
        <f>ROUND((175/100)*ROUND((Source!AE25*Source!AV25)*Source!I25, 2), 2)</f>
        <v>0</v>
      </c>
      <c r="V46">
        <f>ROUND((108/100)*ROUND(Source!CS25*Source!I25, 2), 2)</f>
        <v>0</v>
      </c>
      <c r="X46">
        <f>IF(Source!BI25&lt;=1,J46, 0)</f>
        <v>18461.419999999998</v>
      </c>
      <c r="Y46">
        <f>IF(Source!BI25=2,J46, 0)</f>
        <v>0</v>
      </c>
      <c r="Z46">
        <f>IF(Source!BI25=3,J46, 0)</f>
        <v>0</v>
      </c>
      <c r="AA46">
        <f>IF(Source!BI25=4,J46, 0)</f>
        <v>0</v>
      </c>
    </row>
    <row r="47" spans="1:27" ht="14.25">
      <c r="A47" s="21"/>
      <c r="B47" s="21"/>
      <c r="C47" s="22"/>
      <c r="D47" s="22" t="s">
        <v>205</v>
      </c>
      <c r="E47" s="23" t="s">
        <v>206</v>
      </c>
      <c r="F47" s="10">
        <f>Source!BZ24</f>
        <v>80</v>
      </c>
      <c r="G47" s="25"/>
      <c r="H47" s="24"/>
      <c r="I47" s="10"/>
      <c r="J47" s="26">
        <f>SUM(Q41:Q46)</f>
        <v>21591.360000000001</v>
      </c>
      <c r="K47" s="10">
        <f>Source!AT24</f>
        <v>80</v>
      </c>
      <c r="L47" s="26">
        <f>SUM(R41:R46)</f>
        <v>21591.360000000001</v>
      </c>
    </row>
    <row r="48" spans="1:27" ht="14.25">
      <c r="A48" s="21"/>
      <c r="B48" s="21"/>
      <c r="C48" s="22"/>
      <c r="D48" s="22" t="s">
        <v>207</v>
      </c>
      <c r="E48" s="23" t="s">
        <v>206</v>
      </c>
      <c r="F48" s="10">
        <f>Source!CA24</f>
        <v>10</v>
      </c>
      <c r="G48" s="25"/>
      <c r="H48" s="24"/>
      <c r="I48" s="10"/>
      <c r="J48" s="26">
        <f>SUM(S41:S47)</f>
        <v>2698.92</v>
      </c>
      <c r="K48" s="10">
        <f>Source!AU24</f>
        <v>10</v>
      </c>
      <c r="L48" s="26">
        <f>SUM(T41:T47)</f>
        <v>2698.92</v>
      </c>
    </row>
    <row r="49" spans="1:27" ht="14.25">
      <c r="A49" s="21"/>
      <c r="B49" s="21"/>
      <c r="C49" s="22"/>
      <c r="D49" s="22" t="s">
        <v>208</v>
      </c>
      <c r="E49" s="23" t="s">
        <v>206</v>
      </c>
      <c r="F49" s="10">
        <f>175</f>
        <v>175</v>
      </c>
      <c r="G49" s="25"/>
      <c r="H49" s="24"/>
      <c r="I49" s="10"/>
      <c r="J49" s="26">
        <f>SUM(U41:U48)</f>
        <v>120.91</v>
      </c>
      <c r="K49" s="10">
        <f>108</f>
        <v>108</v>
      </c>
      <c r="L49" s="26">
        <f>SUM(V41:V48)</f>
        <v>74.62</v>
      </c>
    </row>
    <row r="50" spans="1:27" ht="14.25">
      <c r="A50" s="21"/>
      <c r="B50" s="21"/>
      <c r="C50" s="22"/>
      <c r="D50" s="22" t="s">
        <v>209</v>
      </c>
      <c r="E50" s="23" t="s">
        <v>210</v>
      </c>
      <c r="F50" s="10">
        <f>Source!AQ24</f>
        <v>0.88</v>
      </c>
      <c r="G50" s="25"/>
      <c r="H50" s="24" t="str">
        <f>Source!DI24</f>
        <v/>
      </c>
      <c r="I50" s="10">
        <f>Source!AV24</f>
        <v>1</v>
      </c>
      <c r="J50" s="26">
        <f>Source!U24</f>
        <v>129.36000000000001</v>
      </c>
      <c r="K50" s="10"/>
      <c r="L50" s="26"/>
    </row>
    <row r="51" spans="1:27" ht="15">
      <c r="A51" s="31"/>
      <c r="B51" s="31"/>
      <c r="C51" s="31"/>
      <c r="D51" s="31"/>
      <c r="E51" s="31"/>
      <c r="F51" s="31"/>
      <c r="G51" s="31"/>
      <c r="H51" s="31"/>
      <c r="I51" s="84">
        <f>J42+J43+J45+J47+J48+J49+SUM(J46:J46)</f>
        <v>266328.78000000003</v>
      </c>
      <c r="J51" s="84"/>
      <c r="K51" s="84">
        <f>L42+L43+L45+L47+L48+L49+SUM(L46:L46)</f>
        <v>266282.49000000005</v>
      </c>
      <c r="L51" s="84"/>
      <c r="O51" s="29">
        <f>J42+J43+J45+J47+J48+J49+SUM(J46:J46)</f>
        <v>266328.78000000003</v>
      </c>
      <c r="P51" s="29">
        <f>L42+L43+L45+L47+L48+L49+SUM(L46:L46)</f>
        <v>266282.49000000005</v>
      </c>
      <c r="X51">
        <f>IF(Source!BI24&lt;=1,J42+J43+J45+J47+J48+J49-0, 0)</f>
        <v>0</v>
      </c>
      <c r="Y51">
        <f>IF(Source!BI24=2,J42+J43+J45+J47+J48+J49-0, 0)</f>
        <v>0</v>
      </c>
      <c r="Z51">
        <f>IF(Source!BI24=3,J42+J43+J45+J47+J48+J49-0, 0)</f>
        <v>0</v>
      </c>
      <c r="AA51">
        <f>IF(Source!BI24=4,J42+J43+J45+J47+J48+J49,0)</f>
        <v>247867.36000000004</v>
      </c>
    </row>
    <row r="52" spans="1:27" ht="42.75">
      <c r="A52" s="21">
        <v>3</v>
      </c>
      <c r="B52" s="21" t="str">
        <f>Source!E26</f>
        <v>2</v>
      </c>
      <c r="C52" s="22" t="str">
        <f>Source!F26</f>
        <v>2.1-3203-8-1/1</v>
      </c>
      <c r="D52" s="22" t="s">
        <v>37</v>
      </c>
      <c r="E52" s="23" t="str">
        <f>Source!H26</f>
        <v>100 шт.</v>
      </c>
      <c r="F52" s="10">
        <f>Source!I26</f>
        <v>0.12</v>
      </c>
      <c r="G52" s="25"/>
      <c r="H52" s="24"/>
      <c r="I52" s="10"/>
      <c r="J52" s="26"/>
      <c r="K52" s="10"/>
      <c r="L52" s="26"/>
      <c r="Q52">
        <f>ROUND((Source!BZ26/100)*ROUND((Source!AF26*Source!AV26)*Source!I26, 2), 2)</f>
        <v>5816.83</v>
      </c>
      <c r="R52">
        <f>Source!X26</f>
        <v>5816.83</v>
      </c>
      <c r="S52">
        <f>ROUND((Source!CA26/100)*ROUND((Source!AF26*Source!AV26)*Source!I26, 2), 2)</f>
        <v>830.98</v>
      </c>
      <c r="T52">
        <f>Source!Y26</f>
        <v>830.98</v>
      </c>
      <c r="U52">
        <f>ROUND((175/100)*ROUND((Source!AE26*Source!AV26)*Source!I26, 2), 2)</f>
        <v>1839.86</v>
      </c>
      <c r="V52">
        <f>ROUND((108/100)*ROUND(Source!CS26*Source!I26, 2), 2)</f>
        <v>1135.46</v>
      </c>
    </row>
    <row r="53" spans="1:27">
      <c r="D53" s="33" t="str">
        <f>"Объем: "&amp;Source!I26&amp;"=12/"&amp;"100"</f>
        <v>Объем: 0,12=12/100</v>
      </c>
    </row>
    <row r="54" spans="1:27" ht="14.25">
      <c r="A54" s="21"/>
      <c r="B54" s="21"/>
      <c r="C54" s="22"/>
      <c r="D54" s="22" t="s">
        <v>200</v>
      </c>
      <c r="E54" s="23"/>
      <c r="F54" s="10"/>
      <c r="G54" s="25">
        <f>Source!AO26</f>
        <v>69247.89</v>
      </c>
      <c r="H54" s="24" t="str">
        <f>Source!DG26</f>
        <v/>
      </c>
      <c r="I54" s="10">
        <f>Source!AV26</f>
        <v>1</v>
      </c>
      <c r="J54" s="26">
        <f>ROUND((Source!AF26*Source!AV26)*Source!I26, 2)</f>
        <v>8309.75</v>
      </c>
      <c r="K54" s="10">
        <f>IF(Source!BA26&lt;&gt; 0, Source!BA26, 1)</f>
        <v>1</v>
      </c>
      <c r="L54" s="26">
        <f>Source!S26</f>
        <v>8309.75</v>
      </c>
      <c r="W54">
        <f>J54</f>
        <v>8309.75</v>
      </c>
    </row>
    <row r="55" spans="1:27" ht="14.25">
      <c r="A55" s="21"/>
      <c r="B55" s="21"/>
      <c r="C55" s="22"/>
      <c r="D55" s="22" t="s">
        <v>201</v>
      </c>
      <c r="E55" s="23"/>
      <c r="F55" s="10"/>
      <c r="G55" s="25">
        <f>Source!AM26</f>
        <v>17727.330000000002</v>
      </c>
      <c r="H55" s="24" t="str">
        <f>Source!DE26</f>
        <v/>
      </c>
      <c r="I55" s="10">
        <f>Source!AV26</f>
        <v>1</v>
      </c>
      <c r="J55" s="26">
        <f>ROUND(((((Source!ET26)-(Source!EU26))+Source!AE26)*Source!AV26)*Source!I26, 2)</f>
        <v>2127.2800000000002</v>
      </c>
      <c r="K55" s="10">
        <f>IF(Source!BB26&lt;&gt; 0, Source!BB26, 1)</f>
        <v>1</v>
      </c>
      <c r="L55" s="26">
        <f>Source!Q26</f>
        <v>2127.2800000000002</v>
      </c>
    </row>
    <row r="56" spans="1:27" ht="14.25">
      <c r="A56" s="21"/>
      <c r="B56" s="21"/>
      <c r="C56" s="22"/>
      <c r="D56" s="22" t="s">
        <v>202</v>
      </c>
      <c r="E56" s="23"/>
      <c r="F56" s="10"/>
      <c r="G56" s="25">
        <f>Source!AN26</f>
        <v>8761.2199999999993</v>
      </c>
      <c r="H56" s="24" t="str">
        <f>Source!DF26</f>
        <v/>
      </c>
      <c r="I56" s="10">
        <f>Source!AV26</f>
        <v>1</v>
      </c>
      <c r="J56" s="27">
        <f>ROUND((Source!AE26*Source!AV26)*Source!I26, 2)</f>
        <v>1051.3499999999999</v>
      </c>
      <c r="K56" s="10">
        <f>IF(Source!BS26&lt;&gt; 0, Source!BS26, 1)</f>
        <v>1</v>
      </c>
      <c r="L56" s="27">
        <f>Source!R26</f>
        <v>1051.3499999999999</v>
      </c>
      <c r="W56">
        <f>J56</f>
        <v>1051.3499999999999</v>
      </c>
    </row>
    <row r="57" spans="1:27" ht="14.25">
      <c r="A57" s="21"/>
      <c r="B57" s="21"/>
      <c r="C57" s="22"/>
      <c r="D57" s="22" t="s">
        <v>203</v>
      </c>
      <c r="E57" s="23"/>
      <c r="F57" s="10"/>
      <c r="G57" s="25">
        <f>Source!AL26</f>
        <v>185650.06</v>
      </c>
      <c r="H57" s="24" t="str">
        <f>Source!DD26</f>
        <v/>
      </c>
      <c r="I57" s="10">
        <f>Source!AW26</f>
        <v>1</v>
      </c>
      <c r="J57" s="26">
        <f>ROUND((Source!AC26*Source!AW26)*Source!I26, 2)</f>
        <v>22278.01</v>
      </c>
      <c r="K57" s="10">
        <f>IF(Source!BC26&lt;&gt; 0, Source!BC26, 1)</f>
        <v>1</v>
      </c>
      <c r="L57" s="26">
        <f>Source!P26</f>
        <v>22278.01</v>
      </c>
    </row>
    <row r="58" spans="1:27" ht="42.75">
      <c r="A58" s="21">
        <v>4</v>
      </c>
      <c r="B58" s="21" t="str">
        <f>Source!E27</f>
        <v>2,1</v>
      </c>
      <c r="C58" s="22" t="str">
        <f>Source!F27</f>
        <v>по счету поставщика</v>
      </c>
      <c r="D58" s="22" t="s">
        <v>211</v>
      </c>
      <c r="E58" s="23" t="str">
        <f>Source!H27</f>
        <v>ШТ</v>
      </c>
      <c r="F58" s="10">
        <f>Source!I27</f>
        <v>7</v>
      </c>
      <c r="G58" s="25">
        <f>Source!AK27</f>
        <v>458.33</v>
      </c>
      <c r="H58" s="28" t="s">
        <v>4</v>
      </c>
      <c r="I58" s="10">
        <f>Source!AW27</f>
        <v>1</v>
      </c>
      <c r="J58" s="26">
        <f>ROUND((Source!AC27*Source!AW27)*Source!I27, 2)+ROUND(((((Source!ET27)-(Source!EU27))+Source!AE27)*Source!AV27)*Source!I27, 2)+ROUND((Source!AF27*Source!AV27)*Source!I27, 2)</f>
        <v>3208.31</v>
      </c>
      <c r="K58" s="10">
        <f>IF(Source!BC27&lt;&gt; 0, Source!BC27, 1)</f>
        <v>1</v>
      </c>
      <c r="L58" s="26">
        <f>Source!O27</f>
        <v>3208.31</v>
      </c>
      <c r="Q58">
        <f>ROUND((Source!BZ27/100)*ROUND((Source!AF27*Source!AV27)*Source!I27, 2), 2)</f>
        <v>0</v>
      </c>
      <c r="R58">
        <f>Source!X27</f>
        <v>0</v>
      </c>
      <c r="S58">
        <f>ROUND((Source!CA27/100)*ROUND((Source!AF27*Source!AV27)*Source!I27, 2), 2)</f>
        <v>0</v>
      </c>
      <c r="T58">
        <f>Source!Y27</f>
        <v>0</v>
      </c>
      <c r="U58">
        <f>ROUND((175/100)*ROUND((Source!AE27*Source!AV27)*Source!I27, 2), 2)</f>
        <v>0</v>
      </c>
      <c r="V58">
        <f>ROUND((108/100)*ROUND(Source!CS27*Source!I27, 2), 2)</f>
        <v>0</v>
      </c>
      <c r="X58">
        <f>IF(Source!BI27&lt;=1,J58, 0)</f>
        <v>0</v>
      </c>
      <c r="Y58">
        <f>IF(Source!BI27=2,J58, 0)</f>
        <v>0</v>
      </c>
      <c r="Z58">
        <f>IF(Source!BI27=3,J58, 0)</f>
        <v>0</v>
      </c>
      <c r="AA58">
        <f>IF(Source!BI27=4,J58, 0)</f>
        <v>3208.31</v>
      </c>
    </row>
    <row r="59" spans="1:27" ht="42.75">
      <c r="A59" s="21">
        <v>5</v>
      </c>
      <c r="B59" s="21" t="str">
        <f>Source!E28</f>
        <v>2,2</v>
      </c>
      <c r="C59" s="22" t="str">
        <f>Source!F28</f>
        <v>по счету поставщика</v>
      </c>
      <c r="D59" s="22" t="s">
        <v>212</v>
      </c>
      <c r="E59" s="23" t="str">
        <f>Source!H28</f>
        <v>ШТ</v>
      </c>
      <c r="F59" s="10">
        <f>Source!I28</f>
        <v>8</v>
      </c>
      <c r="G59" s="25">
        <f>Source!AK28</f>
        <v>875</v>
      </c>
      <c r="H59" s="28" t="s">
        <v>4</v>
      </c>
      <c r="I59" s="10">
        <f>Source!AW28</f>
        <v>1</v>
      </c>
      <c r="J59" s="26">
        <f>ROUND((Source!AC28*Source!AW28)*Source!I28, 2)+ROUND(((((Source!ET28)-(Source!EU28))+Source!AE28)*Source!AV28)*Source!I28, 2)+ROUND((Source!AF28*Source!AV28)*Source!I28, 2)</f>
        <v>7000</v>
      </c>
      <c r="K59" s="10">
        <f>IF(Source!BC28&lt;&gt; 0, Source!BC28, 1)</f>
        <v>1</v>
      </c>
      <c r="L59" s="26">
        <f>Source!O28</f>
        <v>7000</v>
      </c>
      <c r="Q59">
        <f>ROUND((Source!BZ28/100)*ROUND((Source!AF28*Source!AV28)*Source!I28, 2), 2)</f>
        <v>0</v>
      </c>
      <c r="R59">
        <f>Source!X28</f>
        <v>0</v>
      </c>
      <c r="S59">
        <f>ROUND((Source!CA28/100)*ROUND((Source!AF28*Source!AV28)*Source!I28, 2), 2)</f>
        <v>0</v>
      </c>
      <c r="T59">
        <f>Source!Y28</f>
        <v>0</v>
      </c>
      <c r="U59">
        <f>ROUND((175/100)*ROUND((Source!AE28*Source!AV28)*Source!I28, 2), 2)</f>
        <v>0</v>
      </c>
      <c r="V59">
        <f>ROUND((108/100)*ROUND(Source!CS28*Source!I28, 2), 2)</f>
        <v>0</v>
      </c>
      <c r="X59">
        <f>IF(Source!BI28&lt;=1,J59, 0)</f>
        <v>0</v>
      </c>
      <c r="Y59">
        <f>IF(Source!BI28=2,J59, 0)</f>
        <v>0</v>
      </c>
      <c r="Z59">
        <f>IF(Source!BI28=3,J59, 0)</f>
        <v>0</v>
      </c>
      <c r="AA59">
        <f>IF(Source!BI28=4,J59, 0)</f>
        <v>7000</v>
      </c>
    </row>
    <row r="60" spans="1:27" ht="42.75">
      <c r="A60" s="21">
        <v>6</v>
      </c>
      <c r="B60" s="21" t="str">
        <f>Source!E29</f>
        <v>2,3</v>
      </c>
      <c r="C60" s="22" t="str">
        <f>Source!F29</f>
        <v>по счету поставщика</v>
      </c>
      <c r="D60" s="22" t="s">
        <v>213</v>
      </c>
      <c r="E60" s="23" t="str">
        <f>Source!H29</f>
        <v>ШТ</v>
      </c>
      <c r="F60" s="10">
        <f>Source!I29</f>
        <v>7</v>
      </c>
      <c r="G60" s="25">
        <f>Source!AK29</f>
        <v>583.33000000000004</v>
      </c>
      <c r="H60" s="28" t="s">
        <v>4</v>
      </c>
      <c r="I60" s="10">
        <f>Source!AW29</f>
        <v>1</v>
      </c>
      <c r="J60" s="26">
        <f>ROUND((Source!AC29*Source!AW29)*Source!I29, 2)+ROUND(((((Source!ET29)-(Source!EU29))+Source!AE29)*Source!AV29)*Source!I29, 2)+ROUND((Source!AF29*Source!AV29)*Source!I29, 2)</f>
        <v>4083.31</v>
      </c>
      <c r="K60" s="10">
        <f>IF(Source!BC29&lt;&gt; 0, Source!BC29, 1)</f>
        <v>1</v>
      </c>
      <c r="L60" s="26">
        <f>Source!O29</f>
        <v>4083.31</v>
      </c>
      <c r="Q60">
        <f>ROUND((Source!BZ29/100)*ROUND((Source!AF29*Source!AV29)*Source!I29, 2), 2)</f>
        <v>0</v>
      </c>
      <c r="R60">
        <f>Source!X29</f>
        <v>0</v>
      </c>
      <c r="S60">
        <f>ROUND((Source!CA29/100)*ROUND((Source!AF29*Source!AV29)*Source!I29, 2), 2)</f>
        <v>0</v>
      </c>
      <c r="T60">
        <f>Source!Y29</f>
        <v>0</v>
      </c>
      <c r="U60">
        <f>ROUND((175/100)*ROUND((Source!AE29*Source!AV29)*Source!I29, 2), 2)</f>
        <v>0</v>
      </c>
      <c r="V60">
        <f>ROUND((108/100)*ROUND(Source!CS29*Source!I29, 2), 2)</f>
        <v>0</v>
      </c>
      <c r="X60">
        <f>IF(Source!BI29&lt;=1,J60, 0)</f>
        <v>0</v>
      </c>
      <c r="Y60">
        <f>IF(Source!BI29=2,J60, 0)</f>
        <v>0</v>
      </c>
      <c r="Z60">
        <f>IF(Source!BI29=3,J60, 0)</f>
        <v>0</v>
      </c>
      <c r="AA60">
        <f>IF(Source!BI29=4,J60, 0)</f>
        <v>4083.31</v>
      </c>
    </row>
    <row r="61" spans="1:27" ht="42.75">
      <c r="A61" s="21">
        <v>7</v>
      </c>
      <c r="B61" s="21" t="str">
        <f>Source!E30</f>
        <v>2,4</v>
      </c>
      <c r="C61" s="22" t="str">
        <f>Source!F30</f>
        <v>по счету поставщика</v>
      </c>
      <c r="D61" s="22" t="s">
        <v>214</v>
      </c>
      <c r="E61" s="23" t="str">
        <f>Source!H30</f>
        <v>ШТ</v>
      </c>
      <c r="F61" s="10">
        <f>Source!I30</f>
        <v>2</v>
      </c>
      <c r="G61" s="25">
        <f>Source!AK30</f>
        <v>733.33</v>
      </c>
      <c r="H61" s="28" t="s">
        <v>4</v>
      </c>
      <c r="I61" s="10">
        <f>Source!AW30</f>
        <v>1</v>
      </c>
      <c r="J61" s="26">
        <f>ROUND((Source!AC30*Source!AW30)*Source!I30, 2)+ROUND(((((Source!ET30)-(Source!EU30))+Source!AE30)*Source!AV30)*Source!I30, 2)+ROUND((Source!AF30*Source!AV30)*Source!I30, 2)</f>
        <v>1466.66</v>
      </c>
      <c r="K61" s="10">
        <f>IF(Source!BC30&lt;&gt; 0, Source!BC30, 1)</f>
        <v>1</v>
      </c>
      <c r="L61" s="26">
        <f>Source!O30</f>
        <v>1466.66</v>
      </c>
      <c r="Q61">
        <f>ROUND((Source!BZ30/100)*ROUND((Source!AF30*Source!AV30)*Source!I30, 2), 2)</f>
        <v>0</v>
      </c>
      <c r="R61">
        <f>Source!X30</f>
        <v>0</v>
      </c>
      <c r="S61">
        <f>ROUND((Source!CA30/100)*ROUND((Source!AF30*Source!AV30)*Source!I30, 2), 2)</f>
        <v>0</v>
      </c>
      <c r="T61">
        <f>Source!Y30</f>
        <v>0</v>
      </c>
      <c r="U61">
        <f>ROUND((175/100)*ROUND((Source!AE30*Source!AV30)*Source!I30, 2), 2)</f>
        <v>0</v>
      </c>
      <c r="V61">
        <f>ROUND((108/100)*ROUND(Source!CS30*Source!I30, 2), 2)</f>
        <v>0</v>
      </c>
      <c r="X61">
        <f>IF(Source!BI30&lt;=1,J61, 0)</f>
        <v>0</v>
      </c>
      <c r="Y61">
        <f>IF(Source!BI30=2,J61, 0)</f>
        <v>0</v>
      </c>
      <c r="Z61">
        <f>IF(Source!BI30=3,J61, 0)</f>
        <v>0</v>
      </c>
      <c r="AA61">
        <f>IF(Source!BI30=4,J61, 0)</f>
        <v>1466.66</v>
      </c>
    </row>
    <row r="62" spans="1:27" ht="14.25">
      <c r="A62" s="21"/>
      <c r="B62" s="21"/>
      <c r="C62" s="22"/>
      <c r="D62" s="22" t="s">
        <v>205</v>
      </c>
      <c r="E62" s="23" t="s">
        <v>206</v>
      </c>
      <c r="F62" s="10">
        <f>Source!BZ26</f>
        <v>70</v>
      </c>
      <c r="G62" s="25"/>
      <c r="H62" s="24"/>
      <c r="I62" s="10"/>
      <c r="J62" s="26">
        <f>SUM(Q52:Q61)</f>
        <v>5816.83</v>
      </c>
      <c r="K62" s="10">
        <f>Source!AT26</f>
        <v>70</v>
      </c>
      <c r="L62" s="26">
        <f>SUM(R52:R61)</f>
        <v>5816.83</v>
      </c>
    </row>
    <row r="63" spans="1:27" ht="14.25">
      <c r="A63" s="21"/>
      <c r="B63" s="21"/>
      <c r="C63" s="22"/>
      <c r="D63" s="22" t="s">
        <v>207</v>
      </c>
      <c r="E63" s="23" t="s">
        <v>206</v>
      </c>
      <c r="F63" s="10">
        <f>Source!CA26</f>
        <v>10</v>
      </c>
      <c r="G63" s="25"/>
      <c r="H63" s="24"/>
      <c r="I63" s="10"/>
      <c r="J63" s="26">
        <f>SUM(S52:S62)</f>
        <v>830.98</v>
      </c>
      <c r="K63" s="10">
        <f>Source!AU26</f>
        <v>10</v>
      </c>
      <c r="L63" s="26">
        <f>SUM(T52:T62)</f>
        <v>830.98</v>
      </c>
    </row>
    <row r="64" spans="1:27" ht="14.25">
      <c r="A64" s="21"/>
      <c r="B64" s="21"/>
      <c r="C64" s="22"/>
      <c r="D64" s="22" t="s">
        <v>208</v>
      </c>
      <c r="E64" s="23" t="s">
        <v>206</v>
      </c>
      <c r="F64" s="10">
        <f>175</f>
        <v>175</v>
      </c>
      <c r="G64" s="25"/>
      <c r="H64" s="24"/>
      <c r="I64" s="10"/>
      <c r="J64" s="26">
        <f>SUM(U52:U63)</f>
        <v>1839.86</v>
      </c>
      <c r="K64" s="10">
        <f>108</f>
        <v>108</v>
      </c>
      <c r="L64" s="26">
        <f>SUM(V52:V63)</f>
        <v>1135.46</v>
      </c>
    </row>
    <row r="65" spans="1:27" ht="14.25">
      <c r="A65" s="21"/>
      <c r="B65" s="21"/>
      <c r="C65" s="22"/>
      <c r="D65" s="22" t="s">
        <v>209</v>
      </c>
      <c r="E65" s="23" t="s">
        <v>210</v>
      </c>
      <c r="F65" s="10">
        <f>Source!AQ26</f>
        <v>342.54</v>
      </c>
      <c r="G65" s="25"/>
      <c r="H65" s="24" t="str">
        <f>Source!DI26</f>
        <v/>
      </c>
      <c r="I65" s="10">
        <f>Source!AV26</f>
        <v>1</v>
      </c>
      <c r="J65" s="26">
        <f>Source!U26</f>
        <v>41.104800000000004</v>
      </c>
      <c r="K65" s="10"/>
      <c r="L65" s="26"/>
    </row>
    <row r="66" spans="1:27" ht="15">
      <c r="A66" s="31"/>
      <c r="B66" s="31"/>
      <c r="C66" s="31"/>
      <c r="D66" s="31"/>
      <c r="E66" s="31"/>
      <c r="F66" s="31"/>
      <c r="G66" s="31"/>
      <c r="H66" s="31"/>
      <c r="I66" s="84">
        <f>J54+J55+J57+J62+J63+J64+SUM(J58:J61)</f>
        <v>56960.990000000005</v>
      </c>
      <c r="J66" s="84"/>
      <c r="K66" s="84">
        <f>L54+L55+L57+L62+L63+L64+SUM(L58:L61)</f>
        <v>56256.590000000004</v>
      </c>
      <c r="L66" s="84"/>
      <c r="O66" s="29">
        <f>J54+J55+J57+J62+J63+J64+SUM(J58:J61)</f>
        <v>56960.990000000005</v>
      </c>
      <c r="P66" s="29">
        <f>L54+L55+L57+L62+L63+L64+SUM(L58:L61)</f>
        <v>56256.590000000004</v>
      </c>
      <c r="X66">
        <f>IF(Source!BI26&lt;=1,J54+J55+J57+J62+J63+J64-0, 0)</f>
        <v>0</v>
      </c>
      <c r="Y66">
        <f>IF(Source!BI26=2,J54+J55+J57+J62+J63+J64-0, 0)</f>
        <v>0</v>
      </c>
      <c r="Z66">
        <f>IF(Source!BI26=3,J54+J55+J57+J62+J63+J64-0, 0)</f>
        <v>0</v>
      </c>
      <c r="AA66">
        <f>IF(Source!BI26=4,J54+J55+J57+J62+J63+J64,0)</f>
        <v>41202.710000000006</v>
      </c>
    </row>
    <row r="67" spans="1:27" ht="57">
      <c r="A67" s="21">
        <v>8</v>
      </c>
      <c r="B67" s="21" t="str">
        <f>Source!E31</f>
        <v>3</v>
      </c>
      <c r="C67" s="22" t="str">
        <f>Source!F31</f>
        <v>2.1-3203-12-4/1</v>
      </c>
      <c r="D67" s="22" t="s">
        <v>56</v>
      </c>
      <c r="E67" s="23" t="str">
        <f>Source!H31</f>
        <v>м2</v>
      </c>
      <c r="F67" s="10">
        <f>Source!I31</f>
        <v>60</v>
      </c>
      <c r="G67" s="25"/>
      <c r="H67" s="24"/>
      <c r="I67" s="10"/>
      <c r="J67" s="26"/>
      <c r="K67" s="10"/>
      <c r="L67" s="26"/>
      <c r="Q67">
        <f>ROUND((Source!BZ31/100)*ROUND((Source!AF31*Source!AV31)*Source!I31, 2), 2)</f>
        <v>10667.04</v>
      </c>
      <c r="R67">
        <f>Source!X31</f>
        <v>10667.04</v>
      </c>
      <c r="S67">
        <f>ROUND((Source!CA31/100)*ROUND((Source!AF31*Source!AV31)*Source!I31, 2), 2)</f>
        <v>1333.38</v>
      </c>
      <c r="T67">
        <f>Source!Y31</f>
        <v>1333.38</v>
      </c>
      <c r="U67">
        <f>ROUND((175/100)*ROUND((Source!AE31*Source!AV31)*Source!I31, 2), 2)</f>
        <v>42956.55</v>
      </c>
      <c r="V67">
        <f>ROUND((108/100)*ROUND(Source!CS31*Source!I31, 2), 2)</f>
        <v>26510.33</v>
      </c>
    </row>
    <row r="68" spans="1:27" ht="14.25">
      <c r="A68" s="21"/>
      <c r="B68" s="21"/>
      <c r="C68" s="22"/>
      <c r="D68" s="22" t="s">
        <v>200</v>
      </c>
      <c r="E68" s="23"/>
      <c r="F68" s="10"/>
      <c r="G68" s="25">
        <f>Source!AO31</f>
        <v>222.23</v>
      </c>
      <c r="H68" s="24" t="str">
        <f>Source!DG31</f>
        <v/>
      </c>
      <c r="I68" s="10">
        <f>Source!AV31</f>
        <v>1</v>
      </c>
      <c r="J68" s="26">
        <f>ROUND((Source!AF31*Source!AV31)*Source!I31, 2)</f>
        <v>13333.8</v>
      </c>
      <c r="K68" s="10">
        <f>IF(Source!BA31&lt;&gt; 0, Source!BA31, 1)</f>
        <v>1</v>
      </c>
      <c r="L68" s="26">
        <f>Source!S31</f>
        <v>13333.8</v>
      </c>
      <c r="W68">
        <f>J68</f>
        <v>13333.8</v>
      </c>
    </row>
    <row r="69" spans="1:27" ht="14.25">
      <c r="A69" s="21"/>
      <c r="B69" s="21"/>
      <c r="C69" s="22"/>
      <c r="D69" s="22" t="s">
        <v>201</v>
      </c>
      <c r="E69" s="23"/>
      <c r="F69" s="10"/>
      <c r="G69" s="25">
        <f>Source!AM31</f>
        <v>829.22</v>
      </c>
      <c r="H69" s="24" t="str">
        <f>Source!DE31</f>
        <v/>
      </c>
      <c r="I69" s="10">
        <f>Source!AV31</f>
        <v>1</v>
      </c>
      <c r="J69" s="26">
        <f>ROUND(((((Source!ET31)-(Source!EU31))+Source!AE31)*Source!AV31)*Source!I31, 2)</f>
        <v>49753.2</v>
      </c>
      <c r="K69" s="10">
        <f>IF(Source!BB31&lt;&gt; 0, Source!BB31, 1)</f>
        <v>1</v>
      </c>
      <c r="L69" s="26">
        <f>Source!Q31</f>
        <v>49753.2</v>
      </c>
    </row>
    <row r="70" spans="1:27" ht="14.25">
      <c r="A70" s="21"/>
      <c r="B70" s="21"/>
      <c r="C70" s="22"/>
      <c r="D70" s="22" t="s">
        <v>202</v>
      </c>
      <c r="E70" s="23"/>
      <c r="F70" s="10"/>
      <c r="G70" s="25">
        <f>Source!AN31</f>
        <v>409.11</v>
      </c>
      <c r="H70" s="24" t="str">
        <f>Source!DF31</f>
        <v/>
      </c>
      <c r="I70" s="10">
        <f>Source!AV31</f>
        <v>1</v>
      </c>
      <c r="J70" s="27">
        <f>ROUND((Source!AE31*Source!AV31)*Source!I31, 2)</f>
        <v>24546.6</v>
      </c>
      <c r="K70" s="10">
        <f>IF(Source!BS31&lt;&gt; 0, Source!BS31, 1)</f>
        <v>1</v>
      </c>
      <c r="L70" s="27">
        <f>Source!R31</f>
        <v>24546.6</v>
      </c>
      <c r="W70">
        <f>J70</f>
        <v>24546.6</v>
      </c>
    </row>
    <row r="71" spans="1:27" ht="14.25">
      <c r="A71" s="21"/>
      <c r="B71" s="21"/>
      <c r="C71" s="22"/>
      <c r="D71" s="22" t="s">
        <v>203</v>
      </c>
      <c r="E71" s="23"/>
      <c r="F71" s="10"/>
      <c r="G71" s="25">
        <f>Source!AL31</f>
        <v>473.38</v>
      </c>
      <c r="H71" s="24" t="str">
        <f>Source!DD31</f>
        <v/>
      </c>
      <c r="I71" s="10">
        <f>Source!AW31</f>
        <v>1</v>
      </c>
      <c r="J71" s="26">
        <f>ROUND((Source!AC31*Source!AW31)*Source!I31, 2)</f>
        <v>28402.799999999999</v>
      </c>
      <c r="K71" s="10">
        <f>IF(Source!BC31&lt;&gt; 0, Source!BC31, 1)</f>
        <v>1</v>
      </c>
      <c r="L71" s="26">
        <f>Source!P31</f>
        <v>28402.799999999999</v>
      </c>
    </row>
    <row r="72" spans="1:27" ht="14.25">
      <c r="A72" s="21"/>
      <c r="B72" s="21"/>
      <c r="C72" s="22"/>
      <c r="D72" s="22" t="s">
        <v>205</v>
      </c>
      <c r="E72" s="23" t="s">
        <v>206</v>
      </c>
      <c r="F72" s="10">
        <f>Source!BZ31</f>
        <v>80</v>
      </c>
      <c r="G72" s="25"/>
      <c r="H72" s="24"/>
      <c r="I72" s="10"/>
      <c r="J72" s="26">
        <f>SUM(Q67:Q71)</f>
        <v>10667.04</v>
      </c>
      <c r="K72" s="10">
        <f>Source!AT31</f>
        <v>80</v>
      </c>
      <c r="L72" s="26">
        <f>SUM(R67:R71)</f>
        <v>10667.04</v>
      </c>
    </row>
    <row r="73" spans="1:27" ht="14.25">
      <c r="A73" s="21"/>
      <c r="B73" s="21"/>
      <c r="C73" s="22"/>
      <c r="D73" s="22" t="s">
        <v>207</v>
      </c>
      <c r="E73" s="23" t="s">
        <v>206</v>
      </c>
      <c r="F73" s="10">
        <f>Source!CA31</f>
        <v>10</v>
      </c>
      <c r="G73" s="25"/>
      <c r="H73" s="24"/>
      <c r="I73" s="10"/>
      <c r="J73" s="26">
        <f>SUM(S67:S72)</f>
        <v>1333.38</v>
      </c>
      <c r="K73" s="10">
        <f>Source!AU31</f>
        <v>10</v>
      </c>
      <c r="L73" s="26">
        <f>SUM(T67:T72)</f>
        <v>1333.38</v>
      </c>
    </row>
    <row r="74" spans="1:27" ht="14.25">
      <c r="A74" s="21"/>
      <c r="B74" s="21"/>
      <c r="C74" s="22"/>
      <c r="D74" s="22" t="s">
        <v>208</v>
      </c>
      <c r="E74" s="23" t="s">
        <v>206</v>
      </c>
      <c r="F74" s="10">
        <f>175</f>
        <v>175</v>
      </c>
      <c r="G74" s="25"/>
      <c r="H74" s="24"/>
      <c r="I74" s="10"/>
      <c r="J74" s="26">
        <f>SUM(U67:U73)</f>
        <v>42956.55</v>
      </c>
      <c r="K74" s="10">
        <f>108</f>
        <v>108</v>
      </c>
      <c r="L74" s="26">
        <f>SUM(V67:V73)</f>
        <v>26510.33</v>
      </c>
    </row>
    <row r="75" spans="1:27" ht="14.25">
      <c r="A75" s="21"/>
      <c r="B75" s="21"/>
      <c r="C75" s="22"/>
      <c r="D75" s="22" t="s">
        <v>209</v>
      </c>
      <c r="E75" s="23" t="s">
        <v>210</v>
      </c>
      <c r="F75" s="10">
        <f>Source!AQ31</f>
        <v>1.06</v>
      </c>
      <c r="G75" s="25"/>
      <c r="H75" s="24" t="str">
        <f>Source!DI31</f>
        <v/>
      </c>
      <c r="I75" s="10">
        <f>Source!AV31</f>
        <v>1</v>
      </c>
      <c r="J75" s="26">
        <f>Source!U31</f>
        <v>63.6</v>
      </c>
      <c r="K75" s="10"/>
      <c r="L75" s="26"/>
    </row>
    <row r="76" spans="1:27" ht="15">
      <c r="A76" s="31"/>
      <c r="B76" s="31"/>
      <c r="C76" s="31"/>
      <c r="D76" s="31"/>
      <c r="E76" s="31"/>
      <c r="F76" s="31"/>
      <c r="G76" s="31"/>
      <c r="H76" s="31"/>
      <c r="I76" s="84">
        <f>J68+J69+J71+J72+J73+J74</f>
        <v>146446.77000000002</v>
      </c>
      <c r="J76" s="84"/>
      <c r="K76" s="84">
        <f>L68+L69+L71+L72+L73+L74</f>
        <v>130000.55</v>
      </c>
      <c r="L76" s="84"/>
      <c r="O76" s="29">
        <f>J68+J69+J71+J72+J73+J74</f>
        <v>146446.77000000002</v>
      </c>
      <c r="P76" s="29">
        <f>L68+L69+L71+L72+L73+L74</f>
        <v>130000.55</v>
      </c>
      <c r="X76">
        <f>IF(Source!BI31&lt;=1,J68+J69+J71+J72+J73+J74-0, 0)</f>
        <v>0</v>
      </c>
      <c r="Y76">
        <f>IF(Source!BI31=2,J68+J69+J71+J72+J73+J74-0, 0)</f>
        <v>0</v>
      </c>
      <c r="Z76">
        <f>IF(Source!BI31=3,J68+J69+J71+J72+J73+J74-0, 0)</f>
        <v>0</v>
      </c>
      <c r="AA76">
        <f>IF(Source!BI31=4,J68+J69+J71+J72+J73+J74,0)</f>
        <v>146446.77000000002</v>
      </c>
    </row>
    <row r="78" spans="1:27" ht="15">
      <c r="A78" s="89" t="str">
        <f>CONCATENATE("Итого по локальной смете: ",IF(Source!G33&lt;&gt;"Новая локальная смета", Source!G33, ""))</f>
        <v xml:space="preserve">Итого по локальной смете: </v>
      </c>
      <c r="B78" s="89"/>
      <c r="C78" s="89"/>
      <c r="D78" s="89"/>
      <c r="E78" s="89"/>
      <c r="F78" s="89"/>
      <c r="G78" s="89"/>
      <c r="H78" s="89"/>
      <c r="I78" s="87">
        <f>SUM(O40:O77)</f>
        <v>469736.54000000004</v>
      </c>
      <c r="J78" s="88"/>
      <c r="K78" s="87">
        <f>SUM(P40:P77)</f>
        <v>452539.63000000006</v>
      </c>
      <c r="L78" s="88"/>
    </row>
    <row r="79" spans="1:27" hidden="1">
      <c r="A79" t="s">
        <v>253</v>
      </c>
      <c r="J79">
        <f>SUM(AC40:AC78)</f>
        <v>0</v>
      </c>
      <c r="K79">
        <f>SUM(AD40:AD78)</f>
        <v>0</v>
      </c>
    </row>
    <row r="80" spans="1:27" hidden="1">
      <c r="A80" t="s">
        <v>254</v>
      </c>
      <c r="J80">
        <f>SUM(AE40:AE79)</f>
        <v>0</v>
      </c>
      <c r="K80">
        <f>SUM(AF40:AF79)</f>
        <v>0</v>
      </c>
    </row>
    <row r="82" spans="1:38" ht="15">
      <c r="A82" s="89" t="str">
        <f>CONCATENATE("Итого по смете: ",IF(Source!G63&lt;&gt;"Новый объект", Source!G63, ""))</f>
        <v>Итого по смете: Устройство разметки на стоянках ГБУЗ "ТБ им. А.Е. Рабухина ДЗМ" в 2021г.</v>
      </c>
      <c r="B82" s="89"/>
      <c r="C82" s="89"/>
      <c r="D82" s="89"/>
      <c r="E82" s="89"/>
      <c r="F82" s="89"/>
      <c r="G82" s="89"/>
      <c r="H82" s="89"/>
      <c r="I82" s="87">
        <f>SUM(O1:O81)</f>
        <v>469736.54000000004</v>
      </c>
      <c r="J82" s="88"/>
      <c r="K82" s="87">
        <f>SUM(P1:P81)</f>
        <v>452539.63000000006</v>
      </c>
      <c r="L82" s="88"/>
      <c r="AL82" s="35" t="str">
        <f>CONCATENATE("Итого по смете: ",IF(Source!G63&lt;&gt;"Новый объект", Source!G63, ""))</f>
        <v>Итого по смете: Устройство разметки на стоянках ГБУЗ "ТБ им. А.Е. Рабухина ДЗМ" в 2021г.</v>
      </c>
    </row>
    <row r="83" spans="1:38" hidden="1">
      <c r="A83" t="s">
        <v>253</v>
      </c>
      <c r="J83">
        <f>SUM(AC1:AC82)</f>
        <v>0</v>
      </c>
      <c r="K83">
        <f>SUM(AD1:AD82)</f>
        <v>0</v>
      </c>
    </row>
    <row r="84" spans="1:38" hidden="1">
      <c r="A84" t="s">
        <v>254</v>
      </c>
      <c r="J84">
        <f>SUM(AE1:AE83)</f>
        <v>0</v>
      </c>
      <c r="K84">
        <f>SUM(AF1:AF83)</f>
        <v>0</v>
      </c>
    </row>
    <row r="85" spans="1:38" ht="14.25">
      <c r="D85" s="80" t="str">
        <f>Source!H92</f>
        <v>Итого по смете</v>
      </c>
      <c r="E85" s="80"/>
      <c r="F85" s="80"/>
      <c r="G85" s="80"/>
      <c r="H85" s="80"/>
      <c r="I85" s="80"/>
      <c r="J85" s="80"/>
      <c r="K85" s="70">
        <f>IF(Source!F92=0, "", Source!F92)</f>
        <v>452539.63</v>
      </c>
      <c r="L85" s="70"/>
    </row>
    <row r="86" spans="1:38" ht="14.25">
      <c r="D86" s="80" t="str">
        <f>Source!H93</f>
        <v>НДС 20%</v>
      </c>
      <c r="E86" s="80"/>
      <c r="F86" s="80"/>
      <c r="G86" s="80"/>
      <c r="H86" s="80"/>
      <c r="I86" s="80"/>
      <c r="J86" s="80"/>
      <c r="K86" s="70">
        <f>IF(Source!F93=0, "", Source!F93)</f>
        <v>90507.93</v>
      </c>
      <c r="L86" s="70"/>
    </row>
    <row r="87" spans="1:38" ht="14.25">
      <c r="D87" s="80" t="str">
        <f>Source!H94</f>
        <v>Всего по смете</v>
      </c>
      <c r="E87" s="80"/>
      <c r="F87" s="80"/>
      <c r="G87" s="80"/>
      <c r="H87" s="80"/>
      <c r="I87" s="80"/>
      <c r="J87" s="80"/>
      <c r="K87" s="70">
        <f>IF(Source!F94=0, "", Source!F94)</f>
        <v>543047.56000000006</v>
      </c>
      <c r="L87" s="70"/>
    </row>
    <row r="90" spans="1:38" ht="14.25">
      <c r="A90" s="11"/>
      <c r="B90" s="85" t="s">
        <v>255</v>
      </c>
      <c r="C90" s="85"/>
      <c r="D90" s="36" t="str">
        <f>IF(Source!AM12&lt;&gt;"", Source!AM12," ")</f>
        <v xml:space="preserve"> </v>
      </c>
      <c r="E90" s="36"/>
      <c r="F90" s="36"/>
      <c r="G90" s="36"/>
      <c r="H90" s="36"/>
      <c r="I90" s="11" t="str">
        <f>IF(Source!AL12&lt;&gt;"", Source!AL12," ")</f>
        <v xml:space="preserve"> </v>
      </c>
      <c r="J90" s="11"/>
      <c r="K90" s="11"/>
    </row>
    <row r="91" spans="1:38" ht="14.25">
      <c r="A91" s="11"/>
      <c r="B91" s="11"/>
      <c r="C91" s="11"/>
      <c r="D91" s="86" t="s">
        <v>216</v>
      </c>
      <c r="E91" s="86"/>
      <c r="F91" s="86"/>
      <c r="G91" s="86"/>
      <c r="H91" s="86"/>
      <c r="I91" s="11"/>
      <c r="J91" s="11"/>
      <c r="K91" s="11"/>
    </row>
    <row r="92" spans="1:38" ht="14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38" ht="14.25">
      <c r="A93" s="11"/>
      <c r="B93" s="85" t="s">
        <v>256</v>
      </c>
      <c r="C93" s="85"/>
      <c r="D93" s="36" t="str">
        <f>IF(Source!AI12&lt;&gt;"", Source!AI12," ")</f>
        <v>Главный врач</v>
      </c>
      <c r="E93" s="36"/>
      <c r="F93" s="36"/>
      <c r="G93" s="36"/>
      <c r="H93" s="36"/>
      <c r="I93" s="11" t="str">
        <f>IF(Source!AH12&lt;&gt;"", Source!AH12," ")</f>
        <v>Оприщенко С.А.</v>
      </c>
      <c r="J93" s="11"/>
      <c r="K93" s="11"/>
    </row>
    <row r="94" spans="1:38" ht="14.25">
      <c r="A94" s="11"/>
      <c r="B94" s="11"/>
      <c r="C94" s="11"/>
      <c r="D94" s="86" t="s">
        <v>216</v>
      </c>
      <c r="E94" s="86"/>
      <c r="F94" s="86"/>
      <c r="G94" s="86"/>
      <c r="H94" s="86"/>
      <c r="I94" s="11"/>
      <c r="J94" s="11"/>
      <c r="K94" s="11"/>
    </row>
  </sheetData>
  <mergeCells count="69">
    <mergeCell ref="B90:C90"/>
    <mergeCell ref="D91:H91"/>
    <mergeCell ref="B93:C93"/>
    <mergeCell ref="D94:H94"/>
    <mergeCell ref="D85:J85"/>
    <mergeCell ref="K85:L85"/>
    <mergeCell ref="D86:J86"/>
    <mergeCell ref="K86:L86"/>
    <mergeCell ref="D87:J87"/>
    <mergeCell ref="K87:L87"/>
    <mergeCell ref="K78:L78"/>
    <mergeCell ref="I78:J78"/>
    <mergeCell ref="A78:H78"/>
    <mergeCell ref="K82:L82"/>
    <mergeCell ref="I82:J82"/>
    <mergeCell ref="A82:H82"/>
    <mergeCell ref="K51:L51"/>
    <mergeCell ref="I51:J51"/>
    <mergeCell ref="K66:L66"/>
    <mergeCell ref="I66:J66"/>
    <mergeCell ref="K76:L76"/>
    <mergeCell ref="I76:J76"/>
    <mergeCell ref="A40:L40"/>
    <mergeCell ref="H31:I31"/>
    <mergeCell ref="A32:L32"/>
    <mergeCell ref="A33:B33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A34:A37"/>
    <mergeCell ref="B34:B37"/>
    <mergeCell ref="A29:L29"/>
    <mergeCell ref="C18:H18"/>
    <mergeCell ref="G19:I19"/>
    <mergeCell ref="J19:L19"/>
    <mergeCell ref="G20:H20"/>
    <mergeCell ref="J20:L20"/>
    <mergeCell ref="J21:L21"/>
    <mergeCell ref="J22:L22"/>
    <mergeCell ref="G24:G25"/>
    <mergeCell ref="H24:H25"/>
    <mergeCell ref="I24:J24"/>
    <mergeCell ref="A28:L28"/>
    <mergeCell ref="C14:H14"/>
    <mergeCell ref="J14:L15"/>
    <mergeCell ref="C15:H15"/>
    <mergeCell ref="C16:H16"/>
    <mergeCell ref="J16:L17"/>
    <mergeCell ref="C17:H17"/>
    <mergeCell ref="C9:H9"/>
    <mergeCell ref="C10:H10"/>
    <mergeCell ref="J10:L11"/>
    <mergeCell ref="C11:H11"/>
    <mergeCell ref="C12:H12"/>
    <mergeCell ref="J12:L13"/>
    <mergeCell ref="C13:H13"/>
    <mergeCell ref="J8:L9"/>
    <mergeCell ref="I2:L2"/>
    <mergeCell ref="I3:L3"/>
    <mergeCell ref="I4:L4"/>
    <mergeCell ref="J6:L6"/>
    <mergeCell ref="J7:L7"/>
  </mergeCells>
  <pageMargins left="0.4" right="0.2" top="0.4" bottom="0.4" header="0.2" footer="0.2"/>
  <pageSetup paperSize="9" scale="60" fitToHeight="0" orientation="portrait" verticalDpi="0" r:id="rId1"/>
  <headerFooter>
    <oddHeader>&amp;L&amp;8ГБУЗ "ТБ им.А.Е.Рабухина ДЗМ"  Доп. раб. место  MCCS-0027243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0"/>
  <sheetViews>
    <sheetView workbookViewId="0"/>
  </sheetViews>
  <sheetFormatPr defaultRowHeight="12.75"/>
  <cols>
    <col min="1" max="1" width="6.7109375" customWidth="1"/>
    <col min="2" max="2" width="75.7109375" customWidth="1"/>
    <col min="3" max="5" width="15.7109375" customWidth="1"/>
  </cols>
  <sheetData>
    <row r="1" spans="1:5">
      <c r="A1" s="9" t="str">
        <f>Source!B1</f>
        <v>Smeta.RU  (495) 974-1589</v>
      </c>
    </row>
    <row r="2" spans="1:5" ht="14.25">
      <c r="C2" s="11"/>
      <c r="D2" s="11"/>
    </row>
    <row r="3" spans="1:5" ht="15">
      <c r="C3" s="11"/>
      <c r="D3" s="30" t="s">
        <v>173</v>
      </c>
    </row>
    <row r="4" spans="1:5" ht="15">
      <c r="C4" s="30"/>
      <c r="D4" s="30"/>
    </row>
    <row r="5" spans="1:5" ht="15">
      <c r="C5" s="106" t="s">
        <v>257</v>
      </c>
      <c r="D5" s="106"/>
    </row>
    <row r="6" spans="1:5" ht="15">
      <c r="C6" s="45"/>
      <c r="D6" s="45"/>
    </row>
    <row r="7" spans="1:5" ht="15">
      <c r="C7" s="106" t="s">
        <v>257</v>
      </c>
      <c r="D7" s="106"/>
    </row>
    <row r="8" spans="1:5" ht="15">
      <c r="C8" s="45"/>
      <c r="D8" s="45"/>
    </row>
    <row r="9" spans="1:5" ht="15">
      <c r="C9" s="30" t="s">
        <v>258</v>
      </c>
      <c r="D9" s="11"/>
    </row>
    <row r="10" spans="1:5" ht="14.25">
      <c r="A10" s="11"/>
      <c r="B10" s="11"/>
      <c r="C10" s="11"/>
      <c r="D10" s="11"/>
      <c r="E10" s="11"/>
    </row>
    <row r="11" spans="1:5" ht="15.75">
      <c r="A11" s="107" t="str">
        <f>CONCATENATE("Дефектный акт ", IF(Source!AN15&lt;&gt;"", Source!AN15," "))</f>
        <v xml:space="preserve">Дефектный акт  </v>
      </c>
      <c r="B11" s="107"/>
      <c r="C11" s="107"/>
      <c r="D11" s="107"/>
      <c r="E11" s="11"/>
    </row>
    <row r="12" spans="1:5" ht="15">
      <c r="A12" s="108" t="str">
        <f>CONCATENATE("На капитальный ремонт ", Source!F12)</f>
        <v xml:space="preserve">На капитальный ремонт </v>
      </c>
      <c r="B12" s="108"/>
      <c r="C12" s="108"/>
      <c r="D12" s="108"/>
      <c r="E12" s="11"/>
    </row>
    <row r="13" spans="1:5" ht="14.25">
      <c r="A13" s="11"/>
      <c r="B13" s="11"/>
      <c r="C13" s="11"/>
      <c r="D13" s="11"/>
      <c r="E13" s="11"/>
    </row>
    <row r="14" spans="1:5" ht="15">
      <c r="A14" s="11"/>
      <c r="B14" s="46" t="s">
        <v>259</v>
      </c>
      <c r="C14" s="11"/>
      <c r="D14" s="11"/>
      <c r="E14" s="11"/>
    </row>
    <row r="15" spans="1:5" ht="15">
      <c r="A15" s="11"/>
      <c r="B15" s="46" t="s">
        <v>260</v>
      </c>
      <c r="C15" s="11"/>
      <c r="D15" s="11"/>
      <c r="E15" s="11"/>
    </row>
    <row r="16" spans="1:5" ht="15">
      <c r="A16" s="11"/>
      <c r="B16" s="46" t="s">
        <v>261</v>
      </c>
      <c r="C16" s="11"/>
      <c r="D16" s="11"/>
      <c r="E16" s="11"/>
    </row>
    <row r="17" spans="1:5" ht="28.5">
      <c r="A17" s="20" t="s">
        <v>262</v>
      </c>
      <c r="B17" s="20" t="s">
        <v>188</v>
      </c>
      <c r="C17" s="20" t="s">
        <v>189</v>
      </c>
      <c r="D17" s="20" t="s">
        <v>263</v>
      </c>
      <c r="E17" s="47" t="s">
        <v>264</v>
      </c>
    </row>
    <row r="18" spans="1:5" ht="14.25">
      <c r="A18" s="48">
        <v>1</v>
      </c>
      <c r="B18" s="48">
        <v>2</v>
      </c>
      <c r="C18" s="48">
        <v>3</v>
      </c>
      <c r="D18" s="48">
        <v>4</v>
      </c>
      <c r="E18" s="49">
        <v>5</v>
      </c>
    </row>
    <row r="19" spans="1:5" ht="16.5">
      <c r="A19" s="109" t="str">
        <f>CONCATENATE("Локальная смета: ", Source!G20)</f>
        <v>Локальная смета: Новая локальная смета</v>
      </c>
      <c r="B19" s="109"/>
      <c r="C19" s="109"/>
      <c r="D19" s="109"/>
      <c r="E19" s="109"/>
    </row>
    <row r="20" spans="1:5" ht="28.5">
      <c r="A20" s="54" t="str">
        <f>Source!E24</f>
        <v>1</v>
      </c>
      <c r="B20" s="55" t="str">
        <f>Source!G24</f>
        <v>Нанесение разметки двухкомпонентным холодным пластиком с применением ручных механизмов</v>
      </c>
      <c r="C20" s="56" t="str">
        <f>Source!H24</f>
        <v>м2</v>
      </c>
      <c r="D20" s="57">
        <f>Source!I24</f>
        <v>147</v>
      </c>
      <c r="E20" s="54"/>
    </row>
    <row r="21" spans="1:5" ht="42.75">
      <c r="A21" s="54" t="str">
        <f>Source!E25</f>
        <v>1,1</v>
      </c>
      <c r="B21" s="55" t="str">
        <f>Source!G25</f>
        <v>Пластик холодный двухкомпонентный для разметки автомобильных дорог ручным способом, красного цвета, марка "Лимбопласт D468H" (без отвердителя)</v>
      </c>
      <c r="C21" s="56" t="str">
        <f>Source!H25</f>
        <v>кг</v>
      </c>
      <c r="D21" s="57">
        <f>Source!I25</f>
        <v>201.39</v>
      </c>
      <c r="E21" s="54"/>
    </row>
    <row r="22" spans="1:5" ht="28.5">
      <c r="A22" s="54" t="str">
        <f>Source!E26</f>
        <v>2</v>
      </c>
      <c r="B22" s="55" t="str">
        <f>Source!G26</f>
        <v>Установка дорожных знаков на металлических стойках (без стоимости щита дорожного знака)</v>
      </c>
      <c r="C22" s="56" t="str">
        <f>Source!H26</f>
        <v>100 шт.</v>
      </c>
      <c r="D22" s="57">
        <f>Source!I26</f>
        <v>0.12</v>
      </c>
      <c r="E22" s="54"/>
    </row>
    <row r="23" spans="1:5" ht="14.25">
      <c r="A23" s="54" t="str">
        <f>Source!E27</f>
        <v>2,1</v>
      </c>
      <c r="B23" s="55" t="str">
        <f>Source!G27</f>
        <v>Знак 8.2.1 Зона действия</v>
      </c>
      <c r="C23" s="56" t="str">
        <f>Source!H27</f>
        <v>ШТ</v>
      </c>
      <c r="D23" s="57">
        <f>Source!I27</f>
        <v>7</v>
      </c>
      <c r="E23" s="54"/>
    </row>
    <row r="24" spans="1:5" ht="14.25">
      <c r="A24" s="54" t="str">
        <f>Source!E28</f>
        <v>2,2</v>
      </c>
      <c r="B24" s="55" t="str">
        <f>Source!G28</f>
        <v>Знак 3.27 Остановка запрещена</v>
      </c>
      <c r="C24" s="56" t="str">
        <f>Source!H28</f>
        <v>ШТ</v>
      </c>
      <c r="D24" s="57">
        <f>Source!I28</f>
        <v>8</v>
      </c>
      <c r="E24" s="54"/>
    </row>
    <row r="25" spans="1:5" ht="14.25">
      <c r="A25" s="54" t="str">
        <f>Source!E29</f>
        <v>2,3</v>
      </c>
      <c r="B25" s="55" t="str">
        <f>Source!G29</f>
        <v>Знак 8.30 Площадка пожарной-специальной технике</v>
      </c>
      <c r="C25" s="56" t="str">
        <f>Source!H29</f>
        <v>ШТ</v>
      </c>
      <c r="D25" s="57">
        <f>Source!I29</f>
        <v>7</v>
      </c>
      <c r="E25" s="54"/>
    </row>
    <row r="26" spans="1:5" ht="14.25">
      <c r="A26" s="54" t="str">
        <f>Source!E30</f>
        <v>2,4</v>
      </c>
      <c r="B26" s="55" t="str">
        <f>Source!G30</f>
        <v>Знак Парковка для инвалидов</v>
      </c>
      <c r="C26" s="56" t="str">
        <f>Source!H30</f>
        <v>ШТ</v>
      </c>
      <c r="D26" s="57">
        <f>Source!I30</f>
        <v>2</v>
      </c>
      <c r="E26" s="54"/>
    </row>
    <row r="27" spans="1:5" ht="28.5">
      <c r="A27" s="50" t="str">
        <f>Source!E31</f>
        <v>3</v>
      </c>
      <c r="B27" s="51" t="str">
        <f>Source!G31</f>
        <v>Нанесение линии обозначения мест парковки машин термопластиком без стеклошариков (парковочные места для инвалидов)</v>
      </c>
      <c r="C27" s="52" t="str">
        <f>Source!H31</f>
        <v>м2</v>
      </c>
      <c r="D27" s="53">
        <f>Source!I31</f>
        <v>60</v>
      </c>
      <c r="E27" s="50"/>
    </row>
    <row r="30" spans="1:5" ht="15">
      <c r="A30" s="34" t="s">
        <v>265</v>
      </c>
      <c r="B30" s="34"/>
      <c r="C30" s="34" t="s">
        <v>266</v>
      </c>
      <c r="D30" s="34"/>
      <c r="E30" s="34"/>
    </row>
  </sheetData>
  <mergeCells count="5">
    <mergeCell ref="C5:D5"/>
    <mergeCell ref="C7:D7"/>
    <mergeCell ref="A11:D11"/>
    <mergeCell ref="A12:D12"/>
    <mergeCell ref="A19:E19"/>
  </mergeCells>
  <pageMargins left="0.4" right="0.2" top="0.4" bottom="0.4" header="0.2" footer="0.2"/>
  <pageSetup paperSize="9" scale="75" fitToHeight="0" orientation="portrait" verticalDpi="0" r:id="rId1"/>
  <headerFooter>
    <oddHeader>&amp;L&amp;8ГБУЗ "ТБ им.А.Е.Рабухина ДЗМ"  Доп. раб. место  MCCS-0027243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0"/>
  <sheetViews>
    <sheetView workbookViewId="0"/>
  </sheetViews>
  <sheetFormatPr defaultRowHeight="12.75"/>
  <cols>
    <col min="1" max="1" width="6.7109375" customWidth="1"/>
    <col min="2" max="2" width="75.7109375" customWidth="1"/>
    <col min="3" max="5" width="15.7109375" customWidth="1"/>
  </cols>
  <sheetData>
    <row r="1" spans="1:5">
      <c r="A1" s="9" t="str">
        <f>Source!B1</f>
        <v>Smeta.RU  (495) 974-1589</v>
      </c>
    </row>
    <row r="2" spans="1:5" ht="14.25">
      <c r="C2" s="11"/>
      <c r="D2" s="11"/>
    </row>
    <row r="3" spans="1:5" ht="15">
      <c r="C3" s="11"/>
      <c r="D3" s="30" t="s">
        <v>173</v>
      </c>
    </row>
    <row r="4" spans="1:5" ht="15">
      <c r="C4" s="30"/>
      <c r="D4" s="30"/>
    </row>
    <row r="5" spans="1:5" ht="15">
      <c r="C5" s="106" t="s">
        <v>257</v>
      </c>
      <c r="D5" s="106"/>
    </row>
    <row r="6" spans="1:5" ht="15">
      <c r="C6" s="45"/>
      <c r="D6" s="45"/>
    </row>
    <row r="7" spans="1:5" ht="15">
      <c r="C7" s="106" t="s">
        <v>257</v>
      </c>
      <c r="D7" s="106"/>
    </row>
    <row r="8" spans="1:5" ht="15">
      <c r="C8" s="45"/>
      <c r="D8" s="45"/>
    </row>
    <row r="9" spans="1:5" ht="15">
      <c r="C9" s="30" t="s">
        <v>258</v>
      </c>
      <c r="D9" s="11"/>
    </row>
    <row r="10" spans="1:5" ht="14.25">
      <c r="A10" s="11"/>
      <c r="B10" s="11"/>
      <c r="C10" s="11"/>
      <c r="D10" s="11"/>
      <c r="E10" s="11"/>
    </row>
    <row r="11" spans="1:5" ht="15.75">
      <c r="A11" s="107" t="str">
        <f>CONCATENATE("Ведомость объемов работ ", IF(Source!AN15&lt;&gt;"", Source!AN15," "))</f>
        <v xml:space="preserve">Ведомость объемов работ  </v>
      </c>
      <c r="B11" s="107"/>
      <c r="C11" s="107"/>
      <c r="D11" s="107"/>
      <c r="E11" s="11"/>
    </row>
    <row r="12" spans="1:5" ht="15">
      <c r="A12" s="108" t="str">
        <f>CONCATENATE("На капитальный ремонт ", Source!F12)</f>
        <v xml:space="preserve">На капитальный ремонт </v>
      </c>
      <c r="B12" s="108"/>
      <c r="C12" s="108"/>
      <c r="D12" s="108"/>
      <c r="E12" s="11"/>
    </row>
    <row r="13" spans="1:5" ht="14.25">
      <c r="A13" s="11"/>
      <c r="B13" s="11"/>
      <c r="C13" s="11"/>
      <c r="D13" s="11"/>
      <c r="E13" s="11"/>
    </row>
    <row r="14" spans="1:5" ht="15">
      <c r="A14" s="11"/>
      <c r="B14" s="46" t="s">
        <v>259</v>
      </c>
      <c r="C14" s="11"/>
      <c r="D14" s="11"/>
      <c r="E14" s="11"/>
    </row>
    <row r="15" spans="1:5" ht="15">
      <c r="A15" s="11"/>
      <c r="B15" s="46" t="s">
        <v>260</v>
      </c>
      <c r="C15" s="11"/>
      <c r="D15" s="11"/>
      <c r="E15" s="11"/>
    </row>
    <row r="16" spans="1:5" ht="15">
      <c r="A16" s="11"/>
      <c r="B16" s="46" t="s">
        <v>261</v>
      </c>
      <c r="C16" s="11"/>
      <c r="D16" s="11"/>
      <c r="E16" s="11"/>
    </row>
    <row r="17" spans="1:5" ht="28.5">
      <c r="A17" s="20" t="s">
        <v>262</v>
      </c>
      <c r="B17" s="20" t="s">
        <v>188</v>
      </c>
      <c r="C17" s="20" t="s">
        <v>189</v>
      </c>
      <c r="D17" s="20" t="s">
        <v>263</v>
      </c>
      <c r="E17" s="47" t="s">
        <v>264</v>
      </c>
    </row>
    <row r="18" spans="1:5" ht="14.25">
      <c r="A18" s="48">
        <v>1</v>
      </c>
      <c r="B18" s="48">
        <v>2</v>
      </c>
      <c r="C18" s="48">
        <v>3</v>
      </c>
      <c r="D18" s="48">
        <v>4</v>
      </c>
      <c r="E18" s="49">
        <v>5</v>
      </c>
    </row>
    <row r="19" spans="1:5" ht="16.5">
      <c r="A19" s="109" t="str">
        <f>CONCATENATE("Локальная смета: ", Source!G20)</f>
        <v>Локальная смета: Новая локальная смета</v>
      </c>
      <c r="B19" s="109"/>
      <c r="C19" s="109"/>
      <c r="D19" s="109"/>
      <c r="E19" s="109"/>
    </row>
    <row r="20" spans="1:5" ht="28.5">
      <c r="A20" s="54" t="str">
        <f>Source!E24</f>
        <v>1</v>
      </c>
      <c r="B20" s="55" t="str">
        <f>Source!G24</f>
        <v>Нанесение разметки двухкомпонентным холодным пластиком с применением ручных механизмов</v>
      </c>
      <c r="C20" s="56" t="str">
        <f>Source!H24</f>
        <v>м2</v>
      </c>
      <c r="D20" s="57">
        <f>Source!I24</f>
        <v>147</v>
      </c>
      <c r="E20" s="54"/>
    </row>
    <row r="21" spans="1:5" ht="42.75">
      <c r="A21" s="54" t="str">
        <f>Source!E25</f>
        <v>1,1</v>
      </c>
      <c r="B21" s="55" t="str">
        <f>Source!G25</f>
        <v>Пластик холодный двухкомпонентный для разметки автомобильных дорог ручным способом, красного цвета, марка "Лимбопласт D468H" (без отвердителя)</v>
      </c>
      <c r="C21" s="56" t="str">
        <f>Source!H25</f>
        <v>кг</v>
      </c>
      <c r="D21" s="57">
        <f>Source!I25</f>
        <v>201.39</v>
      </c>
      <c r="E21" s="54"/>
    </row>
    <row r="22" spans="1:5" ht="28.5">
      <c r="A22" s="54" t="str">
        <f>Source!E26</f>
        <v>2</v>
      </c>
      <c r="B22" s="55" t="str">
        <f>Source!G26</f>
        <v>Установка дорожных знаков на металлических стойках (без стоимости щита дорожного знака)</v>
      </c>
      <c r="C22" s="56" t="str">
        <f>Source!H26</f>
        <v>100 шт.</v>
      </c>
      <c r="D22" s="57">
        <f>Source!I26</f>
        <v>0.12</v>
      </c>
      <c r="E22" s="54"/>
    </row>
    <row r="23" spans="1:5" ht="14.25">
      <c r="A23" s="54" t="str">
        <f>Source!E27</f>
        <v>2,1</v>
      </c>
      <c r="B23" s="55" t="str">
        <f>Source!G27</f>
        <v>Знак 8.2.1 Зона действия</v>
      </c>
      <c r="C23" s="56" t="str">
        <f>Source!H27</f>
        <v>ШТ</v>
      </c>
      <c r="D23" s="57">
        <f>Source!I27</f>
        <v>7</v>
      </c>
      <c r="E23" s="54"/>
    </row>
    <row r="24" spans="1:5" ht="14.25">
      <c r="A24" s="54" t="str">
        <f>Source!E28</f>
        <v>2,2</v>
      </c>
      <c r="B24" s="55" t="str">
        <f>Source!G28</f>
        <v>Знак 3.27 Остановка запрещена</v>
      </c>
      <c r="C24" s="56" t="str">
        <f>Source!H28</f>
        <v>ШТ</v>
      </c>
      <c r="D24" s="57">
        <f>Source!I28</f>
        <v>8</v>
      </c>
      <c r="E24" s="54"/>
    </row>
    <row r="25" spans="1:5" ht="14.25">
      <c r="A25" s="54" t="str">
        <f>Source!E29</f>
        <v>2,3</v>
      </c>
      <c r="B25" s="55" t="str">
        <f>Source!G29</f>
        <v>Знак 8.30 Площадка пожарной-специальной технике</v>
      </c>
      <c r="C25" s="56" t="str">
        <f>Source!H29</f>
        <v>ШТ</v>
      </c>
      <c r="D25" s="57">
        <f>Source!I29</f>
        <v>7</v>
      </c>
      <c r="E25" s="54"/>
    </row>
    <row r="26" spans="1:5" ht="14.25">
      <c r="A26" s="54" t="str">
        <f>Source!E30</f>
        <v>2,4</v>
      </c>
      <c r="B26" s="55" t="str">
        <f>Source!G30</f>
        <v>Знак Парковка для инвалидов</v>
      </c>
      <c r="C26" s="56" t="str">
        <f>Source!H30</f>
        <v>ШТ</v>
      </c>
      <c r="D26" s="57">
        <f>Source!I30</f>
        <v>2</v>
      </c>
      <c r="E26" s="54"/>
    </row>
    <row r="27" spans="1:5" ht="28.5">
      <c r="A27" s="50" t="str">
        <f>Source!E31</f>
        <v>3</v>
      </c>
      <c r="B27" s="51" t="str">
        <f>Source!G31</f>
        <v>Нанесение линии обозначения мест парковки машин термопластиком без стеклошариков (парковочные места для инвалидов)</v>
      </c>
      <c r="C27" s="52" t="str">
        <f>Source!H31</f>
        <v>м2</v>
      </c>
      <c r="D27" s="53">
        <f>Source!I31</f>
        <v>60</v>
      </c>
      <c r="E27" s="50"/>
    </row>
    <row r="30" spans="1:5" ht="15">
      <c r="A30" s="34" t="s">
        <v>265</v>
      </c>
      <c r="B30" s="34"/>
      <c r="C30" s="34" t="s">
        <v>266</v>
      </c>
      <c r="D30" s="34"/>
      <c r="E30" s="34"/>
    </row>
  </sheetData>
  <mergeCells count="5">
    <mergeCell ref="C5:D5"/>
    <mergeCell ref="C7:D7"/>
    <mergeCell ref="A11:D11"/>
    <mergeCell ref="A12:D12"/>
    <mergeCell ref="A19:E19"/>
  </mergeCells>
  <pageMargins left="0.4" right="0.2" top="0.4" bottom="0.4" header="0.2" footer="0.2"/>
  <pageSetup paperSize="9" scale="75" fitToHeight="0" orientation="portrait" verticalDpi="0" r:id="rId1"/>
  <headerFooter>
    <oddHeader>&amp;L&amp;8ГБУЗ "ТБ им.А.Е.Рабухина ДЗМ"  Доп. раб. место  MCCS-0027243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W27"/>
  <sheetViews>
    <sheetView workbookViewId="0"/>
  </sheetViews>
  <sheetFormatPr defaultRowHeight="12.75"/>
  <sheetData>
    <row r="1" spans="1:23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</row>
    <row r="2" spans="1:2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</row>
    <row r="4" spans="1:23">
      <c r="A4" t="s">
        <v>267</v>
      </c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  <c r="K4" t="s">
        <v>277</v>
      </c>
      <c r="L4" t="s">
        <v>278</v>
      </c>
      <c r="M4" t="s">
        <v>279</v>
      </c>
      <c r="N4" t="s">
        <v>280</v>
      </c>
      <c r="O4" t="s">
        <v>281</v>
      </c>
      <c r="P4" t="s">
        <v>282</v>
      </c>
      <c r="Q4" t="s">
        <v>283</v>
      </c>
      <c r="R4" t="s">
        <v>284</v>
      </c>
      <c r="S4" t="s">
        <v>285</v>
      </c>
      <c r="T4" t="s">
        <v>286</v>
      </c>
      <c r="U4" t="s">
        <v>287</v>
      </c>
      <c r="V4" t="s">
        <v>288</v>
      </c>
      <c r="W4" t="s">
        <v>289</v>
      </c>
    </row>
    <row r="6" spans="1:23">
      <c r="A6">
        <f>Source!A20</f>
        <v>3</v>
      </c>
      <c r="B6">
        <v>20</v>
      </c>
      <c r="G6" t="str">
        <f>Source!G20</f>
        <v>Новая локальная смета</v>
      </c>
    </row>
    <row r="7" spans="1:23">
      <c r="A7">
        <f>Source!A24</f>
        <v>17</v>
      </c>
      <c r="C7">
        <v>3</v>
      </c>
      <c r="D7">
        <v>0</v>
      </c>
      <c r="E7">
        <f>SmtRes!AV10</f>
        <v>0</v>
      </c>
      <c r="F7" t="str">
        <f>SmtRes!I10</f>
        <v>21.1-6-112</v>
      </c>
      <c r="G7" t="str">
        <f>SmtRes!K10</f>
        <v>Растворители, марка Р-4</v>
      </c>
      <c r="H7" t="str">
        <f>SmtRes!O10</f>
        <v>т</v>
      </c>
      <c r="I7">
        <f>SmtRes!Y10*Source!I24</f>
        <v>0.19698000000000002</v>
      </c>
      <c r="J7">
        <f>SmtRes!AO10</f>
        <v>1</v>
      </c>
      <c r="K7">
        <f>SmtRes!AE10</f>
        <v>105650.49</v>
      </c>
      <c r="L7">
        <f>SmtRes!DB10</f>
        <v>141.57</v>
      </c>
      <c r="M7">
        <f>ROUND(ROUND(L7*Source!I24, 6)*1, 2)</f>
        <v>20810.79</v>
      </c>
      <c r="N7">
        <f>SmtRes!AA10</f>
        <v>105650.49</v>
      </c>
      <c r="O7">
        <f>ROUND(ROUND(L7*Source!I24, 6)*SmtRes!DA10, 2)</f>
        <v>20810.79</v>
      </c>
      <c r="P7">
        <f>SmtRes!AG10</f>
        <v>0</v>
      </c>
      <c r="Q7">
        <f>SmtRes!DC10</f>
        <v>0</v>
      </c>
      <c r="R7">
        <f>ROUND(ROUND(Q7*Source!I24, 6)*1, 2)</f>
        <v>0</v>
      </c>
      <c r="S7">
        <f>SmtRes!AC10</f>
        <v>0</v>
      </c>
      <c r="T7">
        <f>ROUND(ROUND(Q7*Source!I24, 6)*SmtRes!AK10, 2)</f>
        <v>0</v>
      </c>
      <c r="U7">
        <f>SmtRes!X10</f>
        <v>-1038574955</v>
      </c>
      <c r="V7">
        <v>-269824317</v>
      </c>
      <c r="W7">
        <v>-269824317</v>
      </c>
    </row>
    <row r="8" spans="1:23">
      <c r="A8">
        <f>Source!A24</f>
        <v>17</v>
      </c>
      <c r="C8">
        <v>3</v>
      </c>
      <c r="D8">
        <v>0</v>
      </c>
      <c r="E8">
        <f>SmtRes!AV9</f>
        <v>0</v>
      </c>
      <c r="F8" t="str">
        <f>SmtRes!I9</f>
        <v>21.1-3-56</v>
      </c>
      <c r="G8" t="str">
        <f>SmtRes!K9</f>
        <v>Материал рулонный кровельный, рубероид, марка РКП-350, с пылевидной посыпкой</v>
      </c>
      <c r="H8" t="str">
        <f>SmtRes!O9</f>
        <v>м2</v>
      </c>
      <c r="I8">
        <f>SmtRes!Y9*Source!I24</f>
        <v>45.57</v>
      </c>
      <c r="J8">
        <f>SmtRes!AO9</f>
        <v>1</v>
      </c>
      <c r="K8">
        <f>SmtRes!AE9</f>
        <v>28.26</v>
      </c>
      <c r="L8">
        <f>SmtRes!DB9</f>
        <v>8.76</v>
      </c>
      <c r="M8">
        <f>ROUND(ROUND(L8*Source!I24, 6)*1, 2)</f>
        <v>1287.72</v>
      </c>
      <c r="N8">
        <f>SmtRes!AA9</f>
        <v>28.26</v>
      </c>
      <c r="O8">
        <f>ROUND(ROUND(L8*Source!I24, 6)*SmtRes!DA9, 2)</f>
        <v>1287.72</v>
      </c>
      <c r="P8">
        <f>SmtRes!AG9</f>
        <v>0</v>
      </c>
      <c r="Q8">
        <f>SmtRes!DC9</f>
        <v>0</v>
      </c>
      <c r="R8">
        <f>ROUND(ROUND(Q8*Source!I24, 6)*1, 2)</f>
        <v>0</v>
      </c>
      <c r="S8">
        <f>SmtRes!AC9</f>
        <v>0</v>
      </c>
      <c r="T8">
        <f>ROUND(ROUND(Q8*Source!I24, 6)*SmtRes!AK9, 2)</f>
        <v>0</v>
      </c>
      <c r="U8">
        <f>SmtRes!X9</f>
        <v>1191847735</v>
      </c>
      <c r="V8">
        <v>1369203</v>
      </c>
      <c r="W8">
        <v>1369203</v>
      </c>
    </row>
    <row r="9" spans="1:23">
      <c r="A9">
        <f>Source!A24</f>
        <v>17</v>
      </c>
      <c r="C9">
        <v>3</v>
      </c>
      <c r="D9">
        <v>0</v>
      </c>
      <c r="E9">
        <f>SmtRes!AV8</f>
        <v>0</v>
      </c>
      <c r="F9" t="str">
        <f>SmtRes!I8</f>
        <v>21.1-25-824</v>
      </c>
      <c r="G9" t="str">
        <f>SmtRes!K8</f>
        <v>Пластик холодный двухкомпонентный для разметки автомобильных дорог ручным способом, белого и желтого цвета, марка "Лимбопласт D468H" (без отвердителя)</v>
      </c>
      <c r="H9" t="str">
        <f>SmtRes!O8</f>
        <v>кг</v>
      </c>
      <c r="I9">
        <f>SmtRes!Y8*Source!I24</f>
        <v>363.38400000000001</v>
      </c>
      <c r="J9">
        <f>SmtRes!AO8</f>
        <v>1</v>
      </c>
      <c r="K9">
        <f>SmtRes!AE8</f>
        <v>222.01</v>
      </c>
      <c r="L9">
        <f>SmtRes!DB8</f>
        <v>548.80799999999999</v>
      </c>
      <c r="M9">
        <f>ROUND(ROUND(L9*Source!I24, 6)*1, 2)</f>
        <v>80674.78</v>
      </c>
      <c r="N9">
        <f>SmtRes!AA8</f>
        <v>222.01</v>
      </c>
      <c r="O9">
        <f>ROUND(ROUND(L9*Source!I24, 6)*SmtRes!DA8, 2)</f>
        <v>80674.78</v>
      </c>
      <c r="P9">
        <f>SmtRes!AG8</f>
        <v>0</v>
      </c>
      <c r="Q9">
        <f>SmtRes!DC8</f>
        <v>0</v>
      </c>
      <c r="R9">
        <f>ROUND(ROUND(Q9*Source!I24, 6)*1, 2)</f>
        <v>0</v>
      </c>
      <c r="S9">
        <f>SmtRes!AC8</f>
        <v>0</v>
      </c>
      <c r="T9">
        <f>ROUND(ROUND(Q9*Source!I24, 6)*SmtRes!AK8, 2)</f>
        <v>0</v>
      </c>
      <c r="U9">
        <f>SmtRes!X8</f>
        <v>-851996094</v>
      </c>
      <c r="V9">
        <v>-1919006285</v>
      </c>
      <c r="W9">
        <v>-1919006285</v>
      </c>
    </row>
    <row r="10" spans="1:23">
      <c r="A10">
        <f>Source!A24</f>
        <v>17</v>
      </c>
      <c r="C10">
        <v>3</v>
      </c>
      <c r="D10">
        <v>0</v>
      </c>
      <c r="E10">
        <f>SmtRes!AV7</f>
        <v>0</v>
      </c>
      <c r="F10" t="str">
        <f>SmtRes!I7</f>
        <v>21.1-25-789</v>
      </c>
      <c r="G10" t="str">
        <f>SmtRes!K7</f>
        <v>Стеклошарики световозвращающие, фракции 400-800 мкм</v>
      </c>
      <c r="H10" t="str">
        <f>SmtRes!O7</f>
        <v>т</v>
      </c>
      <c r="I10">
        <f>SmtRes!Y7*Source!I24</f>
        <v>5.1450000000000003E-2</v>
      </c>
      <c r="J10">
        <f>SmtRes!AO7</f>
        <v>1</v>
      </c>
      <c r="K10">
        <f>SmtRes!AE7</f>
        <v>68136.09</v>
      </c>
      <c r="L10">
        <f>SmtRes!DB7</f>
        <v>23.85</v>
      </c>
      <c r="M10">
        <f>ROUND(ROUND(L10*Source!I24, 6)*1, 2)</f>
        <v>3505.95</v>
      </c>
      <c r="N10">
        <f>SmtRes!AA7</f>
        <v>68136.09</v>
      </c>
      <c r="O10">
        <f>ROUND(ROUND(L10*Source!I24, 6)*SmtRes!DA7, 2)</f>
        <v>3505.95</v>
      </c>
      <c r="P10">
        <f>SmtRes!AG7</f>
        <v>0</v>
      </c>
      <c r="Q10">
        <f>SmtRes!DC7</f>
        <v>0</v>
      </c>
      <c r="R10">
        <f>ROUND(ROUND(Q10*Source!I24, 6)*1, 2)</f>
        <v>0</v>
      </c>
      <c r="S10">
        <f>SmtRes!AC7</f>
        <v>0</v>
      </c>
      <c r="T10">
        <f>ROUND(ROUND(Q10*Source!I24, 6)*SmtRes!AK7, 2)</f>
        <v>0</v>
      </c>
      <c r="U10">
        <f>SmtRes!X7</f>
        <v>-1477556458</v>
      </c>
      <c r="V10">
        <v>1192811934</v>
      </c>
      <c r="W10">
        <v>1192811934</v>
      </c>
    </row>
    <row r="11" spans="1:23">
      <c r="A11">
        <f>Source!A24</f>
        <v>17</v>
      </c>
      <c r="C11">
        <v>3</v>
      </c>
      <c r="D11">
        <v>0</v>
      </c>
      <c r="E11">
        <f>SmtRes!AV6</f>
        <v>0</v>
      </c>
      <c r="F11" t="str">
        <f>SmtRes!I6</f>
        <v>21.1-25-204</v>
      </c>
      <c r="G11" t="str">
        <f>SmtRes!K6</f>
        <v>Отвердитель для холодного пластика, марка Н1171</v>
      </c>
      <c r="H11" t="str">
        <f>SmtRes!O6</f>
        <v>кг</v>
      </c>
      <c r="I11">
        <f>SmtRes!Y6*Source!I24</f>
        <v>12.054</v>
      </c>
      <c r="J11">
        <f>SmtRes!AO6</f>
        <v>1</v>
      </c>
      <c r="K11">
        <f>SmtRes!AE6</f>
        <v>851.18</v>
      </c>
      <c r="L11">
        <f>SmtRes!DB6</f>
        <v>69.8</v>
      </c>
      <c r="M11">
        <f>ROUND(ROUND(L11*Source!I24, 6)*1, 2)</f>
        <v>10260.6</v>
      </c>
      <c r="N11">
        <f>SmtRes!AA6</f>
        <v>851.18</v>
      </c>
      <c r="O11">
        <f>ROUND(ROUND(L11*Source!I24, 6)*SmtRes!DA6, 2)</f>
        <v>10260.6</v>
      </c>
      <c r="P11">
        <f>SmtRes!AG6</f>
        <v>0</v>
      </c>
      <c r="Q11">
        <f>SmtRes!DC6</f>
        <v>0</v>
      </c>
      <c r="R11">
        <f>ROUND(ROUND(Q11*Source!I24, 6)*1, 2)</f>
        <v>0</v>
      </c>
      <c r="S11">
        <f>SmtRes!AC6</f>
        <v>0</v>
      </c>
      <c r="T11">
        <f>ROUND(ROUND(Q11*Source!I24, 6)*SmtRes!AK6, 2)</f>
        <v>0</v>
      </c>
      <c r="U11">
        <f>SmtRes!X6</f>
        <v>647130367</v>
      </c>
      <c r="V11">
        <v>-668700494</v>
      </c>
      <c r="W11">
        <v>-668700494</v>
      </c>
    </row>
    <row r="12" spans="1:23">
      <c r="A12">
        <f>Source!A24</f>
        <v>17</v>
      </c>
      <c r="C12">
        <v>3</v>
      </c>
      <c r="D12">
        <v>0</v>
      </c>
      <c r="E12">
        <f>SmtRes!AV5</f>
        <v>0</v>
      </c>
      <c r="F12" t="str">
        <f>SmtRes!I5</f>
        <v>21.1-25-150</v>
      </c>
      <c r="G12" t="str">
        <f>SmtRes!K5</f>
        <v>Лента скотч "Polyken", ширина (толщина) 50 (0,5) мм</v>
      </c>
      <c r="H12" t="str">
        <f>SmtRes!O5</f>
        <v>м</v>
      </c>
      <c r="I12">
        <f>SmtRes!Y5*Source!I24</f>
        <v>918.75</v>
      </c>
      <c r="J12">
        <f>SmtRes!AO5</f>
        <v>1</v>
      </c>
      <c r="K12">
        <f>SmtRes!AE5</f>
        <v>26.54</v>
      </c>
      <c r="L12">
        <f>SmtRes!DB5</f>
        <v>165.88</v>
      </c>
      <c r="M12">
        <f>ROUND(ROUND(L12*Source!I24, 6)*1, 2)</f>
        <v>24384.36</v>
      </c>
      <c r="N12">
        <f>SmtRes!AA5</f>
        <v>26.54</v>
      </c>
      <c r="O12">
        <f>ROUND(ROUND(L12*Source!I24, 6)*SmtRes!DA5, 2)</f>
        <v>24384.36</v>
      </c>
      <c r="P12">
        <f>SmtRes!AG5</f>
        <v>0</v>
      </c>
      <c r="Q12">
        <f>SmtRes!DC5</f>
        <v>0</v>
      </c>
      <c r="R12">
        <f>ROUND(ROUND(Q12*Source!I24, 6)*1, 2)</f>
        <v>0</v>
      </c>
      <c r="S12">
        <f>SmtRes!AC5</f>
        <v>0</v>
      </c>
      <c r="T12">
        <f>ROUND(ROUND(Q12*Source!I24, 6)*SmtRes!AK5, 2)</f>
        <v>0</v>
      </c>
      <c r="U12">
        <f>SmtRes!X5</f>
        <v>852130430</v>
      </c>
      <c r="V12">
        <v>860268438</v>
      </c>
      <c r="W12">
        <v>860268438</v>
      </c>
    </row>
    <row r="13" spans="1:23">
      <c r="A13">
        <f>Source!A24</f>
        <v>17</v>
      </c>
      <c r="C13">
        <v>2</v>
      </c>
      <c r="D13">
        <v>0</v>
      </c>
      <c r="E13">
        <f>SmtRes!AV4</f>
        <v>0</v>
      </c>
      <c r="F13" t="str">
        <f>SmtRes!I4</f>
        <v>22.1-5-90</v>
      </c>
      <c r="G13" t="str">
        <f>SmtRes!K4</f>
        <v>Машины разметочные ручные для нанесения двухкомпонентного холодного пластика</v>
      </c>
      <c r="H13" t="str">
        <f>SmtRes!O4</f>
        <v>маш.-ч</v>
      </c>
      <c r="I13">
        <f>SmtRes!Y4*Source!I24</f>
        <v>5.88</v>
      </c>
      <c r="J13">
        <f>SmtRes!AO4</f>
        <v>1</v>
      </c>
      <c r="K13">
        <f>SmtRes!AF4</f>
        <v>281.77999999999997</v>
      </c>
      <c r="L13">
        <f>SmtRes!DB4</f>
        <v>11.27</v>
      </c>
      <c r="M13">
        <f>ROUND(ROUND(L13*Source!I24, 6)*1, 2)</f>
        <v>1656.69</v>
      </c>
      <c r="N13">
        <f>SmtRes!AB4</f>
        <v>281.77999999999997</v>
      </c>
      <c r="O13">
        <f>ROUND(ROUND(L13*Source!I24, 6)*SmtRes!DA4, 2)</f>
        <v>1656.69</v>
      </c>
      <c r="P13">
        <f>SmtRes!AG4</f>
        <v>10.65</v>
      </c>
      <c r="Q13">
        <f>SmtRes!DC4</f>
        <v>0.43</v>
      </c>
      <c r="R13">
        <f>ROUND(ROUND(Q13*Source!I24, 6)*1, 2)</f>
        <v>63.21</v>
      </c>
      <c r="S13">
        <f>SmtRes!AC4</f>
        <v>10.65</v>
      </c>
      <c r="T13">
        <f>ROUND(ROUND(Q13*Source!I24, 6)*SmtRes!AK4, 2)</f>
        <v>63.21</v>
      </c>
      <c r="U13">
        <f>SmtRes!X4</f>
        <v>1527516419</v>
      </c>
      <c r="V13">
        <v>649249594</v>
      </c>
      <c r="W13">
        <v>649249594</v>
      </c>
    </row>
    <row r="14" spans="1:23">
      <c r="A14">
        <f>Source!A24</f>
        <v>17</v>
      </c>
      <c r="C14">
        <v>2</v>
      </c>
      <c r="D14">
        <v>0</v>
      </c>
      <c r="E14">
        <f>SmtRes!AV3</f>
        <v>0</v>
      </c>
      <c r="F14" t="str">
        <f>SmtRes!I3</f>
        <v>22.1-30-102</v>
      </c>
      <c r="G14" t="str">
        <f>SmtRes!K3</f>
        <v>Дрели электрические, двухскоростные, мощностью 600 Вт</v>
      </c>
      <c r="H14" t="str">
        <f>SmtRes!O3</f>
        <v>маш.-ч</v>
      </c>
      <c r="I14">
        <f>SmtRes!Y3*Source!I24</f>
        <v>5.88</v>
      </c>
      <c r="J14">
        <f>SmtRes!AO3</f>
        <v>1</v>
      </c>
      <c r="K14">
        <f>SmtRes!AF3</f>
        <v>7.44</v>
      </c>
      <c r="L14">
        <f>SmtRes!DB3</f>
        <v>0.3</v>
      </c>
      <c r="M14">
        <f>ROUND(ROUND(L14*Source!I24, 6)*1, 2)</f>
        <v>44.1</v>
      </c>
      <c r="N14">
        <f>SmtRes!AB3</f>
        <v>7.44</v>
      </c>
      <c r="O14">
        <f>ROUND(ROUND(L14*Source!I24, 6)*SmtRes!DA3, 2)</f>
        <v>44.1</v>
      </c>
      <c r="P14">
        <f>SmtRes!AG3</f>
        <v>0.98</v>
      </c>
      <c r="Q14">
        <f>SmtRes!DC3</f>
        <v>0.04</v>
      </c>
      <c r="R14">
        <f>ROUND(ROUND(Q14*Source!I24, 6)*1, 2)</f>
        <v>5.88</v>
      </c>
      <c r="S14">
        <f>SmtRes!AC3</f>
        <v>0.98</v>
      </c>
      <c r="T14">
        <f>ROUND(ROUND(Q14*Source!I24, 6)*SmtRes!AK3, 2)</f>
        <v>5.88</v>
      </c>
      <c r="U14">
        <f>SmtRes!X3</f>
        <v>-1222982568</v>
      </c>
      <c r="V14">
        <v>-2110789947</v>
      </c>
      <c r="W14">
        <v>-2110789947</v>
      </c>
    </row>
    <row r="15" spans="1:23">
      <c r="A15">
        <f>Source!A24</f>
        <v>17</v>
      </c>
      <c r="C15">
        <v>2</v>
      </c>
      <c r="D15">
        <v>0</v>
      </c>
      <c r="E15">
        <f>SmtRes!AV2</f>
        <v>0</v>
      </c>
      <c r="F15" t="str">
        <f>SmtRes!I2</f>
        <v>22.1-14-13</v>
      </c>
      <c r="G15" t="str">
        <f>SmtRes!K2</f>
        <v>Пылесосы, потребляемая мощность 350-1200 Вт</v>
      </c>
      <c r="H15" t="str">
        <f>SmtRes!O2</f>
        <v>маш.-ч</v>
      </c>
      <c r="I15">
        <f>SmtRes!Y2*Source!I24</f>
        <v>1.47</v>
      </c>
      <c r="J15">
        <f>SmtRes!AO2</f>
        <v>1</v>
      </c>
      <c r="K15">
        <f>SmtRes!AF2</f>
        <v>41.45</v>
      </c>
      <c r="L15">
        <f>SmtRes!DB2</f>
        <v>0.41</v>
      </c>
      <c r="M15">
        <f>ROUND(ROUND(L15*Source!I24, 6)*1, 2)</f>
        <v>60.27</v>
      </c>
      <c r="N15">
        <f>SmtRes!AB2</f>
        <v>41.45</v>
      </c>
      <c r="O15">
        <f>ROUND(ROUND(L15*Source!I24, 6)*SmtRes!DA2, 2)</f>
        <v>60.27</v>
      </c>
      <c r="P15">
        <f>SmtRes!AG2</f>
        <v>0.15</v>
      </c>
      <c r="Q15">
        <f>SmtRes!DC2</f>
        <v>0</v>
      </c>
      <c r="R15">
        <f>ROUND(ROUND(Q15*Source!I24, 6)*1, 2)</f>
        <v>0</v>
      </c>
      <c r="S15">
        <f>SmtRes!AC2</f>
        <v>0.15</v>
      </c>
      <c r="T15">
        <f>ROUND(ROUND(Q15*Source!I24, 6)*SmtRes!AK2, 2)</f>
        <v>0</v>
      </c>
      <c r="U15">
        <f>SmtRes!X2</f>
        <v>289144545</v>
      </c>
      <c r="V15">
        <v>2090792798</v>
      </c>
      <c r="W15">
        <v>2090792798</v>
      </c>
    </row>
    <row r="16" spans="1:23">
      <c r="A16">
        <f>Source!A25</f>
        <v>18</v>
      </c>
      <c r="B16">
        <v>25</v>
      </c>
      <c r="C16">
        <v>3</v>
      </c>
      <c r="D16">
        <f>Source!BI25</f>
        <v>1</v>
      </c>
      <c r="E16">
        <f>Source!FS25</f>
        <v>0</v>
      </c>
      <c r="F16" t="str">
        <f>Source!F25</f>
        <v>по счету поставщика</v>
      </c>
      <c r="G16" t="str">
        <f>Source!G25</f>
        <v>Пластик холодный двухкомпонентный для разметки автомобильных дорог ручным способом, красного цвета, марка "Лимбопласт D468H" (без отвердителя)</v>
      </c>
      <c r="H16" t="str">
        <f>Source!H25</f>
        <v>кг</v>
      </c>
      <c r="I16">
        <f>Source!I25</f>
        <v>201.39</v>
      </c>
      <c r="J16">
        <v>1</v>
      </c>
      <c r="K16">
        <f>Source!AC25</f>
        <v>91.67</v>
      </c>
      <c r="M16">
        <f>ROUND(K16*I16, 2)</f>
        <v>18461.419999999998</v>
      </c>
      <c r="N16">
        <f>Source!AC25*IF(Source!BC25&lt;&gt; 0, Source!BC25, 1)</f>
        <v>91.67</v>
      </c>
      <c r="O16">
        <f>ROUND(N16*I16, 2)</f>
        <v>18461.419999999998</v>
      </c>
      <c r="P16">
        <f>Source!AE25</f>
        <v>0</v>
      </c>
      <c r="R16">
        <f>ROUND(P16*I16, 2)</f>
        <v>0</v>
      </c>
      <c r="S16">
        <f>Source!AE25*IF(Source!BS25&lt;&gt; 0, Source!BS25, 1)</f>
        <v>0</v>
      </c>
      <c r="T16">
        <f>ROUND(S16*I16, 2)</f>
        <v>0</v>
      </c>
      <c r="U16">
        <f>Source!GF25</f>
        <v>-2029778333</v>
      </c>
      <c r="V16">
        <v>-964051113</v>
      </c>
      <c r="W16">
        <v>-964051113</v>
      </c>
    </row>
    <row r="17" spans="1:23">
      <c r="A17">
        <f>Source!A26</f>
        <v>17</v>
      </c>
      <c r="C17">
        <v>3</v>
      </c>
      <c r="D17">
        <v>0</v>
      </c>
      <c r="E17">
        <f>SmtRes!AV15</f>
        <v>0</v>
      </c>
      <c r="F17" t="str">
        <f>SmtRes!I15</f>
        <v>21.7-13-35</v>
      </c>
      <c r="G17" t="str">
        <f>SmtRes!K15</f>
        <v>Стойки из оцинкованной стали, диаметр 76 мм, длина 3 м</v>
      </c>
      <c r="H17" t="str">
        <f>SmtRes!O15</f>
        <v>шт.</v>
      </c>
      <c r="I17">
        <f>SmtRes!Y15*Source!I26</f>
        <v>12</v>
      </c>
      <c r="J17">
        <f>SmtRes!AO15</f>
        <v>1</v>
      </c>
      <c r="K17">
        <f>SmtRes!AE15</f>
        <v>1800.41</v>
      </c>
      <c r="L17">
        <f>SmtRes!DB15</f>
        <v>180041</v>
      </c>
      <c r="M17">
        <f>ROUND(ROUND(L17*Source!I26, 6)*1, 2)</f>
        <v>21604.92</v>
      </c>
      <c r="N17">
        <f>SmtRes!AA15</f>
        <v>1800.41</v>
      </c>
      <c r="O17">
        <f>ROUND(ROUND(L17*Source!I26, 6)*SmtRes!DA15, 2)</f>
        <v>21604.92</v>
      </c>
      <c r="P17">
        <f>SmtRes!AG15</f>
        <v>0</v>
      </c>
      <c r="Q17">
        <f>SmtRes!DC15</f>
        <v>0</v>
      </c>
      <c r="R17">
        <f>ROUND(ROUND(Q17*Source!I26, 6)*1, 2)</f>
        <v>0</v>
      </c>
      <c r="S17">
        <f>SmtRes!AC15</f>
        <v>0</v>
      </c>
      <c r="T17">
        <f>ROUND(ROUND(Q17*Source!I26, 6)*SmtRes!AK15, 2)</f>
        <v>0</v>
      </c>
      <c r="U17">
        <f>SmtRes!X15</f>
        <v>611244235</v>
      </c>
      <c r="V17">
        <v>-844583660</v>
      </c>
      <c r="W17">
        <v>-844583660</v>
      </c>
    </row>
    <row r="18" spans="1:23">
      <c r="A18">
        <f>Source!A26</f>
        <v>17</v>
      </c>
      <c r="C18">
        <v>3</v>
      </c>
      <c r="D18">
        <v>0</v>
      </c>
      <c r="E18">
        <f>SmtRes!AV14</f>
        <v>0</v>
      </c>
      <c r="F18" t="str">
        <f>SmtRes!I14</f>
        <v>21.1-11-14</v>
      </c>
      <c r="G18" t="str">
        <f>SmtRes!K14</f>
        <v>Болты строительные с гайками оцинкованные (10х100мм)</v>
      </c>
      <c r="H18" t="str">
        <f>SmtRes!O14</f>
        <v>т</v>
      </c>
      <c r="I18">
        <f>SmtRes!Y14*Source!I26</f>
        <v>5.7599999999999995E-3</v>
      </c>
      <c r="J18">
        <f>SmtRes!AO14</f>
        <v>1</v>
      </c>
      <c r="K18">
        <f>SmtRes!AE14</f>
        <v>116855.43</v>
      </c>
      <c r="L18">
        <f>SmtRes!DB14</f>
        <v>5609.06</v>
      </c>
      <c r="M18">
        <f>ROUND(ROUND(L18*Source!I26, 6)*1, 2)</f>
        <v>673.09</v>
      </c>
      <c r="N18">
        <f>SmtRes!AA14</f>
        <v>116855.43</v>
      </c>
      <c r="O18">
        <f>ROUND(ROUND(L18*Source!I26, 6)*SmtRes!DA14, 2)</f>
        <v>673.09</v>
      </c>
      <c r="P18">
        <f>SmtRes!AG14</f>
        <v>0</v>
      </c>
      <c r="Q18">
        <f>SmtRes!DC14</f>
        <v>0</v>
      </c>
      <c r="R18">
        <f>ROUND(ROUND(Q18*Source!I26, 6)*1, 2)</f>
        <v>0</v>
      </c>
      <c r="S18">
        <f>SmtRes!AC14</f>
        <v>0</v>
      </c>
      <c r="T18">
        <f>ROUND(ROUND(Q18*Source!I26, 6)*SmtRes!AK14, 2)</f>
        <v>0</v>
      </c>
      <c r="U18">
        <f>SmtRes!X14</f>
        <v>-1651770909</v>
      </c>
      <c r="V18">
        <v>1561493737</v>
      </c>
      <c r="W18">
        <v>1561493737</v>
      </c>
    </row>
    <row r="19" spans="1:23">
      <c r="A19">
        <f>Source!A26</f>
        <v>17</v>
      </c>
      <c r="C19">
        <v>2</v>
      </c>
      <c r="D19">
        <v>0</v>
      </c>
      <c r="E19">
        <f>SmtRes!AV13</f>
        <v>0</v>
      </c>
      <c r="F19" t="str">
        <f>SmtRes!I13</f>
        <v>22.1-9-1</v>
      </c>
      <c r="G19" t="str">
        <f>SmtRes!K13</f>
        <v>Машины бурильно-крановые на базе трактора, глубина бурения до 5 м</v>
      </c>
      <c r="H19" t="str">
        <f>SmtRes!O13</f>
        <v>маш.-ч</v>
      </c>
      <c r="I19">
        <f>SmtRes!Y13*Source!I26</f>
        <v>1.65</v>
      </c>
      <c r="J19">
        <f>SmtRes!AO13</f>
        <v>1</v>
      </c>
      <c r="K19">
        <f>SmtRes!AF13</f>
        <v>1289.26</v>
      </c>
      <c r="L19">
        <f>SmtRes!DB13</f>
        <v>17727.330000000002</v>
      </c>
      <c r="M19">
        <f>ROUND(ROUND(L19*Source!I26, 6)*1, 2)</f>
        <v>2127.2800000000002</v>
      </c>
      <c r="N19">
        <f>SmtRes!AB13</f>
        <v>1289.26</v>
      </c>
      <c r="O19">
        <f>ROUND(ROUND(L19*Source!I26, 6)*SmtRes!DA13, 2)</f>
        <v>2127.2800000000002</v>
      </c>
      <c r="P19">
        <f>SmtRes!AG13</f>
        <v>637.17999999999995</v>
      </c>
      <c r="Q19">
        <f>SmtRes!DC13</f>
        <v>8761.23</v>
      </c>
      <c r="R19">
        <f>ROUND(ROUND(Q19*Source!I26, 6)*1, 2)</f>
        <v>1051.3499999999999</v>
      </c>
      <c r="S19">
        <f>SmtRes!AC13</f>
        <v>637.17999999999995</v>
      </c>
      <c r="T19">
        <f>ROUND(ROUND(Q19*Source!I26, 6)*SmtRes!AK13, 2)</f>
        <v>1051.3499999999999</v>
      </c>
      <c r="U19">
        <f>SmtRes!X13</f>
        <v>-1749865602</v>
      </c>
      <c r="V19">
        <v>-1784055919</v>
      </c>
      <c r="W19">
        <v>-1784055919</v>
      </c>
    </row>
    <row r="20" spans="1:23">
      <c r="A20">
        <f>Source!A27</f>
        <v>18</v>
      </c>
      <c r="B20">
        <v>27</v>
      </c>
      <c r="C20">
        <v>3</v>
      </c>
      <c r="D20">
        <f>Source!BI27</f>
        <v>4</v>
      </c>
      <c r="E20">
        <f>Source!FS27</f>
        <v>0</v>
      </c>
      <c r="F20" t="str">
        <f>Source!F27</f>
        <v>по счету поставщика</v>
      </c>
      <c r="G20" t="str">
        <f>Source!G27</f>
        <v>Знак 8.2.1 Зона действия</v>
      </c>
      <c r="H20" t="str">
        <f>Source!H27</f>
        <v>ШТ</v>
      </c>
      <c r="I20">
        <f>Source!I27</f>
        <v>7</v>
      </c>
      <c r="J20">
        <v>1</v>
      </c>
      <c r="K20">
        <f>Source!AC27</f>
        <v>458.33</v>
      </c>
      <c r="M20">
        <f>ROUND(K20*I20, 2)</f>
        <v>3208.31</v>
      </c>
      <c r="N20">
        <f>Source!AC27*IF(Source!BC27&lt;&gt; 0, Source!BC27, 1)</f>
        <v>458.33</v>
      </c>
      <c r="O20">
        <f>ROUND(N20*I20, 2)</f>
        <v>3208.31</v>
      </c>
      <c r="P20">
        <f>Source!AE27</f>
        <v>0</v>
      </c>
      <c r="R20">
        <f>ROUND(P20*I20, 2)</f>
        <v>0</v>
      </c>
      <c r="S20">
        <f>Source!AE27*IF(Source!BS27&lt;&gt; 0, Source!BS27, 1)</f>
        <v>0</v>
      </c>
      <c r="T20">
        <f>ROUND(S20*I20, 2)</f>
        <v>0</v>
      </c>
      <c r="U20">
        <f>Source!GF27</f>
        <v>1060887624</v>
      </c>
      <c r="V20">
        <v>-420651233</v>
      </c>
      <c r="W20">
        <v>-420651233</v>
      </c>
    </row>
    <row r="21" spans="1:23">
      <c r="A21">
        <f>Source!A28</f>
        <v>18</v>
      </c>
      <c r="B21">
        <v>28</v>
      </c>
      <c r="C21">
        <v>3</v>
      </c>
      <c r="D21">
        <f>Source!BI28</f>
        <v>4</v>
      </c>
      <c r="E21">
        <f>Source!FS28</f>
        <v>0</v>
      </c>
      <c r="F21" t="str">
        <f>Source!F28</f>
        <v>по счету поставщика</v>
      </c>
      <c r="G21" t="str">
        <f>Source!G28</f>
        <v>Знак 3.27 Остановка запрещена</v>
      </c>
      <c r="H21" t="str">
        <f>Source!H28</f>
        <v>ШТ</v>
      </c>
      <c r="I21">
        <f>Source!I28</f>
        <v>8</v>
      </c>
      <c r="J21">
        <v>1</v>
      </c>
      <c r="K21">
        <f>Source!AC28</f>
        <v>875</v>
      </c>
      <c r="M21">
        <f>ROUND(K21*I21, 2)</f>
        <v>7000</v>
      </c>
      <c r="N21">
        <f>Source!AC28*IF(Source!BC28&lt;&gt; 0, Source!BC28, 1)</f>
        <v>875</v>
      </c>
      <c r="O21">
        <f>ROUND(N21*I21, 2)</f>
        <v>7000</v>
      </c>
      <c r="P21">
        <f>Source!AE28</f>
        <v>0</v>
      </c>
      <c r="R21">
        <f>ROUND(P21*I21, 2)</f>
        <v>0</v>
      </c>
      <c r="S21">
        <f>Source!AE28*IF(Source!BS28&lt;&gt; 0, Source!BS28, 1)</f>
        <v>0</v>
      </c>
      <c r="T21">
        <f>ROUND(S21*I21, 2)</f>
        <v>0</v>
      </c>
      <c r="U21">
        <f>Source!GF28</f>
        <v>21436170</v>
      </c>
      <c r="V21">
        <v>15828255</v>
      </c>
      <c r="W21">
        <v>15828255</v>
      </c>
    </row>
    <row r="22" spans="1:23">
      <c r="A22">
        <f>Source!A29</f>
        <v>18</v>
      </c>
      <c r="B22">
        <v>29</v>
      </c>
      <c r="C22">
        <v>3</v>
      </c>
      <c r="D22">
        <f>Source!BI29</f>
        <v>4</v>
      </c>
      <c r="E22">
        <f>Source!FS29</f>
        <v>0</v>
      </c>
      <c r="F22" t="str">
        <f>Source!F29</f>
        <v>по счету поставщика</v>
      </c>
      <c r="G22" t="str">
        <f>Source!G29</f>
        <v>Знак 8.30 Площадка пожарной-специальной технике</v>
      </c>
      <c r="H22" t="str">
        <f>Source!H29</f>
        <v>ШТ</v>
      </c>
      <c r="I22">
        <f>Source!I29</f>
        <v>7</v>
      </c>
      <c r="J22">
        <v>1</v>
      </c>
      <c r="K22">
        <f>Source!AC29</f>
        <v>583.33000000000004</v>
      </c>
      <c r="M22">
        <f>ROUND(K22*I22, 2)</f>
        <v>4083.31</v>
      </c>
      <c r="N22">
        <f>Source!AC29*IF(Source!BC29&lt;&gt; 0, Source!BC29, 1)</f>
        <v>583.33000000000004</v>
      </c>
      <c r="O22">
        <f>ROUND(N22*I22, 2)</f>
        <v>4083.31</v>
      </c>
      <c r="P22">
        <f>Source!AE29</f>
        <v>0</v>
      </c>
      <c r="R22">
        <f>ROUND(P22*I22, 2)</f>
        <v>0</v>
      </c>
      <c r="S22">
        <f>Source!AE29*IF(Source!BS29&lt;&gt; 0, Source!BS29, 1)</f>
        <v>0</v>
      </c>
      <c r="T22">
        <f>ROUND(S22*I22, 2)</f>
        <v>0</v>
      </c>
      <c r="U22">
        <f>Source!GF29</f>
        <v>964456726</v>
      </c>
      <c r="V22">
        <v>657723600</v>
      </c>
      <c r="W22">
        <v>657723600</v>
      </c>
    </row>
    <row r="23" spans="1:23">
      <c r="A23">
        <f>Source!A30</f>
        <v>18</v>
      </c>
      <c r="B23">
        <v>30</v>
      </c>
      <c r="C23">
        <v>3</v>
      </c>
      <c r="D23">
        <f>Source!BI30</f>
        <v>4</v>
      </c>
      <c r="E23">
        <f>Source!FS30</f>
        <v>0</v>
      </c>
      <c r="F23" t="str">
        <f>Source!F30</f>
        <v>по счету поставщика</v>
      </c>
      <c r="G23" t="str">
        <f>Source!G30</f>
        <v>Знак Парковка для инвалидов</v>
      </c>
      <c r="H23" t="str">
        <f>Source!H30</f>
        <v>ШТ</v>
      </c>
      <c r="I23">
        <f>Source!I30</f>
        <v>2</v>
      </c>
      <c r="J23">
        <v>1</v>
      </c>
      <c r="K23">
        <f>Source!AC30</f>
        <v>733.33</v>
      </c>
      <c r="M23">
        <f>ROUND(K23*I23, 2)</f>
        <v>1466.66</v>
      </c>
      <c r="N23">
        <f>Source!AC30*IF(Source!BC30&lt;&gt; 0, Source!BC30, 1)</f>
        <v>733.33</v>
      </c>
      <c r="O23">
        <f>ROUND(N23*I23, 2)</f>
        <v>1466.66</v>
      </c>
      <c r="P23">
        <f>Source!AE30</f>
        <v>0</v>
      </c>
      <c r="R23">
        <f>ROUND(P23*I23, 2)</f>
        <v>0</v>
      </c>
      <c r="S23">
        <f>Source!AE30*IF(Source!BS30&lt;&gt; 0, Source!BS30, 1)</f>
        <v>0</v>
      </c>
      <c r="T23">
        <f>ROUND(S23*I23, 2)</f>
        <v>0</v>
      </c>
      <c r="U23">
        <f>Source!GF30</f>
        <v>1272699849</v>
      </c>
      <c r="V23">
        <v>1848196438</v>
      </c>
      <c r="W23">
        <v>1848196438</v>
      </c>
    </row>
    <row r="24" spans="1:23">
      <c r="A24">
        <f>Source!A31</f>
        <v>17</v>
      </c>
      <c r="C24">
        <v>3</v>
      </c>
      <c r="D24">
        <v>0</v>
      </c>
      <c r="E24">
        <f>SmtRes!AV23</f>
        <v>0</v>
      </c>
      <c r="F24" t="str">
        <f>SmtRes!I23</f>
        <v>21.1-25-815</v>
      </c>
      <c r="G24" t="str">
        <f>SmtRes!K23</f>
        <v>Термопластик для разметки автомобильных дорог, марка "ТПКН", без стеклошариков</v>
      </c>
      <c r="H24" t="str">
        <f>SmtRes!O23</f>
        <v>кг</v>
      </c>
      <c r="I24">
        <f>SmtRes!Y23*Source!I31</f>
        <v>378</v>
      </c>
      <c r="J24">
        <f>SmtRes!AO23</f>
        <v>1</v>
      </c>
      <c r="K24">
        <f>SmtRes!AE23</f>
        <v>75.14</v>
      </c>
      <c r="L24">
        <f>SmtRes!DB23</f>
        <v>473.38</v>
      </c>
      <c r="M24">
        <f>ROUND(ROUND(L24*Source!I31, 6)*1, 2)</f>
        <v>28402.799999999999</v>
      </c>
      <c r="N24">
        <f>SmtRes!AA23</f>
        <v>75.14</v>
      </c>
      <c r="O24">
        <f>ROUND(ROUND(L24*Source!I31, 6)*SmtRes!DA23, 2)</f>
        <v>28402.799999999999</v>
      </c>
      <c r="P24">
        <f>SmtRes!AG23</f>
        <v>0</v>
      </c>
      <c r="Q24">
        <f>SmtRes!DC23</f>
        <v>0</v>
      </c>
      <c r="R24">
        <f>ROUND(ROUND(Q24*Source!I31, 6)*1, 2)</f>
        <v>0</v>
      </c>
      <c r="S24">
        <f>SmtRes!AC23</f>
        <v>0</v>
      </c>
      <c r="T24">
        <f>ROUND(ROUND(Q24*Source!I31, 6)*SmtRes!AK23, 2)</f>
        <v>0</v>
      </c>
      <c r="U24">
        <f>SmtRes!X23</f>
        <v>-581309856</v>
      </c>
      <c r="V24">
        <v>133286137</v>
      </c>
      <c r="W24">
        <v>133286137</v>
      </c>
    </row>
    <row r="25" spans="1:23">
      <c r="A25">
        <f>Source!A31</f>
        <v>17</v>
      </c>
      <c r="C25">
        <v>2</v>
      </c>
      <c r="D25">
        <v>0</v>
      </c>
      <c r="E25">
        <f>SmtRes!AV22</f>
        <v>0</v>
      </c>
      <c r="F25" t="str">
        <f>SmtRes!I22</f>
        <v>22.1-5-74</v>
      </c>
      <c r="G25" t="str">
        <f>SmtRes!K22</f>
        <v>Машины разметочные, тип BMT-350С, для нанесения термопластика</v>
      </c>
      <c r="H25" t="str">
        <f>SmtRes!O22</f>
        <v>маш.-ч</v>
      </c>
      <c r="I25">
        <f>SmtRes!Y22*Source!I31</f>
        <v>12</v>
      </c>
      <c r="J25">
        <f>SmtRes!AO22</f>
        <v>1</v>
      </c>
      <c r="K25">
        <f>SmtRes!AF22</f>
        <v>2219.16</v>
      </c>
      <c r="L25">
        <f>SmtRes!DB22</f>
        <v>443.83</v>
      </c>
      <c r="M25">
        <f>ROUND(ROUND(L25*Source!I31, 6)*1, 2)</f>
        <v>26629.8</v>
      </c>
      <c r="N25">
        <f>SmtRes!AB22</f>
        <v>2219.16</v>
      </c>
      <c r="O25">
        <f>ROUND(ROUND(L25*Source!I31, 6)*SmtRes!DA22, 2)</f>
        <v>26629.8</v>
      </c>
      <c r="P25">
        <f>SmtRes!AG22</f>
        <v>428.75</v>
      </c>
      <c r="Q25">
        <f>SmtRes!DC22</f>
        <v>85.75</v>
      </c>
      <c r="R25">
        <f>ROUND(ROUND(Q25*Source!I31, 6)*1, 2)</f>
        <v>5145</v>
      </c>
      <c r="S25">
        <f>SmtRes!AC22</f>
        <v>428.75</v>
      </c>
      <c r="T25">
        <f>ROUND(ROUND(Q25*Source!I31, 6)*SmtRes!AK22, 2)</f>
        <v>5145</v>
      </c>
      <c r="U25">
        <f>SmtRes!X22</f>
        <v>-1903850885</v>
      </c>
      <c r="V25">
        <v>-1057298751</v>
      </c>
      <c r="W25">
        <v>-1057298751</v>
      </c>
    </row>
    <row r="26" spans="1:23">
      <c r="A26">
        <f>Source!A31</f>
        <v>17</v>
      </c>
      <c r="C26">
        <v>2</v>
      </c>
      <c r="D26">
        <v>0</v>
      </c>
      <c r="E26">
        <f>SmtRes!AV21</f>
        <v>0</v>
      </c>
      <c r="F26" t="str">
        <f>SmtRes!I21</f>
        <v>22.1-5-60</v>
      </c>
      <c r="G26" t="str">
        <f>SmtRes!K21</f>
        <v>Маточные котлы, тип "Hofmann HK-1000"</v>
      </c>
      <c r="H26" t="str">
        <f>SmtRes!O21</f>
        <v>маш.-ч</v>
      </c>
      <c r="I26">
        <f>SmtRes!Y21*Source!I31</f>
        <v>16.8</v>
      </c>
      <c r="J26">
        <f>SmtRes!AO21</f>
        <v>1</v>
      </c>
      <c r="K26">
        <f>SmtRes!AF21</f>
        <v>1376.39</v>
      </c>
      <c r="L26">
        <f>SmtRes!DB21</f>
        <v>385.39</v>
      </c>
      <c r="M26">
        <f>ROUND(ROUND(L26*Source!I31, 6)*1, 2)</f>
        <v>23123.4</v>
      </c>
      <c r="N26">
        <f>SmtRes!AB21</f>
        <v>1376.39</v>
      </c>
      <c r="O26">
        <f>ROUND(ROUND(L26*Source!I31, 6)*SmtRes!DA21, 2)</f>
        <v>23123.4</v>
      </c>
      <c r="P26">
        <f>SmtRes!AG21</f>
        <v>1154.8399999999999</v>
      </c>
      <c r="Q26">
        <f>SmtRes!DC21</f>
        <v>323.36</v>
      </c>
      <c r="R26">
        <f>ROUND(ROUND(Q26*Source!I31, 6)*1, 2)</f>
        <v>19401.599999999999</v>
      </c>
      <c r="S26">
        <f>SmtRes!AC21</f>
        <v>1154.8399999999999</v>
      </c>
      <c r="T26">
        <f>ROUND(ROUND(Q26*Source!I31, 6)*SmtRes!AK21, 2)</f>
        <v>19401.599999999999</v>
      </c>
      <c r="U26">
        <f>SmtRes!X21</f>
        <v>-2099648192</v>
      </c>
      <c r="V26">
        <v>1955005884</v>
      </c>
      <c r="W26">
        <v>1955005884</v>
      </c>
    </row>
    <row r="27" spans="1:23">
      <c r="A27"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32"/>
  <sheetViews>
    <sheetView workbookViewId="0"/>
  </sheetViews>
  <sheetFormatPr defaultRowHeight="12.75"/>
  <cols>
    <col min="1" max="1" width="12.7109375" customWidth="1"/>
    <col min="2" max="2" width="40.7109375" customWidth="1"/>
    <col min="3" max="6" width="12.7109375" customWidth="1"/>
    <col min="15" max="15" width="103.7109375" hidden="1" customWidth="1"/>
    <col min="16" max="18" width="0" hidden="1" customWidth="1"/>
  </cols>
  <sheetData>
    <row r="2" spans="1:17" ht="16.5">
      <c r="A2" s="112" t="s">
        <v>301</v>
      </c>
      <c r="B2" s="113"/>
      <c r="C2" s="113"/>
      <c r="D2" s="113"/>
      <c r="E2" s="113"/>
      <c r="F2" s="113"/>
    </row>
    <row r="3" spans="1:17" ht="33">
      <c r="A3" s="112" t="str">
        <f>CONCATENATE("Объект: ",IF(Source!G63&lt;&gt;"Новый объект", Source!G63, ""))</f>
        <v>Объект: Устройство разметки на стоянках ГБУЗ "ТБ им. А.Е. Рабухина ДЗМ" в 2021г.</v>
      </c>
      <c r="B3" s="113"/>
      <c r="C3" s="113"/>
      <c r="D3" s="113"/>
      <c r="E3" s="113"/>
      <c r="F3" s="113"/>
      <c r="O3" s="58" t="s">
        <v>302</v>
      </c>
    </row>
    <row r="4" spans="1:17">
      <c r="A4" s="81" t="s">
        <v>303</v>
      </c>
      <c r="B4" s="81" t="s">
        <v>304</v>
      </c>
      <c r="C4" s="81" t="s">
        <v>189</v>
      </c>
      <c r="D4" s="81" t="s">
        <v>305</v>
      </c>
      <c r="E4" s="114" t="s">
        <v>306</v>
      </c>
      <c r="F4" s="115"/>
    </row>
    <row r="5" spans="1:17">
      <c r="A5" s="82"/>
      <c r="B5" s="82"/>
      <c r="C5" s="82"/>
      <c r="D5" s="82"/>
      <c r="E5" s="116"/>
      <c r="F5" s="117"/>
    </row>
    <row r="6" spans="1:17" ht="14.25">
      <c r="A6" s="105"/>
      <c r="B6" s="105"/>
      <c r="C6" s="105"/>
      <c r="D6" s="105"/>
      <c r="E6" s="20" t="s">
        <v>307</v>
      </c>
      <c r="F6" s="20" t="s">
        <v>308</v>
      </c>
    </row>
    <row r="7" spans="1:17" ht="14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</row>
    <row r="8" spans="1:17" ht="16.5">
      <c r="A8" s="112" t="str">
        <f>CONCATENATE("Локальная смета: ",IF(Source!G22&lt;&gt;"Новая локальная смета", Source!G22, ""))</f>
        <v xml:space="preserve">Локальная смета: </v>
      </c>
      <c r="B8" s="113"/>
      <c r="C8" s="113"/>
      <c r="D8" s="113"/>
      <c r="E8" s="113"/>
      <c r="F8" s="113"/>
    </row>
    <row r="9" spans="1:17" ht="14.25">
      <c r="A9" s="118" t="s">
        <v>309</v>
      </c>
      <c r="B9" s="119"/>
      <c r="C9" s="119"/>
      <c r="D9" s="119"/>
      <c r="E9" s="119"/>
      <c r="F9" s="119"/>
    </row>
    <row r="10" spans="1:17" ht="28.5">
      <c r="A10" s="60" t="s">
        <v>120</v>
      </c>
      <c r="B10" s="51" t="s">
        <v>122</v>
      </c>
      <c r="C10" s="51" t="s">
        <v>123</v>
      </c>
      <c r="D10" s="52">
        <f>ROUND(SUMIF(RV_DATA!V7:'RV_DATA'!V26, 2090792798, RV_DATA!I7:'RV_DATA'!I26), 6)</f>
        <v>1.47</v>
      </c>
      <c r="E10" s="61">
        <f>ROUND(RV_DATA!K15, 6)</f>
        <v>41.45</v>
      </c>
      <c r="F10" s="61">
        <f>ROUND(SUMIF(RV_DATA!V7:'RV_DATA'!V26, 2090792798, RV_DATA!M7:'RV_DATA'!M26), 6)</f>
        <v>60.27</v>
      </c>
      <c r="Q10">
        <v>2</v>
      </c>
    </row>
    <row r="11" spans="1:17" ht="28.5">
      <c r="A11" s="60" t="s">
        <v>124</v>
      </c>
      <c r="B11" s="51" t="s">
        <v>126</v>
      </c>
      <c r="C11" s="51" t="s">
        <v>123</v>
      </c>
      <c r="D11" s="52">
        <f>ROUND(SUMIF(RV_DATA!V7:'RV_DATA'!V26, -2110789947, RV_DATA!I7:'RV_DATA'!I26), 6)</f>
        <v>5.88</v>
      </c>
      <c r="E11" s="61">
        <f>ROUND(RV_DATA!K14, 6)</f>
        <v>7.44</v>
      </c>
      <c r="F11" s="61">
        <f>ROUND(SUMIF(RV_DATA!V7:'RV_DATA'!V26, -2110789947, RV_DATA!M7:'RV_DATA'!M26), 6)</f>
        <v>44.1</v>
      </c>
      <c r="Q11">
        <v>2</v>
      </c>
    </row>
    <row r="12" spans="1:17" ht="28.5">
      <c r="A12" s="60" t="s">
        <v>161</v>
      </c>
      <c r="B12" s="51" t="s">
        <v>163</v>
      </c>
      <c r="C12" s="51" t="s">
        <v>123</v>
      </c>
      <c r="D12" s="52">
        <f>ROUND(SUMIF(RV_DATA!V7:'RV_DATA'!V26, 1955005884, RV_DATA!I7:'RV_DATA'!I26), 6)</f>
        <v>16.8</v>
      </c>
      <c r="E12" s="61">
        <f>ROUND(RV_DATA!K26, 6)</f>
        <v>1376.39</v>
      </c>
      <c r="F12" s="61">
        <f>ROUND(SUMIF(RV_DATA!V7:'RV_DATA'!V26, 1955005884, RV_DATA!M7:'RV_DATA'!M26), 6)</f>
        <v>23123.4</v>
      </c>
      <c r="Q12">
        <v>2</v>
      </c>
    </row>
    <row r="13" spans="1:17" ht="28.5">
      <c r="A13" s="60" t="s">
        <v>164</v>
      </c>
      <c r="B13" s="51" t="s">
        <v>166</v>
      </c>
      <c r="C13" s="51" t="s">
        <v>123</v>
      </c>
      <c r="D13" s="52">
        <f>ROUND(SUMIF(RV_DATA!V7:'RV_DATA'!V26, -1057298751, RV_DATA!I7:'RV_DATA'!I26), 6)</f>
        <v>12</v>
      </c>
      <c r="E13" s="61">
        <f>ROUND(RV_DATA!K25, 6)</f>
        <v>2219.16</v>
      </c>
      <c r="F13" s="61">
        <f>ROUND(SUMIF(RV_DATA!V7:'RV_DATA'!V26, -1057298751, RV_DATA!M7:'RV_DATA'!M26), 6)</f>
        <v>26629.8</v>
      </c>
      <c r="Q13">
        <v>2</v>
      </c>
    </row>
    <row r="14" spans="1:17" ht="42.75">
      <c r="A14" s="60" t="s">
        <v>127</v>
      </c>
      <c r="B14" s="51" t="s">
        <v>129</v>
      </c>
      <c r="C14" s="51" t="s">
        <v>123</v>
      </c>
      <c r="D14" s="52">
        <f>ROUND(SUMIF(RV_DATA!V7:'RV_DATA'!V26, 649249594, RV_DATA!I7:'RV_DATA'!I26), 6)</f>
        <v>5.88</v>
      </c>
      <c r="E14" s="61">
        <f>ROUND(RV_DATA!K13, 6)</f>
        <v>281.77999999999997</v>
      </c>
      <c r="F14" s="61">
        <f>ROUND(SUMIF(RV_DATA!V7:'RV_DATA'!V26, 649249594, RV_DATA!M7:'RV_DATA'!M26), 6)</f>
        <v>1656.69</v>
      </c>
      <c r="Q14">
        <v>2</v>
      </c>
    </row>
    <row r="15" spans="1:17" ht="28.5">
      <c r="A15" s="60" t="s">
        <v>151</v>
      </c>
      <c r="B15" s="51" t="s">
        <v>153</v>
      </c>
      <c r="C15" s="51" t="s">
        <v>123</v>
      </c>
      <c r="D15" s="52">
        <f>ROUND(SUMIF(RV_DATA!V7:'RV_DATA'!V26, -1784055919, RV_DATA!I7:'RV_DATA'!I26), 6)</f>
        <v>1.65</v>
      </c>
      <c r="E15" s="61">
        <f>ROUND(RV_DATA!K19, 6)</f>
        <v>1289.26</v>
      </c>
      <c r="F15" s="61">
        <f>ROUND(SUMIF(RV_DATA!V7:'RV_DATA'!V26, -1784055919, RV_DATA!M7:'RV_DATA'!M26), 6)</f>
        <v>2127.2800000000002</v>
      </c>
      <c r="Q15">
        <v>2</v>
      </c>
    </row>
    <row r="16" spans="1:17" ht="15">
      <c r="A16" s="110" t="s">
        <v>310</v>
      </c>
      <c r="B16" s="110"/>
      <c r="C16" s="110"/>
      <c r="D16" s="110"/>
      <c r="E16" s="111">
        <f>SUMIF(Q10:Q15, 2, F10:F15)</f>
        <v>53641.54</v>
      </c>
      <c r="F16" s="111"/>
    </row>
    <row r="17" spans="1:17" ht="14.25">
      <c r="A17" s="118" t="s">
        <v>311</v>
      </c>
      <c r="B17" s="119"/>
      <c r="C17" s="119"/>
      <c r="D17" s="119"/>
      <c r="E17" s="119"/>
      <c r="F17" s="119"/>
    </row>
    <row r="18" spans="1:17" ht="28.5">
      <c r="A18" s="60" t="s">
        <v>154</v>
      </c>
      <c r="B18" s="51" t="s">
        <v>156</v>
      </c>
      <c r="C18" s="51" t="s">
        <v>140</v>
      </c>
      <c r="D18" s="52">
        <f>ROUND(SUMIF(RV_DATA!V7:'RV_DATA'!V26, 1561493737, RV_DATA!I7:'RV_DATA'!I26), 6)</f>
        <v>5.7600000000000004E-3</v>
      </c>
      <c r="E18" s="61">
        <f>ROUND(RV_DATA!K18, 6)</f>
        <v>116855.43</v>
      </c>
      <c r="F18" s="61">
        <f>ROUND(SUMIF(RV_DATA!V7:'RV_DATA'!V26, 1561493737, RV_DATA!M7:'RV_DATA'!M26), 6)</f>
        <v>673.09</v>
      </c>
      <c r="Q18">
        <v>3</v>
      </c>
    </row>
    <row r="19" spans="1:17" ht="28.5">
      <c r="A19" s="60" t="s">
        <v>130</v>
      </c>
      <c r="B19" s="51" t="s">
        <v>132</v>
      </c>
      <c r="C19" s="51" t="s">
        <v>133</v>
      </c>
      <c r="D19" s="52">
        <f>ROUND(SUMIF(RV_DATA!V7:'RV_DATA'!V26, 860268438, RV_DATA!I7:'RV_DATA'!I26), 6)</f>
        <v>918.75</v>
      </c>
      <c r="E19" s="61">
        <f>ROUND(RV_DATA!K12, 6)</f>
        <v>26.54</v>
      </c>
      <c r="F19" s="61">
        <f>ROUND(SUMIF(RV_DATA!V7:'RV_DATA'!V26, 860268438, RV_DATA!M7:'RV_DATA'!M26), 6)</f>
        <v>24384.36</v>
      </c>
      <c r="Q19">
        <v>3</v>
      </c>
    </row>
    <row r="20" spans="1:17" ht="28.5">
      <c r="A20" s="60" t="s">
        <v>134</v>
      </c>
      <c r="B20" s="51" t="s">
        <v>136</v>
      </c>
      <c r="C20" s="51" t="s">
        <v>31</v>
      </c>
      <c r="D20" s="52">
        <f>ROUND(SUMIF(RV_DATA!V7:'RV_DATA'!V26, -668700494, RV_DATA!I7:'RV_DATA'!I26), 6)</f>
        <v>12.054</v>
      </c>
      <c r="E20" s="61">
        <f>ROUND(RV_DATA!K11, 6)</f>
        <v>851.18</v>
      </c>
      <c r="F20" s="61">
        <f>ROUND(SUMIF(RV_DATA!V7:'RV_DATA'!V26, -668700494, RV_DATA!M7:'RV_DATA'!M26), 6)</f>
        <v>10260.6</v>
      </c>
      <c r="Q20">
        <v>3</v>
      </c>
    </row>
    <row r="21" spans="1:17" ht="28.5">
      <c r="A21" s="60" t="s">
        <v>137</v>
      </c>
      <c r="B21" s="51" t="s">
        <v>139</v>
      </c>
      <c r="C21" s="51" t="s">
        <v>140</v>
      </c>
      <c r="D21" s="52">
        <f>ROUND(SUMIF(RV_DATA!V7:'RV_DATA'!V26, 1192811934, RV_DATA!I7:'RV_DATA'!I26), 6)</f>
        <v>5.1450000000000003E-2</v>
      </c>
      <c r="E21" s="61">
        <f>ROUND(RV_DATA!K10, 6)</f>
        <v>68136.09</v>
      </c>
      <c r="F21" s="61">
        <f>ROUND(SUMIF(RV_DATA!V7:'RV_DATA'!V26, 1192811934, RV_DATA!M7:'RV_DATA'!M26), 6)</f>
        <v>3505.95</v>
      </c>
      <c r="Q21">
        <v>3</v>
      </c>
    </row>
    <row r="22" spans="1:17" ht="42.75">
      <c r="A22" s="60" t="s">
        <v>167</v>
      </c>
      <c r="B22" s="51" t="s">
        <v>169</v>
      </c>
      <c r="C22" s="51" t="s">
        <v>31</v>
      </c>
      <c r="D22" s="52">
        <f>ROUND(SUMIF(RV_DATA!V7:'RV_DATA'!V26, 133286137, RV_DATA!I7:'RV_DATA'!I26), 6)</f>
        <v>378</v>
      </c>
      <c r="E22" s="61">
        <f>ROUND(RV_DATA!K24, 6)</f>
        <v>75.14</v>
      </c>
      <c r="F22" s="61">
        <f>ROUND(SUMIF(RV_DATA!V7:'RV_DATA'!V26, 133286137, RV_DATA!M7:'RV_DATA'!M26), 6)</f>
        <v>28402.799999999999</v>
      </c>
      <c r="Q22">
        <v>3</v>
      </c>
    </row>
    <row r="23" spans="1:17" ht="71.25">
      <c r="A23" s="60" t="s">
        <v>141</v>
      </c>
      <c r="B23" s="51" t="s">
        <v>143</v>
      </c>
      <c r="C23" s="51" t="s">
        <v>31</v>
      </c>
      <c r="D23" s="52">
        <f>ROUND(SUMIF(RV_DATA!V7:'RV_DATA'!V26, -1919006285, RV_DATA!I7:'RV_DATA'!I26), 6)</f>
        <v>363.38400000000001</v>
      </c>
      <c r="E23" s="61">
        <f>ROUND(RV_DATA!K9, 6)</f>
        <v>222.01</v>
      </c>
      <c r="F23" s="61">
        <f>ROUND(SUMIF(RV_DATA!V7:'RV_DATA'!V26, -1919006285, RV_DATA!M7:'RV_DATA'!M26), 6)</f>
        <v>80674.78</v>
      </c>
      <c r="Q23">
        <v>3</v>
      </c>
    </row>
    <row r="24" spans="1:17" ht="42.75">
      <c r="A24" s="60" t="s">
        <v>145</v>
      </c>
      <c r="B24" s="51" t="s">
        <v>147</v>
      </c>
      <c r="C24" s="51" t="s">
        <v>23</v>
      </c>
      <c r="D24" s="52">
        <f>ROUND(SUMIF(RV_DATA!V7:'RV_DATA'!V26, 1369203, RV_DATA!I7:'RV_DATA'!I26), 6)</f>
        <v>45.57</v>
      </c>
      <c r="E24" s="61">
        <f>ROUND(RV_DATA!K8, 6)</f>
        <v>28.26</v>
      </c>
      <c r="F24" s="61">
        <f>ROUND(SUMIF(RV_DATA!V7:'RV_DATA'!V26, 1369203, RV_DATA!M7:'RV_DATA'!M26), 6)</f>
        <v>1287.72</v>
      </c>
      <c r="Q24">
        <v>3</v>
      </c>
    </row>
    <row r="25" spans="1:17" ht="14.25">
      <c r="A25" s="60" t="s">
        <v>148</v>
      </c>
      <c r="B25" s="51" t="s">
        <v>150</v>
      </c>
      <c r="C25" s="51" t="s">
        <v>140</v>
      </c>
      <c r="D25" s="52">
        <f>ROUND(SUMIF(RV_DATA!V7:'RV_DATA'!V26, -269824317, RV_DATA!I7:'RV_DATA'!I26), 6)</f>
        <v>0.19697999999999999</v>
      </c>
      <c r="E25" s="61">
        <f>ROUND(RV_DATA!K7, 6)</f>
        <v>105650.49</v>
      </c>
      <c r="F25" s="61">
        <f>ROUND(SUMIF(RV_DATA!V7:'RV_DATA'!V26, -269824317, RV_DATA!M7:'RV_DATA'!M26), 6)</f>
        <v>20810.79</v>
      </c>
      <c r="Q25">
        <v>3</v>
      </c>
    </row>
    <row r="26" spans="1:17" ht="28.5">
      <c r="A26" s="60" t="s">
        <v>157</v>
      </c>
      <c r="B26" s="51" t="s">
        <v>159</v>
      </c>
      <c r="C26" s="51" t="s">
        <v>160</v>
      </c>
      <c r="D26" s="52">
        <f>ROUND(SUMIF(RV_DATA!V7:'RV_DATA'!V26, -844583660, RV_DATA!I7:'RV_DATA'!I26), 6)</f>
        <v>12</v>
      </c>
      <c r="E26" s="61">
        <f>ROUND(RV_DATA!K17, 6)</f>
        <v>1800.41</v>
      </c>
      <c r="F26" s="61">
        <f>ROUND(SUMIF(RV_DATA!V7:'RV_DATA'!V26, -844583660, RV_DATA!M7:'RV_DATA'!M26), 6)</f>
        <v>21604.92</v>
      </c>
      <c r="Q26">
        <v>3</v>
      </c>
    </row>
    <row r="27" spans="1:17" ht="71.25">
      <c r="A27" s="60" t="s">
        <v>29</v>
      </c>
      <c r="B27" s="51" t="s">
        <v>30</v>
      </c>
      <c r="C27" s="51" t="s">
        <v>31</v>
      </c>
      <c r="D27" s="52">
        <f>ROUND(SUMIF(RV_DATA!V7:'RV_DATA'!V26, -964051113, RV_DATA!I7:'RV_DATA'!I26), 6)</f>
        <v>201.39</v>
      </c>
      <c r="E27" s="61">
        <f>ROUND(RV_DATA!K16, 6)</f>
        <v>91.67</v>
      </c>
      <c r="F27" s="61">
        <f>ROUND(SUMIF(RV_DATA!V7:'RV_DATA'!V26, -964051113, RV_DATA!M7:'RV_DATA'!M26), 6)</f>
        <v>18461.419999999998</v>
      </c>
      <c r="Q27">
        <v>3</v>
      </c>
    </row>
    <row r="28" spans="1:17" ht="28.5">
      <c r="A28" s="60" t="s">
        <v>29</v>
      </c>
      <c r="B28" s="51" t="s">
        <v>42</v>
      </c>
      <c r="C28" s="51" t="s">
        <v>43</v>
      </c>
      <c r="D28" s="52">
        <f>ROUND(SUMIF(RV_DATA!V7:'RV_DATA'!V26, -420651233, RV_DATA!I7:'RV_DATA'!I26), 6)</f>
        <v>7</v>
      </c>
      <c r="E28" s="61">
        <f>ROUND(RV_DATA!K20, 6)</f>
        <v>458.33</v>
      </c>
      <c r="F28" s="61">
        <f>ROUND(SUMIF(RV_DATA!V7:'RV_DATA'!V26, -420651233, RV_DATA!M7:'RV_DATA'!M26), 6)</f>
        <v>3208.31</v>
      </c>
      <c r="Q28">
        <v>3</v>
      </c>
    </row>
    <row r="29" spans="1:17" ht="28.5">
      <c r="A29" s="60" t="s">
        <v>29</v>
      </c>
      <c r="B29" s="51" t="s">
        <v>46</v>
      </c>
      <c r="C29" s="51" t="s">
        <v>43</v>
      </c>
      <c r="D29" s="52">
        <f>ROUND(SUMIF(RV_DATA!V7:'RV_DATA'!V26, 15828255, RV_DATA!I7:'RV_DATA'!I26), 6)</f>
        <v>8</v>
      </c>
      <c r="E29" s="61">
        <f>ROUND(RV_DATA!K21, 6)</f>
        <v>875</v>
      </c>
      <c r="F29" s="61">
        <f>ROUND(SUMIF(RV_DATA!V7:'RV_DATA'!V26, 15828255, RV_DATA!M7:'RV_DATA'!M26), 6)</f>
        <v>7000</v>
      </c>
      <c r="Q29">
        <v>3</v>
      </c>
    </row>
    <row r="30" spans="1:17" ht="28.5">
      <c r="A30" s="60" t="s">
        <v>29</v>
      </c>
      <c r="B30" s="51" t="s">
        <v>49</v>
      </c>
      <c r="C30" s="51" t="s">
        <v>43</v>
      </c>
      <c r="D30" s="52">
        <f>ROUND(SUMIF(RV_DATA!V7:'RV_DATA'!V26, 657723600, RV_DATA!I7:'RV_DATA'!I26), 6)</f>
        <v>7</v>
      </c>
      <c r="E30" s="61">
        <f>ROUND(RV_DATA!K22, 6)</f>
        <v>583.33000000000004</v>
      </c>
      <c r="F30" s="61">
        <f>ROUND(SUMIF(RV_DATA!V7:'RV_DATA'!V26, 657723600, RV_DATA!M7:'RV_DATA'!M26), 6)</f>
        <v>4083.31</v>
      </c>
      <c r="Q30">
        <v>3</v>
      </c>
    </row>
    <row r="31" spans="1:17" ht="28.5">
      <c r="A31" s="60" t="s">
        <v>29</v>
      </c>
      <c r="B31" s="51" t="s">
        <v>52</v>
      </c>
      <c r="C31" s="51" t="s">
        <v>43</v>
      </c>
      <c r="D31" s="52">
        <f>ROUND(SUMIF(RV_DATA!V7:'RV_DATA'!V26, 1848196438, RV_DATA!I7:'RV_DATA'!I26), 6)</f>
        <v>2</v>
      </c>
      <c r="E31" s="61">
        <f>ROUND(RV_DATA!K23, 6)</f>
        <v>733.33</v>
      </c>
      <c r="F31" s="61">
        <f>ROUND(SUMIF(RV_DATA!V7:'RV_DATA'!V26, 1848196438, RV_DATA!M7:'RV_DATA'!M26), 6)</f>
        <v>1466.66</v>
      </c>
      <c r="Q31">
        <v>3</v>
      </c>
    </row>
    <row r="32" spans="1:17" ht="15">
      <c r="A32" s="110" t="s">
        <v>312</v>
      </c>
      <c r="B32" s="110"/>
      <c r="C32" s="110"/>
      <c r="D32" s="110"/>
      <c r="E32" s="111">
        <f>SUMIF(Q18:Q31, 3, F18:F31)</f>
        <v>225824.71</v>
      </c>
      <c r="F32" s="111"/>
    </row>
  </sheetData>
  <sortState ref="A18:Q31">
    <sortCondition ref="A18"/>
  </sortState>
  <mergeCells count="14">
    <mergeCell ref="A32:D32"/>
    <mergeCell ref="E32:F32"/>
    <mergeCell ref="A2:F2"/>
    <mergeCell ref="A3:F3"/>
    <mergeCell ref="A4:A6"/>
    <mergeCell ref="B4:B6"/>
    <mergeCell ref="C4:C6"/>
    <mergeCell ref="D4:D6"/>
    <mergeCell ref="E4:F5"/>
    <mergeCell ref="A8:F8"/>
    <mergeCell ref="A9:F9"/>
    <mergeCell ref="A16:D16"/>
    <mergeCell ref="E16:F16"/>
    <mergeCell ref="A17:F17"/>
  </mergeCells>
  <pageMargins left="0.6" right="0.4" top="0.65" bottom="0.4" header="0.4" footer="0.4"/>
  <pageSetup paperSize="9" scale="96" fitToHeight="0" orientation="portrait" verticalDpi="0" r:id="rId1"/>
  <headerFooter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0"/>
  <sheetViews>
    <sheetView workbookViewId="0"/>
  </sheetViews>
  <sheetFormatPr defaultRowHeight="12.75"/>
  <cols>
    <col min="1" max="1" width="6.7109375" customWidth="1"/>
    <col min="2" max="2" width="15.7109375" customWidth="1"/>
    <col min="3" max="3" width="45.7109375" customWidth="1"/>
    <col min="4" max="7" width="12.7109375" customWidth="1"/>
  </cols>
  <sheetData>
    <row r="1" spans="1:7">
      <c r="A1" s="8" t="str">
        <f>Source!B1</f>
        <v>Smeta.RU  (495) 974-1589</v>
      </c>
    </row>
    <row r="2" spans="1:7" ht="14.25">
      <c r="A2" s="11"/>
      <c r="B2" s="11"/>
      <c r="C2" s="11"/>
      <c r="D2" s="11"/>
      <c r="E2" s="11"/>
      <c r="F2" s="11"/>
      <c r="G2" s="11"/>
    </row>
    <row r="3" spans="1:7" ht="15.75">
      <c r="A3" s="73" t="str">
        <f>IF(Source!G12&lt;&gt;"Новый объект", Source!G12, "")</f>
        <v>Устройство разметки на стоянках ГБУЗ "ТБ им. А.Е. Рабухина ДЗМ" в 2021г.</v>
      </c>
      <c r="B3" s="73"/>
      <c r="C3" s="73"/>
      <c r="D3" s="73"/>
      <c r="E3" s="73"/>
      <c r="F3" s="73"/>
      <c r="G3" s="73"/>
    </row>
    <row r="4" spans="1:7">
      <c r="A4" s="121" t="s">
        <v>313</v>
      </c>
      <c r="B4" s="121"/>
      <c r="C4" s="121"/>
      <c r="D4" s="121"/>
      <c r="E4" s="121"/>
      <c r="F4" s="121"/>
      <c r="G4" s="121"/>
    </row>
    <row r="5" spans="1:7" ht="14.25">
      <c r="A5" s="11"/>
      <c r="B5" s="11"/>
      <c r="C5" s="11"/>
      <c r="D5" s="11"/>
      <c r="E5" s="11"/>
      <c r="F5" s="11"/>
      <c r="G5" s="11"/>
    </row>
    <row r="6" spans="1:7" ht="15.75">
      <c r="A6" s="122" t="str">
        <f>CONCATENATE("ЛОКАЛЬНАЯ РЕСУРСНАЯ ВЕДОМОСТЬ № ",IF(Source!F20&lt;&gt;"Новая локальная смета", Source!F20, ""))</f>
        <v xml:space="preserve">ЛОКАЛЬНАЯ РЕСУРСНАЯ ВЕДОМОСТЬ № </v>
      </c>
      <c r="B6" s="123"/>
      <c r="C6" s="123"/>
      <c r="D6" s="123"/>
      <c r="E6" s="123"/>
      <c r="F6" s="123"/>
      <c r="G6" s="123"/>
    </row>
    <row r="7" spans="1:7" ht="14.25">
      <c r="A7" s="11"/>
      <c r="B7" s="11"/>
      <c r="C7" s="11"/>
      <c r="D7" s="11"/>
      <c r="E7" s="11"/>
      <c r="F7" s="11"/>
      <c r="G7" s="11"/>
    </row>
    <row r="8" spans="1:7" ht="18">
      <c r="A8" s="78" t="str">
        <f>IF(Source!G20&lt;&gt;"Новая локальная смета", Source!G20, "")</f>
        <v/>
      </c>
      <c r="B8" s="78"/>
      <c r="C8" s="78"/>
      <c r="D8" s="78"/>
      <c r="E8" s="78"/>
      <c r="F8" s="78"/>
      <c r="G8" s="78"/>
    </row>
    <row r="9" spans="1:7">
      <c r="A9" s="75" t="s">
        <v>314</v>
      </c>
      <c r="B9" s="79"/>
      <c r="C9" s="79"/>
      <c r="D9" s="79"/>
      <c r="E9" s="79"/>
      <c r="F9" s="79"/>
      <c r="G9" s="79"/>
    </row>
    <row r="10" spans="1:7" ht="14.25">
      <c r="A10" s="11"/>
      <c r="B10" s="11"/>
      <c r="C10" s="11"/>
      <c r="D10" s="11"/>
      <c r="E10" s="11"/>
      <c r="F10" s="11"/>
      <c r="G10" s="11"/>
    </row>
    <row r="11" spans="1:7" ht="14.25">
      <c r="A11" s="124" t="s">
        <v>178</v>
      </c>
      <c r="B11" s="124"/>
      <c r="C11" s="62" t="str">
        <f>Source!J20</f>
        <v/>
      </c>
      <c r="D11" s="62"/>
      <c r="E11" s="62"/>
      <c r="F11" s="62"/>
      <c r="G11" s="62"/>
    </row>
    <row r="12" spans="1:7" ht="14.25">
      <c r="A12" s="44"/>
      <c r="B12" s="44"/>
      <c r="C12" s="44"/>
      <c r="D12" s="44"/>
      <c r="E12" s="44"/>
      <c r="F12" s="44"/>
      <c r="G12" s="44"/>
    </row>
    <row r="13" spans="1:7" ht="14.25">
      <c r="A13" s="11"/>
      <c r="B13" s="11"/>
      <c r="C13" s="11"/>
      <c r="D13" s="11"/>
      <c r="E13" s="11"/>
      <c r="F13" s="15"/>
      <c r="G13" s="15"/>
    </row>
    <row r="14" spans="1:7" ht="14.25">
      <c r="A14" s="11" t="s">
        <v>315</v>
      </c>
      <c r="B14" s="11"/>
      <c r="C14" s="11"/>
      <c r="D14" s="11"/>
      <c r="E14" s="11"/>
      <c r="F14" s="15"/>
      <c r="G14" s="15"/>
    </row>
    <row r="15" spans="1:7" ht="57">
      <c r="A15" s="20" t="s">
        <v>262</v>
      </c>
      <c r="B15" s="20" t="s">
        <v>316</v>
      </c>
      <c r="C15" s="20" t="s">
        <v>317</v>
      </c>
      <c r="D15" s="20" t="s">
        <v>189</v>
      </c>
      <c r="E15" s="20" t="s">
        <v>318</v>
      </c>
      <c r="F15" s="47" t="s">
        <v>319</v>
      </c>
      <c r="G15" s="47" t="s">
        <v>320</v>
      </c>
    </row>
    <row r="16" spans="1:7" ht="14.25">
      <c r="A16" s="20">
        <v>1</v>
      </c>
      <c r="B16" s="20">
        <v>2</v>
      </c>
      <c r="C16" s="20">
        <v>3</v>
      </c>
      <c r="D16" s="20">
        <v>4</v>
      </c>
      <c r="E16" s="20">
        <v>5</v>
      </c>
      <c r="F16" s="20">
        <v>6</v>
      </c>
      <c r="G16" s="20">
        <v>7</v>
      </c>
    </row>
    <row r="17" spans="1:7" ht="42.75">
      <c r="A17" s="50" t="str">
        <f>Source!E24</f>
        <v>1</v>
      </c>
      <c r="B17" s="63" t="str">
        <f>Source!F24</f>
        <v>2.1-3203-3-1/1</v>
      </c>
      <c r="C17" s="64" t="str">
        <f>Source!G24</f>
        <v>Нанесение разметки двухкомпонентным холодным пластиком с применением ручных механизмов</v>
      </c>
      <c r="D17" s="66" t="str">
        <f>Source!H24</f>
        <v>м2</v>
      </c>
      <c r="E17" s="65"/>
      <c r="F17" s="52"/>
      <c r="G17" s="67">
        <f>Source!I24</f>
        <v>147</v>
      </c>
    </row>
    <row r="18" spans="1:7" ht="14.25">
      <c r="A18" s="50">
        <v>1.1000000000000001</v>
      </c>
      <c r="B18" s="64" t="str">
        <f>SmtRes!I1</f>
        <v>9999990008</v>
      </c>
      <c r="C18" s="64" t="str">
        <f>SmtRes!K1</f>
        <v>Трудозатраты рабочих</v>
      </c>
      <c r="D18" s="51" t="str">
        <f>SmtRes!O1</f>
        <v>чел.-ч.</v>
      </c>
      <c r="E18" s="65">
        <f>SmtRes!AT1</f>
        <v>0.88</v>
      </c>
      <c r="F18" s="52" t="str">
        <f>SmtRes!AU1</f>
        <v/>
      </c>
      <c r="G18" s="65">
        <f>SmtRes!Y1*Source!I24</f>
        <v>129.36000000000001</v>
      </c>
    </row>
    <row r="19" spans="1:7" ht="28.5">
      <c r="A19" s="50">
        <v>1.2</v>
      </c>
      <c r="B19" s="64" t="str">
        <f>SmtRes!I2</f>
        <v>22.1-14-13</v>
      </c>
      <c r="C19" s="64" t="str">
        <f>SmtRes!K2</f>
        <v>Пылесосы, потребляемая мощность 350-1200 Вт</v>
      </c>
      <c r="D19" s="51" t="str">
        <f>SmtRes!O2</f>
        <v>маш.-ч</v>
      </c>
      <c r="E19" s="65">
        <f>SmtRes!AT2</f>
        <v>0.01</v>
      </c>
      <c r="F19" s="52" t="str">
        <f>SmtRes!AU2</f>
        <v/>
      </c>
      <c r="G19" s="65">
        <f>SmtRes!Y2*Source!I24</f>
        <v>1.47</v>
      </c>
    </row>
    <row r="20" spans="1:7" ht="28.5">
      <c r="A20" s="50">
        <v>1.3</v>
      </c>
      <c r="B20" s="64" t="str">
        <f>SmtRes!I3</f>
        <v>22.1-30-102</v>
      </c>
      <c r="C20" s="64" t="str">
        <f>SmtRes!K3</f>
        <v>Дрели электрические, двухскоростные, мощностью 600 Вт</v>
      </c>
      <c r="D20" s="51" t="str">
        <f>SmtRes!O3</f>
        <v>маш.-ч</v>
      </c>
      <c r="E20" s="65">
        <f>SmtRes!AT3</f>
        <v>0.04</v>
      </c>
      <c r="F20" s="52" t="str">
        <f>SmtRes!AU3</f>
        <v/>
      </c>
      <c r="G20" s="65">
        <f>SmtRes!Y3*Source!I24</f>
        <v>5.88</v>
      </c>
    </row>
    <row r="21" spans="1:7" ht="42.75">
      <c r="A21" s="50">
        <v>1.4</v>
      </c>
      <c r="B21" s="64" t="str">
        <f>SmtRes!I4</f>
        <v>22.1-5-90</v>
      </c>
      <c r="C21" s="64" t="str">
        <f>SmtRes!K4</f>
        <v>Машины разметочные ручные для нанесения двухкомпонентного холодного пластика</v>
      </c>
      <c r="D21" s="51" t="str">
        <f>SmtRes!O4</f>
        <v>маш.-ч</v>
      </c>
      <c r="E21" s="65">
        <f>SmtRes!AT4</f>
        <v>0.04</v>
      </c>
      <c r="F21" s="52" t="str">
        <f>SmtRes!AU4</f>
        <v/>
      </c>
      <c r="G21" s="65">
        <f>SmtRes!Y4*Source!I24</f>
        <v>5.88</v>
      </c>
    </row>
    <row r="22" spans="1:7" ht="28.5">
      <c r="A22" s="50">
        <v>1.5</v>
      </c>
      <c r="B22" s="64" t="str">
        <f>SmtRes!I5</f>
        <v>21.1-25-150</v>
      </c>
      <c r="C22" s="64" t="str">
        <f>SmtRes!K5</f>
        <v>Лента скотч "Polyken", ширина (толщина) 50 (0,5) мм</v>
      </c>
      <c r="D22" s="51" t="str">
        <f>SmtRes!O5</f>
        <v>м</v>
      </c>
      <c r="E22" s="65">
        <f>SmtRes!AT5</f>
        <v>6.25</v>
      </c>
      <c r="F22" s="52" t="str">
        <f>SmtRes!AU5</f>
        <v/>
      </c>
      <c r="G22" s="65">
        <f>SmtRes!Y5*Source!I24</f>
        <v>918.75</v>
      </c>
    </row>
    <row r="23" spans="1:7" ht="28.5">
      <c r="A23" s="50">
        <v>1.6</v>
      </c>
      <c r="B23" s="64" t="str">
        <f>SmtRes!I6</f>
        <v>21.1-25-204</v>
      </c>
      <c r="C23" s="64" t="str">
        <f>SmtRes!K6</f>
        <v>Отвердитель для холодного пластика, марка Н1171</v>
      </c>
      <c r="D23" s="51" t="str">
        <f>SmtRes!O6</f>
        <v>кг</v>
      </c>
      <c r="E23" s="65">
        <f>SmtRes!AT6</f>
        <v>8.2000000000000003E-2</v>
      </c>
      <c r="F23" s="52" t="str">
        <f>SmtRes!AU6</f>
        <v/>
      </c>
      <c r="G23" s="65">
        <f>SmtRes!Y6*Source!I24</f>
        <v>12.054</v>
      </c>
    </row>
    <row r="24" spans="1:7" ht="28.5">
      <c r="A24" s="50">
        <v>1.7</v>
      </c>
      <c r="B24" s="64" t="str">
        <f>SmtRes!I7</f>
        <v>21.1-25-789</v>
      </c>
      <c r="C24" s="64" t="str">
        <f>SmtRes!K7</f>
        <v>Стеклошарики световозвращающие, фракции 400-800 мкм</v>
      </c>
      <c r="D24" s="51" t="str">
        <f>SmtRes!O7</f>
        <v>т</v>
      </c>
      <c r="E24" s="65">
        <f>SmtRes!AT7</f>
        <v>3.5E-4</v>
      </c>
      <c r="F24" s="52" t="str">
        <f>SmtRes!AU7</f>
        <v/>
      </c>
      <c r="G24" s="65">
        <f>SmtRes!Y7*Source!I24</f>
        <v>5.1450000000000003E-2</v>
      </c>
    </row>
    <row r="25" spans="1:7" ht="57">
      <c r="A25" s="50">
        <v>1.8</v>
      </c>
      <c r="B25" s="64" t="str">
        <f>SmtRes!I8</f>
        <v>21.1-25-824</v>
      </c>
      <c r="C25" s="64" t="str">
        <f>SmtRes!K8</f>
        <v>Пластик холодный двухкомпонентный для разметки автомобильных дорог ручным способом, белого и желтого цвета, марка "Лимбопласт D468H" (без отвердителя)</v>
      </c>
      <c r="D25" s="51" t="str">
        <f>SmtRes!O8</f>
        <v>кг</v>
      </c>
      <c r="E25" s="65">
        <f>SmtRes!AT8</f>
        <v>4.12</v>
      </c>
      <c r="F25" s="52" t="str">
        <f>SmtRes!AU8</f>
        <v>*0,6</v>
      </c>
      <c r="G25" s="65">
        <f>SmtRes!Y8*Source!I24</f>
        <v>363.38400000000001</v>
      </c>
    </row>
    <row r="26" spans="1:7" ht="28.5">
      <c r="A26" s="50">
        <v>1.9</v>
      </c>
      <c r="B26" s="64" t="str">
        <f>SmtRes!I9</f>
        <v>21.1-3-56</v>
      </c>
      <c r="C26" s="64" t="str">
        <f>SmtRes!K9</f>
        <v>Материал рулонный кровельный, рубероид, марка РКП-350, с пылевидной посыпкой</v>
      </c>
      <c r="D26" s="51" t="str">
        <f>SmtRes!O9</f>
        <v>м2</v>
      </c>
      <c r="E26" s="65">
        <f>SmtRes!AT9</f>
        <v>0.31</v>
      </c>
      <c r="F26" s="52" t="str">
        <f>SmtRes!AU9</f>
        <v/>
      </c>
      <c r="G26" s="65">
        <f>SmtRes!Y9*Source!I24</f>
        <v>45.57</v>
      </c>
    </row>
    <row r="27" spans="1:7" ht="14.25">
      <c r="A27" s="50">
        <v>1.1000000000000001</v>
      </c>
      <c r="B27" s="64" t="str">
        <f>SmtRes!I10</f>
        <v>21.1-6-112</v>
      </c>
      <c r="C27" s="64" t="str">
        <f>SmtRes!K10</f>
        <v>Растворители, марка Р-4</v>
      </c>
      <c r="D27" s="51" t="str">
        <f>SmtRes!O10</f>
        <v>т</v>
      </c>
      <c r="E27" s="65">
        <f>SmtRes!AT10</f>
        <v>1.34E-3</v>
      </c>
      <c r="F27" s="52" t="str">
        <f>SmtRes!AU10</f>
        <v/>
      </c>
      <c r="G27" s="65">
        <f>SmtRes!Y10*Source!I24</f>
        <v>0.19698000000000002</v>
      </c>
    </row>
    <row r="28" spans="1:7" ht="57">
      <c r="A28" s="50">
        <v>1.1100000000000001</v>
      </c>
      <c r="B28" s="64" t="str">
        <f>SmtRes!I11</f>
        <v>по счету поставщика</v>
      </c>
      <c r="C28" s="64" t="str">
        <f>SmtRes!K11</f>
        <v>Пластик холодный двухкомпонентный для разметки автомобильных дорог ручным способом, красного цвета, марка "Лимбопласт D468H" (без отвердителя)</v>
      </c>
      <c r="D28" s="51" t="str">
        <f>SmtRes!O11</f>
        <v>кг</v>
      </c>
      <c r="E28" s="65">
        <f>SmtRes!AT11</f>
        <v>1.37</v>
      </c>
      <c r="F28" s="52" t="str">
        <f>SmtRes!AU11</f>
        <v/>
      </c>
      <c r="G28" s="65">
        <f>SmtRes!Y11*Source!I24</f>
        <v>201.39000000000001</v>
      </c>
    </row>
    <row r="29" spans="1:7" ht="42.75">
      <c r="A29" s="50" t="str">
        <f>Source!E26</f>
        <v>2</v>
      </c>
      <c r="B29" s="63" t="str">
        <f>Source!F26</f>
        <v>2.1-3203-8-1/1</v>
      </c>
      <c r="C29" s="64" t="str">
        <f>Source!G26</f>
        <v>Установка дорожных знаков на металлических стойках (без стоимости щита дорожного знака)</v>
      </c>
      <c r="D29" s="66" t="str">
        <f>Source!H26</f>
        <v>100 шт.</v>
      </c>
      <c r="E29" s="65"/>
      <c r="F29" s="52"/>
      <c r="G29" s="67">
        <f>Source!I26</f>
        <v>0.12</v>
      </c>
    </row>
    <row r="30" spans="1:7">
      <c r="A30" s="59"/>
      <c r="B30" s="59"/>
      <c r="C30" s="68" t="str">
        <f>"Объем: "&amp;Source!I26&amp;"=12/"&amp;"100"</f>
        <v>Объем: 0,12=12/100</v>
      </c>
      <c r="D30" s="59"/>
      <c r="E30" s="59"/>
      <c r="F30" s="59"/>
      <c r="G30" s="59"/>
    </row>
    <row r="31" spans="1:7" ht="14.25">
      <c r="A31" s="50">
        <v>2.1</v>
      </c>
      <c r="B31" s="64" t="str">
        <f>SmtRes!I12</f>
        <v>9999990008</v>
      </c>
      <c r="C31" s="64" t="str">
        <f>SmtRes!K12</f>
        <v>Трудозатраты рабочих</v>
      </c>
      <c r="D31" s="51" t="str">
        <f>SmtRes!O12</f>
        <v>чел.-ч.</v>
      </c>
      <c r="E31" s="65">
        <f>SmtRes!AT12</f>
        <v>342.54</v>
      </c>
      <c r="F31" s="52" t="str">
        <f>SmtRes!AU12</f>
        <v/>
      </c>
      <c r="G31" s="65">
        <f>SmtRes!Y12*Source!I26</f>
        <v>41.104800000000004</v>
      </c>
    </row>
    <row r="32" spans="1:7" ht="28.5">
      <c r="A32" s="50">
        <v>2.2000000000000002</v>
      </c>
      <c r="B32" s="64" t="str">
        <f>SmtRes!I13</f>
        <v>22.1-9-1</v>
      </c>
      <c r="C32" s="64" t="str">
        <f>SmtRes!K13</f>
        <v>Машины бурильно-крановые на базе трактора, глубина бурения до 5 м</v>
      </c>
      <c r="D32" s="51" t="str">
        <f>SmtRes!O13</f>
        <v>маш.-ч</v>
      </c>
      <c r="E32" s="65">
        <f>SmtRes!AT13</f>
        <v>13.75</v>
      </c>
      <c r="F32" s="52" t="str">
        <f>SmtRes!AU13</f>
        <v/>
      </c>
      <c r="G32" s="65">
        <f>SmtRes!Y13*Source!I26</f>
        <v>1.65</v>
      </c>
    </row>
    <row r="33" spans="1:7" ht="28.5">
      <c r="A33" s="50">
        <v>2.2999999999999998</v>
      </c>
      <c r="B33" s="64" t="str">
        <f>SmtRes!I14</f>
        <v>21.1-11-14</v>
      </c>
      <c r="C33" s="64" t="str">
        <f>SmtRes!K14</f>
        <v>Болты строительные с гайками оцинкованные (10х100мм)</v>
      </c>
      <c r="D33" s="51" t="str">
        <f>SmtRes!O14</f>
        <v>т</v>
      </c>
      <c r="E33" s="65">
        <f>SmtRes!AT14</f>
        <v>4.8000000000000001E-2</v>
      </c>
      <c r="F33" s="52" t="str">
        <f>SmtRes!AU14</f>
        <v/>
      </c>
      <c r="G33" s="65">
        <f>SmtRes!Y14*Source!I26</f>
        <v>5.7599999999999995E-3</v>
      </c>
    </row>
    <row r="34" spans="1:7" ht="28.5">
      <c r="A34" s="50">
        <v>2.4</v>
      </c>
      <c r="B34" s="64" t="str">
        <f>SmtRes!I15</f>
        <v>21.7-13-35</v>
      </c>
      <c r="C34" s="64" t="str">
        <f>SmtRes!K15</f>
        <v>Стойки из оцинкованной стали, диаметр 76 мм, длина 3 м</v>
      </c>
      <c r="D34" s="51" t="str">
        <f>SmtRes!O15</f>
        <v>шт.</v>
      </c>
      <c r="E34" s="65">
        <f>SmtRes!AT15</f>
        <v>100</v>
      </c>
      <c r="F34" s="52" t="str">
        <f>SmtRes!AU15</f>
        <v/>
      </c>
      <c r="G34" s="65">
        <f>SmtRes!Y15*Source!I26</f>
        <v>12</v>
      </c>
    </row>
    <row r="35" spans="1:7" ht="28.5">
      <c r="A35" s="50">
        <v>2.5</v>
      </c>
      <c r="B35" s="64" t="str">
        <f>SmtRes!I16</f>
        <v>по счету поставщика</v>
      </c>
      <c r="C35" s="64" t="str">
        <f>SmtRes!K16</f>
        <v>Знак 8.2.1 Зона действия</v>
      </c>
      <c r="D35" s="51" t="str">
        <f>SmtRes!O16</f>
        <v>ШТ</v>
      </c>
      <c r="E35" s="65">
        <f>SmtRes!AT16</f>
        <v>58.333333000000003</v>
      </c>
      <c r="F35" s="52" t="str">
        <f>SmtRes!AU16</f>
        <v/>
      </c>
      <c r="G35" s="65">
        <f>SmtRes!Y16*Source!I26</f>
        <v>6.9999999600000002</v>
      </c>
    </row>
    <row r="36" spans="1:7" ht="28.5">
      <c r="A36" s="50">
        <v>2.6</v>
      </c>
      <c r="B36" s="64" t="str">
        <f>SmtRes!I17</f>
        <v>по счету поставщика</v>
      </c>
      <c r="C36" s="64" t="str">
        <f>SmtRes!K17</f>
        <v>Знак 3.27 Остановка запрещена</v>
      </c>
      <c r="D36" s="51" t="str">
        <f>SmtRes!O17</f>
        <v>ШТ</v>
      </c>
      <c r="E36" s="65">
        <f>SmtRes!AT17</f>
        <v>66.666667000000004</v>
      </c>
      <c r="F36" s="52" t="str">
        <f>SmtRes!AU17</f>
        <v/>
      </c>
      <c r="G36" s="65">
        <f>SmtRes!Y17*Source!I26</f>
        <v>8.0000000399999998</v>
      </c>
    </row>
    <row r="37" spans="1:7" ht="28.5">
      <c r="A37" s="50">
        <v>2.7</v>
      </c>
      <c r="B37" s="64" t="str">
        <f>SmtRes!I18</f>
        <v>по счету поставщика</v>
      </c>
      <c r="C37" s="64" t="str">
        <f>SmtRes!K18</f>
        <v>Знак 8.30 Площадка пожарной-специальной технике</v>
      </c>
      <c r="D37" s="51" t="str">
        <f>SmtRes!O18</f>
        <v>ШТ</v>
      </c>
      <c r="E37" s="65">
        <f>SmtRes!AT18</f>
        <v>58.333333000000003</v>
      </c>
      <c r="F37" s="52" t="str">
        <f>SmtRes!AU18</f>
        <v/>
      </c>
      <c r="G37" s="65">
        <f>SmtRes!Y18*Source!I26</f>
        <v>6.9999999600000002</v>
      </c>
    </row>
    <row r="38" spans="1:7" ht="28.5">
      <c r="A38" s="50">
        <v>2.8</v>
      </c>
      <c r="B38" s="64" t="str">
        <f>SmtRes!I19</f>
        <v>по счету поставщика</v>
      </c>
      <c r="C38" s="64" t="str">
        <f>SmtRes!K19</f>
        <v>Знак Парковка для инвалидов</v>
      </c>
      <c r="D38" s="51" t="str">
        <f>SmtRes!O19</f>
        <v>ШТ</v>
      </c>
      <c r="E38" s="65">
        <f>SmtRes!AT19</f>
        <v>16.666667</v>
      </c>
      <c r="F38" s="52" t="str">
        <f>SmtRes!AU19</f>
        <v/>
      </c>
      <c r="G38" s="65">
        <f>SmtRes!Y19*Source!I26</f>
        <v>2.0000000399999998</v>
      </c>
    </row>
    <row r="39" spans="1:7" ht="57">
      <c r="A39" s="50" t="str">
        <f>Source!E31</f>
        <v>3</v>
      </c>
      <c r="B39" s="63" t="str">
        <f>Source!F31</f>
        <v>2.1-3203-12-4/1</v>
      </c>
      <c r="C39" s="64" t="str">
        <f>Source!G31</f>
        <v>Нанесение линии обозначения мест парковки машин термопластиком без стеклошариков (парковочные места для инвалидов)</v>
      </c>
      <c r="D39" s="66" t="str">
        <f>Source!H31</f>
        <v>м2</v>
      </c>
      <c r="E39" s="65"/>
      <c r="F39" s="52"/>
      <c r="G39" s="67">
        <f>Source!I31</f>
        <v>60</v>
      </c>
    </row>
    <row r="40" spans="1:7" ht="14.25">
      <c r="A40" s="50">
        <v>3.1</v>
      </c>
      <c r="B40" s="64" t="str">
        <f>SmtRes!I20</f>
        <v>9999990008</v>
      </c>
      <c r="C40" s="64" t="str">
        <f>SmtRes!K20</f>
        <v>Трудозатраты рабочих</v>
      </c>
      <c r="D40" s="51" t="str">
        <f>SmtRes!O20</f>
        <v>чел.-ч.</v>
      </c>
      <c r="E40" s="65">
        <f>SmtRes!AT20</f>
        <v>1.06</v>
      </c>
      <c r="F40" s="52" t="str">
        <f>SmtRes!AU20</f>
        <v/>
      </c>
      <c r="G40" s="65">
        <f>SmtRes!Y20*Source!I31</f>
        <v>63.6</v>
      </c>
    </row>
    <row r="41" spans="1:7" ht="14.25">
      <c r="A41" s="50">
        <v>3.2</v>
      </c>
      <c r="B41" s="64" t="str">
        <f>SmtRes!I21</f>
        <v>22.1-5-60</v>
      </c>
      <c r="C41" s="64" t="str">
        <f>SmtRes!K21</f>
        <v>Маточные котлы, тип "Hofmann HK-1000"</v>
      </c>
      <c r="D41" s="51" t="str">
        <f>SmtRes!O21</f>
        <v>маш.-ч</v>
      </c>
      <c r="E41" s="65">
        <f>SmtRes!AT21</f>
        <v>0.28000000000000003</v>
      </c>
      <c r="F41" s="52" t="str">
        <f>SmtRes!AU21</f>
        <v/>
      </c>
      <c r="G41" s="65">
        <f>SmtRes!Y21*Source!I31</f>
        <v>16.8</v>
      </c>
    </row>
    <row r="42" spans="1:7" ht="28.5">
      <c r="A42" s="50">
        <v>3.3</v>
      </c>
      <c r="B42" s="64" t="str">
        <f>SmtRes!I22</f>
        <v>22.1-5-74</v>
      </c>
      <c r="C42" s="64" t="str">
        <f>SmtRes!K22</f>
        <v>Машины разметочные, тип BMT-350С, для нанесения термопластика</v>
      </c>
      <c r="D42" s="51" t="str">
        <f>SmtRes!O22</f>
        <v>маш.-ч</v>
      </c>
      <c r="E42" s="65">
        <f>SmtRes!AT22</f>
        <v>0.2</v>
      </c>
      <c r="F42" s="52" t="str">
        <f>SmtRes!AU22</f>
        <v/>
      </c>
      <c r="G42" s="65">
        <f>SmtRes!Y22*Source!I31</f>
        <v>12</v>
      </c>
    </row>
    <row r="43" spans="1:7" ht="28.5">
      <c r="A43" s="50">
        <v>3.4</v>
      </c>
      <c r="B43" s="64" t="str">
        <f>SmtRes!I23</f>
        <v>21.1-25-815</v>
      </c>
      <c r="C43" s="64" t="str">
        <f>SmtRes!K23</f>
        <v>Термопластик для разметки автомобильных дорог, марка "ТПКН", без стеклошариков</v>
      </c>
      <c r="D43" s="51" t="str">
        <f>SmtRes!O23</f>
        <v>кг</v>
      </c>
      <c r="E43" s="65">
        <f>SmtRes!AT23</f>
        <v>6.3</v>
      </c>
      <c r="F43" s="52" t="str">
        <f>SmtRes!AU23</f>
        <v/>
      </c>
      <c r="G43" s="65">
        <f>SmtRes!Y23*Source!I31</f>
        <v>378</v>
      </c>
    </row>
    <row r="46" spans="1:7" ht="14.25">
      <c r="A46" s="120" t="s">
        <v>215</v>
      </c>
      <c r="B46" s="120"/>
      <c r="C46" s="36" t="str">
        <f>IF(Source!AC12&lt;&gt;"", Source!AC12," ")</f>
        <v>Инженер ИТО</v>
      </c>
      <c r="D46" s="36"/>
      <c r="E46" s="36"/>
      <c r="F46" s="36" t="str">
        <f>IF(Source!AB12&lt;&gt;"", Source!AB12," ")</f>
        <v>Прибыткова М.В.</v>
      </c>
      <c r="G46" s="11"/>
    </row>
    <row r="47" spans="1:7" ht="14.25">
      <c r="A47" s="11"/>
      <c r="B47" s="11"/>
      <c r="C47" s="86" t="s">
        <v>321</v>
      </c>
      <c r="D47" s="86"/>
      <c r="E47" s="86"/>
      <c r="F47" s="86"/>
      <c r="G47" s="11"/>
    </row>
    <row r="48" spans="1:7" ht="14.25">
      <c r="A48" s="11"/>
      <c r="B48" s="11"/>
      <c r="C48" s="11"/>
      <c r="D48" s="11"/>
      <c r="E48" s="11"/>
      <c r="F48" s="11"/>
      <c r="G48" s="11"/>
    </row>
    <row r="49" spans="1:7" ht="14.25">
      <c r="A49" s="120" t="s">
        <v>217</v>
      </c>
      <c r="B49" s="120"/>
      <c r="C49" s="36" t="str">
        <f>IF(Source!AE12&lt;&gt;"", Source!AE12," ")</f>
        <v>Зам.гл.вр.по ХВ</v>
      </c>
      <c r="D49" s="36"/>
      <c r="E49" s="36"/>
      <c r="F49" s="36" t="str">
        <f>IF(Source!AD12&lt;&gt;"", Source!AD12," ")</f>
        <v>Жуков И.Н.</v>
      </c>
      <c r="G49" s="11"/>
    </row>
    <row r="50" spans="1:7" ht="14.25">
      <c r="A50" s="11"/>
      <c r="B50" s="11"/>
      <c r="C50" s="86" t="s">
        <v>321</v>
      </c>
      <c r="D50" s="86"/>
      <c r="E50" s="86"/>
      <c r="F50" s="86"/>
      <c r="G50" s="11"/>
    </row>
  </sheetData>
  <mergeCells count="10">
    <mergeCell ref="A46:B46"/>
    <mergeCell ref="C47:F47"/>
    <mergeCell ref="A49:B49"/>
    <mergeCell ref="C50:F50"/>
    <mergeCell ref="A3:G3"/>
    <mergeCell ref="A4:G4"/>
    <mergeCell ref="A6:G6"/>
    <mergeCell ref="A8:G8"/>
    <mergeCell ref="A9:G9"/>
    <mergeCell ref="A11:B11"/>
  </mergeCells>
  <pageMargins left="0.4" right="0.2" top="0.4" bottom="0.4" header="0.2" footer="0.2"/>
  <pageSetup paperSize="9" scale="80" fitToHeight="0" orientation="portrait" verticalDpi="0" r:id="rId1"/>
  <headerFooter>
    <oddHeader>&amp;L&amp;8ГБУЗ "ТБ им.А.Е.Рабухина ДЗМ"  Доп. раб. место  MCCS-0027243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K103"/>
  <sheetViews>
    <sheetView workbookViewId="0">
      <selection activeCell="A99" sqref="A99:O99"/>
    </sheetView>
  </sheetViews>
  <sheetFormatPr defaultColWidth="9.140625" defaultRowHeight="12.75"/>
  <cols>
    <col min="1" max="256" width="9.140625" customWidth="1"/>
  </cols>
  <sheetData>
    <row r="1" spans="1:133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27243</v>
      </c>
      <c r="M1">
        <v>10</v>
      </c>
      <c r="N1">
        <v>11</v>
      </c>
      <c r="O1">
        <v>0</v>
      </c>
      <c r="P1">
        <v>0</v>
      </c>
      <c r="Q1">
        <v>3</v>
      </c>
    </row>
    <row r="12" spans="1:133">
      <c r="A12" s="1">
        <v>1</v>
      </c>
      <c r="B12" s="1">
        <v>99</v>
      </c>
      <c r="C12" s="1">
        <v>0</v>
      </c>
      <c r="D12" s="1">
        <f>ROW(A63)</f>
        <v>63</v>
      </c>
      <c r="E12" s="1">
        <v>0</v>
      </c>
      <c r="F12" s="1" t="s">
        <v>4</v>
      </c>
      <c r="G12" s="1" t="s">
        <v>5</v>
      </c>
      <c r="H12" s="1" t="s">
        <v>4</v>
      </c>
      <c r="I12" s="1">
        <v>0</v>
      </c>
      <c r="J12" s="1" t="s">
        <v>4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4</v>
      </c>
      <c r="V12" s="1">
        <v>0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6</v>
      </c>
      <c r="AC12" s="1" t="s">
        <v>7</v>
      </c>
      <c r="AD12" s="1" t="s">
        <v>8</v>
      </c>
      <c r="AE12" s="1" t="s">
        <v>9</v>
      </c>
      <c r="AF12" s="1" t="s">
        <v>10</v>
      </c>
      <c r="AG12" s="1" t="s">
        <v>11</v>
      </c>
      <c r="AH12" s="1" t="s">
        <v>10</v>
      </c>
      <c r="AI12" s="1" t="s">
        <v>11</v>
      </c>
      <c r="AJ12" s="1" t="s">
        <v>12</v>
      </c>
      <c r="AK12" s="1"/>
      <c r="AL12" s="1" t="s">
        <v>4</v>
      </c>
      <c r="AM12" s="1" t="s">
        <v>4</v>
      </c>
      <c r="AN12" s="1" t="s">
        <v>4</v>
      </c>
      <c r="AO12" s="1"/>
      <c r="AP12" s="1" t="s">
        <v>4</v>
      </c>
      <c r="AQ12" s="1" t="s">
        <v>4</v>
      </c>
      <c r="AR12" s="1" t="s">
        <v>4</v>
      </c>
      <c r="AS12" s="1"/>
      <c r="AT12" s="1"/>
      <c r="AU12" s="1"/>
      <c r="AV12" s="1"/>
      <c r="AW12" s="1"/>
      <c r="AX12" s="1" t="s">
        <v>12</v>
      </c>
      <c r="AY12" s="1" t="s">
        <v>4</v>
      </c>
      <c r="AZ12" s="1" t="s">
        <v>4</v>
      </c>
      <c r="BA12" s="1"/>
      <c r="BB12" s="1"/>
      <c r="BC12" s="1"/>
      <c r="BD12" s="1"/>
      <c r="BE12" s="1"/>
      <c r="BF12" s="1"/>
      <c r="BG12" s="1"/>
      <c r="BH12" s="1" t="s">
        <v>13</v>
      </c>
      <c r="BI12" s="1" t="s">
        <v>14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15</v>
      </c>
      <c r="BZ12" s="1" t="s">
        <v>16</v>
      </c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18</v>
      </c>
      <c r="CF12" s="1">
        <v>0</v>
      </c>
      <c r="CG12" s="1">
        <v>0</v>
      </c>
      <c r="CH12" s="1">
        <v>8</v>
      </c>
      <c r="CI12" s="1" t="s">
        <v>4</v>
      </c>
      <c r="CJ12" s="1" t="s">
        <v>4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>
      <c r="A18" s="2">
        <v>52</v>
      </c>
      <c r="B18" s="2">
        <f t="shared" ref="B18:G18" si="0">B63</f>
        <v>99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Устройство разметки на стоянках ГБУЗ "ТБ им. А.Е. Рабухина ДЗМ" в 2021г.</v>
      </c>
      <c r="H18" s="2"/>
      <c r="I18" s="2"/>
      <c r="J18" s="2"/>
      <c r="K18" s="2"/>
      <c r="L18" s="2"/>
      <c r="M18" s="2"/>
      <c r="N18" s="2"/>
      <c r="O18" s="2">
        <f t="shared" ref="O18:AT18" si="1">O63</f>
        <v>381880.71</v>
      </c>
      <c r="P18" s="2">
        <f t="shared" si="1"/>
        <v>279606.42</v>
      </c>
      <c r="Q18" s="2">
        <f t="shared" si="1"/>
        <v>53641.54</v>
      </c>
      <c r="R18" s="2">
        <f t="shared" si="1"/>
        <v>25667.040000000001</v>
      </c>
      <c r="S18" s="2">
        <f t="shared" si="1"/>
        <v>48632.75</v>
      </c>
      <c r="T18" s="2">
        <f t="shared" si="1"/>
        <v>0</v>
      </c>
      <c r="U18" s="2">
        <f t="shared" si="1"/>
        <v>234.06480000000002</v>
      </c>
      <c r="V18" s="2">
        <f t="shared" si="1"/>
        <v>0</v>
      </c>
      <c r="W18" s="2">
        <f t="shared" si="1"/>
        <v>0</v>
      </c>
      <c r="X18" s="2">
        <f t="shared" si="1"/>
        <v>38075.230000000003</v>
      </c>
      <c r="Y18" s="2">
        <f t="shared" si="1"/>
        <v>4863.28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452539.63</v>
      </c>
      <c r="AS18" s="2">
        <f t="shared" si="1"/>
        <v>18461.419999999998</v>
      </c>
      <c r="AT18" s="2">
        <f t="shared" si="1"/>
        <v>0</v>
      </c>
      <c r="AU18" s="2">
        <f t="shared" ref="AU18:BZ18" si="2">AU63</f>
        <v>434078.21</v>
      </c>
      <c r="AV18" s="2">
        <f t="shared" si="2"/>
        <v>279606.42</v>
      </c>
      <c r="AW18" s="2">
        <f t="shared" si="2"/>
        <v>279606.42</v>
      </c>
      <c r="AX18" s="2">
        <f t="shared" si="2"/>
        <v>0</v>
      </c>
      <c r="AY18" s="2">
        <f t="shared" si="2"/>
        <v>279606.42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CA63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DG63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EM63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FS63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>
      <c r="A20" s="1">
        <v>3</v>
      </c>
      <c r="B20" s="1">
        <v>1</v>
      </c>
      <c r="C20" s="1"/>
      <c r="D20" s="1">
        <f>ROW(A33)</f>
        <v>33</v>
      </c>
      <c r="E20" s="1"/>
      <c r="F20" s="1" t="s">
        <v>19</v>
      </c>
      <c r="G20" s="1" t="s">
        <v>19</v>
      </c>
      <c r="H20" s="1" t="s">
        <v>4</v>
      </c>
      <c r="I20" s="1">
        <v>0</v>
      </c>
      <c r="J20" s="1" t="s">
        <v>4</v>
      </c>
      <c r="K20" s="1">
        <v>0</v>
      </c>
      <c r="L20" s="1" t="s">
        <v>4</v>
      </c>
      <c r="M20" s="1"/>
      <c r="N20" s="1"/>
      <c r="O20" s="1"/>
      <c r="P20" s="1"/>
      <c r="Q20" s="1"/>
      <c r="R20" s="1"/>
      <c r="S20" s="1"/>
      <c r="T20" s="1"/>
      <c r="U20" s="1" t="s">
        <v>4</v>
      </c>
      <c r="V20" s="1">
        <v>0</v>
      </c>
      <c r="W20" s="1"/>
      <c r="X20" s="1"/>
      <c r="Y20" s="1"/>
      <c r="Z20" s="1"/>
      <c r="AA20" s="1"/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/>
      <c r="AI20" s="1"/>
      <c r="AJ20" s="1"/>
      <c r="AK20" s="1"/>
      <c r="AL20" s="1"/>
      <c r="AM20" s="1"/>
      <c r="AN20" s="1"/>
      <c r="AO20" s="1"/>
      <c r="AP20" s="1" t="s">
        <v>4</v>
      </c>
      <c r="AQ20" s="1" t="s">
        <v>4</v>
      </c>
      <c r="AR20" s="1" t="s">
        <v>4</v>
      </c>
      <c r="AS20" s="1"/>
      <c r="AT20" s="1"/>
      <c r="AU20" s="1"/>
      <c r="AV20" s="1"/>
      <c r="AW20" s="1"/>
      <c r="AX20" s="1"/>
      <c r="AY20" s="1"/>
      <c r="AZ20" s="1" t="s">
        <v>4</v>
      </c>
      <c r="BA20" s="1"/>
      <c r="BB20" s="1" t="s">
        <v>4</v>
      </c>
      <c r="BC20" s="1" t="s">
        <v>4</v>
      </c>
      <c r="BD20" s="1" t="s">
        <v>4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4</v>
      </c>
      <c r="BK20" s="1" t="s">
        <v>4</v>
      </c>
      <c r="BL20" s="1" t="s">
        <v>4</v>
      </c>
      <c r="BM20" s="1" t="s">
        <v>4</v>
      </c>
      <c r="BN20" s="1" t="s">
        <v>4</v>
      </c>
      <c r="BO20" s="1" t="s">
        <v>4</v>
      </c>
      <c r="BP20" s="1" t="s">
        <v>4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4</v>
      </c>
      <c r="CJ20" s="1" t="s">
        <v>4</v>
      </c>
      <c r="CK20" t="s">
        <v>4</v>
      </c>
      <c r="CL20" t="s">
        <v>4</v>
      </c>
      <c r="CM20" t="s">
        <v>4</v>
      </c>
      <c r="CN20" t="s">
        <v>4</v>
      </c>
      <c r="CO20" t="s">
        <v>4</v>
      </c>
      <c r="CP20" t="s">
        <v>4</v>
      </c>
    </row>
    <row r="22" spans="1:245">
      <c r="A22" s="2">
        <v>52</v>
      </c>
      <c r="B22" s="2">
        <f t="shared" ref="B22:G22" si="7">B33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O33</f>
        <v>381880.71</v>
      </c>
      <c r="P22" s="2">
        <f t="shared" si="8"/>
        <v>279606.42</v>
      </c>
      <c r="Q22" s="2">
        <f t="shared" si="8"/>
        <v>53641.54</v>
      </c>
      <c r="R22" s="2">
        <f t="shared" si="8"/>
        <v>25667.040000000001</v>
      </c>
      <c r="S22" s="2">
        <f t="shared" si="8"/>
        <v>48632.75</v>
      </c>
      <c r="T22" s="2">
        <f t="shared" si="8"/>
        <v>0</v>
      </c>
      <c r="U22" s="2">
        <f t="shared" si="8"/>
        <v>234.06480000000002</v>
      </c>
      <c r="V22" s="2">
        <f t="shared" si="8"/>
        <v>0</v>
      </c>
      <c r="W22" s="2">
        <f t="shared" si="8"/>
        <v>0</v>
      </c>
      <c r="X22" s="2">
        <f t="shared" si="8"/>
        <v>38075.230000000003</v>
      </c>
      <c r="Y22" s="2">
        <f t="shared" si="8"/>
        <v>4863.28</v>
      </c>
      <c r="Z22" s="2">
        <f t="shared" si="8"/>
        <v>0</v>
      </c>
      <c r="AA22" s="2">
        <f t="shared" si="8"/>
        <v>0</v>
      </c>
      <c r="AB22" s="2">
        <f t="shared" si="8"/>
        <v>381880.71</v>
      </c>
      <c r="AC22" s="2">
        <f t="shared" si="8"/>
        <v>279606.42</v>
      </c>
      <c r="AD22" s="2">
        <f t="shared" si="8"/>
        <v>53641.54</v>
      </c>
      <c r="AE22" s="2">
        <f t="shared" si="8"/>
        <v>25667.040000000001</v>
      </c>
      <c r="AF22" s="2">
        <f t="shared" si="8"/>
        <v>48632.75</v>
      </c>
      <c r="AG22" s="2">
        <f t="shared" si="8"/>
        <v>0</v>
      </c>
      <c r="AH22" s="2">
        <f t="shared" si="8"/>
        <v>234.06480000000002</v>
      </c>
      <c r="AI22" s="2">
        <f t="shared" si="8"/>
        <v>0</v>
      </c>
      <c r="AJ22" s="2">
        <f t="shared" si="8"/>
        <v>0</v>
      </c>
      <c r="AK22" s="2">
        <f t="shared" si="8"/>
        <v>38075.230000000003</v>
      </c>
      <c r="AL22" s="2">
        <f t="shared" si="8"/>
        <v>4863.28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452539.63</v>
      </c>
      <c r="AS22" s="2">
        <f t="shared" si="8"/>
        <v>18461.419999999998</v>
      </c>
      <c r="AT22" s="2">
        <f t="shared" si="8"/>
        <v>0</v>
      </c>
      <c r="AU22" s="2">
        <f t="shared" ref="AU22:BZ22" si="9">AU33</f>
        <v>434078.21</v>
      </c>
      <c r="AV22" s="2">
        <f t="shared" si="9"/>
        <v>279606.42</v>
      </c>
      <c r="AW22" s="2">
        <f t="shared" si="9"/>
        <v>279606.42</v>
      </c>
      <c r="AX22" s="2">
        <f t="shared" si="9"/>
        <v>0</v>
      </c>
      <c r="AY22" s="2">
        <f t="shared" si="9"/>
        <v>279606.42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CA33</f>
        <v>452539.63</v>
      </c>
      <c r="CB22" s="2">
        <f t="shared" si="10"/>
        <v>18461.419999999998</v>
      </c>
      <c r="CC22" s="2">
        <f t="shared" si="10"/>
        <v>0</v>
      </c>
      <c r="CD22" s="2">
        <f t="shared" si="10"/>
        <v>434078.21</v>
      </c>
      <c r="CE22" s="2">
        <f t="shared" si="10"/>
        <v>279606.42</v>
      </c>
      <c r="CF22" s="2">
        <f t="shared" si="10"/>
        <v>279606.42</v>
      </c>
      <c r="CG22" s="2">
        <f t="shared" si="10"/>
        <v>0</v>
      </c>
      <c r="CH22" s="2">
        <f t="shared" si="10"/>
        <v>279606.42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DG33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EM33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FS33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>
      <c r="A24">
        <v>17</v>
      </c>
      <c r="B24">
        <v>1</v>
      </c>
      <c r="C24">
        <f>ROW(SmtRes!A11)</f>
        <v>11</v>
      </c>
      <c r="D24">
        <f>ROW(EtalonRes!A10)</f>
        <v>10</v>
      </c>
      <c r="E24" t="s">
        <v>20</v>
      </c>
      <c r="F24" t="s">
        <v>21</v>
      </c>
      <c r="G24" t="s">
        <v>22</v>
      </c>
      <c r="H24" t="s">
        <v>23</v>
      </c>
      <c r="I24">
        <v>147</v>
      </c>
      <c r="J24">
        <v>0</v>
      </c>
      <c r="O24">
        <f t="shared" ref="O24:O31" si="14">ROUND(CP24,2)</f>
        <v>223456.17</v>
      </c>
      <c r="P24">
        <f t="shared" ref="P24:P31" si="15">ROUND(CQ24*I24,2)</f>
        <v>194705.91</v>
      </c>
      <c r="Q24">
        <f t="shared" ref="Q24:Q31" si="16">ROUND(CR24*I24,2)</f>
        <v>1761.06</v>
      </c>
      <c r="R24">
        <f t="shared" ref="R24:R31" si="17">ROUND(CS24*I24,2)</f>
        <v>69.09</v>
      </c>
      <c r="S24">
        <f t="shared" ref="S24:S31" si="18">ROUND(CT24*I24,2)</f>
        <v>26989.200000000001</v>
      </c>
      <c r="T24">
        <f t="shared" ref="T24:T31" si="19">ROUND(CU24*I24,2)</f>
        <v>0</v>
      </c>
      <c r="U24">
        <f t="shared" ref="U24:U31" si="20">CV24*I24</f>
        <v>129.36000000000001</v>
      </c>
      <c r="V24">
        <f t="shared" ref="V24:V31" si="21">CW24*I24</f>
        <v>0</v>
      </c>
      <c r="W24">
        <f t="shared" ref="W24:W31" si="22">ROUND(CX24*I24,2)</f>
        <v>0</v>
      </c>
      <c r="X24">
        <f t="shared" ref="X24:Y31" si="23">ROUND(CY24,2)</f>
        <v>21591.360000000001</v>
      </c>
      <c r="Y24">
        <f t="shared" si="23"/>
        <v>2698.92</v>
      </c>
      <c r="AA24">
        <v>25859284</v>
      </c>
      <c r="AB24">
        <f t="shared" ref="AB24:AB31" si="24">ROUND((AC24+AD24+AF24),6)</f>
        <v>1520.11</v>
      </c>
      <c r="AC24">
        <f t="shared" ref="AC24:AC31" si="25">ROUND((ES24),6)</f>
        <v>1324.53</v>
      </c>
      <c r="AD24">
        <f t="shared" ref="AD24:AD31" si="26">ROUND((((ET24)-(EU24))+AE24),6)</f>
        <v>11.98</v>
      </c>
      <c r="AE24">
        <f t="shared" ref="AE24:AF31" si="27">ROUND((EU24),6)</f>
        <v>0.47</v>
      </c>
      <c r="AF24">
        <f t="shared" si="27"/>
        <v>183.6</v>
      </c>
      <c r="AG24">
        <f t="shared" ref="AG24:AG31" si="28">ROUND((AP24),6)</f>
        <v>0</v>
      </c>
      <c r="AH24">
        <f t="shared" ref="AH24:AI31" si="29">(EW24)</f>
        <v>0.88</v>
      </c>
      <c r="AI24">
        <f t="shared" si="29"/>
        <v>0</v>
      </c>
      <c r="AJ24">
        <f t="shared" ref="AJ24:AJ31" si="30">(AS24)</f>
        <v>0</v>
      </c>
      <c r="AK24">
        <v>1520.11</v>
      </c>
      <c r="AL24">
        <v>1324.53</v>
      </c>
      <c r="AM24">
        <v>11.98</v>
      </c>
      <c r="AN24">
        <v>0.47</v>
      </c>
      <c r="AO24">
        <v>183.6</v>
      </c>
      <c r="AP24">
        <v>0</v>
      </c>
      <c r="AQ24">
        <v>0.88</v>
      </c>
      <c r="AR24">
        <v>0</v>
      </c>
      <c r="AS24">
        <v>0</v>
      </c>
      <c r="AT24">
        <v>80</v>
      </c>
      <c r="AU24">
        <v>10</v>
      </c>
      <c r="AV24">
        <v>1</v>
      </c>
      <c r="AW24">
        <v>1</v>
      </c>
      <c r="AZ24">
        <v>1</v>
      </c>
      <c r="BA24">
        <v>1</v>
      </c>
      <c r="BB24">
        <v>1</v>
      </c>
      <c r="BC24">
        <v>1</v>
      </c>
      <c r="BD24" t="s">
        <v>4</v>
      </c>
      <c r="BE24" t="s">
        <v>4</v>
      </c>
      <c r="BF24" t="s">
        <v>4</v>
      </c>
      <c r="BG24" t="s">
        <v>4</v>
      </c>
      <c r="BH24">
        <v>0</v>
      </c>
      <c r="BI24">
        <v>4</v>
      </c>
      <c r="BJ24" t="s">
        <v>24</v>
      </c>
      <c r="BM24">
        <v>2</v>
      </c>
      <c r="BN24">
        <v>0</v>
      </c>
      <c r="BO24" t="s">
        <v>4</v>
      </c>
      <c r="BP24">
        <v>0</v>
      </c>
      <c r="BQ24">
        <v>1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 t="s">
        <v>4</v>
      </c>
      <c r="BZ24">
        <v>80</v>
      </c>
      <c r="CA24">
        <v>10</v>
      </c>
      <c r="CE24">
        <v>0</v>
      </c>
      <c r="CF24">
        <v>0</v>
      </c>
      <c r="CG24">
        <v>0</v>
      </c>
      <c r="CM24">
        <v>0</v>
      </c>
      <c r="CN24" t="s">
        <v>4</v>
      </c>
      <c r="CO24">
        <v>0</v>
      </c>
      <c r="CP24">
        <f t="shared" ref="CP24:CP31" si="31">(P24+Q24+S24)</f>
        <v>223456.17</v>
      </c>
      <c r="CQ24">
        <f t="shared" ref="CQ24:CQ31" si="32">(AC24*BC24*AW24)</f>
        <v>1324.53</v>
      </c>
      <c r="CR24">
        <f t="shared" ref="CR24:CR31" si="33">((((ET24)*BB24-(EU24)*BS24)+AE24*BS24)*AV24)</f>
        <v>11.98</v>
      </c>
      <c r="CS24">
        <f t="shared" ref="CS24:CS31" si="34">(AE24*BS24*AV24)</f>
        <v>0.47</v>
      </c>
      <c r="CT24">
        <f t="shared" ref="CT24:CT31" si="35">(AF24*BA24*AV24)</f>
        <v>183.6</v>
      </c>
      <c r="CU24">
        <f t="shared" ref="CU24:CU31" si="36">AG24</f>
        <v>0</v>
      </c>
      <c r="CV24">
        <f t="shared" ref="CV24:CV31" si="37">(AH24*AV24)</f>
        <v>0.88</v>
      </c>
      <c r="CW24">
        <f t="shared" ref="CW24:CX31" si="38">AI24</f>
        <v>0</v>
      </c>
      <c r="CX24">
        <f t="shared" si="38"/>
        <v>0</v>
      </c>
      <c r="CY24">
        <f t="shared" ref="CY24:CY31" si="39">((S24*BZ24)/100)</f>
        <v>21591.360000000001</v>
      </c>
      <c r="CZ24">
        <f t="shared" ref="CZ24:CZ31" si="40">((S24*CA24)/100)</f>
        <v>2698.92</v>
      </c>
      <c r="DC24" t="s">
        <v>4</v>
      </c>
      <c r="DD24" t="s">
        <v>4</v>
      </c>
      <c r="DE24" t="s">
        <v>4</v>
      </c>
      <c r="DF24" t="s">
        <v>4</v>
      </c>
      <c r="DG24" t="s">
        <v>4</v>
      </c>
      <c r="DH24" t="s">
        <v>4</v>
      </c>
      <c r="DI24" t="s">
        <v>4</v>
      </c>
      <c r="DJ24" t="s">
        <v>4</v>
      </c>
      <c r="DK24" t="s">
        <v>4</v>
      </c>
      <c r="DL24" t="s">
        <v>4</v>
      </c>
      <c r="DM24" t="s">
        <v>4</v>
      </c>
      <c r="DN24">
        <v>0</v>
      </c>
      <c r="DO24">
        <v>0</v>
      </c>
      <c r="DP24">
        <v>1</v>
      </c>
      <c r="DQ24">
        <v>1</v>
      </c>
      <c r="DU24">
        <v>1005</v>
      </c>
      <c r="DV24" t="s">
        <v>23</v>
      </c>
      <c r="DW24" t="s">
        <v>23</v>
      </c>
      <c r="DX24">
        <v>1</v>
      </c>
      <c r="EE24">
        <v>25787503</v>
      </c>
      <c r="EF24">
        <v>1</v>
      </c>
      <c r="EG24" t="s">
        <v>25</v>
      </c>
      <c r="EH24">
        <v>0</v>
      </c>
      <c r="EI24" t="s">
        <v>4</v>
      </c>
      <c r="EJ24">
        <v>4</v>
      </c>
      <c r="EK24">
        <v>2</v>
      </c>
      <c r="EL24" t="s">
        <v>26</v>
      </c>
      <c r="EM24" t="s">
        <v>27</v>
      </c>
      <c r="EO24" t="s">
        <v>4</v>
      </c>
      <c r="EQ24">
        <v>0</v>
      </c>
      <c r="ER24">
        <v>1520.11</v>
      </c>
      <c r="ES24">
        <v>1324.53</v>
      </c>
      <c r="ET24">
        <v>11.98</v>
      </c>
      <c r="EU24">
        <v>0.47</v>
      </c>
      <c r="EV24">
        <v>183.6</v>
      </c>
      <c r="EW24">
        <v>0.88</v>
      </c>
      <c r="EX24">
        <v>0</v>
      </c>
      <c r="EY24">
        <v>0</v>
      </c>
      <c r="FQ24">
        <v>0</v>
      </c>
      <c r="FR24">
        <f t="shared" ref="FR24:FR31" si="41">ROUND(IF(AND(BH24=3,BI24=3),P24,0),2)</f>
        <v>0</v>
      </c>
      <c r="FS24">
        <v>0</v>
      </c>
      <c r="FX24">
        <v>80</v>
      </c>
      <c r="FY24">
        <v>10</v>
      </c>
      <c r="GA24" t="s">
        <v>4</v>
      </c>
      <c r="GD24">
        <v>0</v>
      </c>
      <c r="GF24">
        <v>-1936922543</v>
      </c>
      <c r="GG24">
        <v>2</v>
      </c>
      <c r="GH24">
        <v>1</v>
      </c>
      <c r="GI24">
        <v>-2</v>
      </c>
      <c r="GJ24">
        <v>0</v>
      </c>
      <c r="GK24">
        <f>ROUND(R24*(R12)/100,2)</f>
        <v>74.62</v>
      </c>
      <c r="GL24">
        <f t="shared" ref="GL24:GL31" si="42">ROUND(IF(AND(BH24=3,BI24=3,FS24&lt;&gt;0),P24,0),2)</f>
        <v>0</v>
      </c>
      <c r="GM24">
        <f t="shared" ref="GM24:GM31" si="43">ROUND(O24+X24+Y24+GK24,2)+GX24</f>
        <v>247821.07</v>
      </c>
      <c r="GN24">
        <f t="shared" ref="GN24:GN31" si="44">IF(OR(BI24=0,BI24=1),ROUND(O24+X24+Y24+GK24,2),0)</f>
        <v>0</v>
      </c>
      <c r="GO24">
        <f t="shared" ref="GO24:GO31" si="45">IF(BI24=2,ROUND(O24+X24+Y24+GK24,2),0)</f>
        <v>0</v>
      </c>
      <c r="GP24">
        <f t="shared" ref="GP24:GP31" si="46">IF(BI24=4,ROUND(O24+X24+Y24+GK24,2)+GX24,0)</f>
        <v>247821.07</v>
      </c>
      <c r="GR24">
        <v>0</v>
      </c>
      <c r="GS24">
        <v>3</v>
      </c>
      <c r="GT24">
        <v>0</v>
      </c>
      <c r="GU24" t="s">
        <v>4</v>
      </c>
      <c r="GV24">
        <f t="shared" ref="GV24:GV31" si="47">ROUND((GT24),6)</f>
        <v>0</v>
      </c>
      <c r="GW24">
        <v>1</v>
      </c>
      <c r="GX24">
        <f t="shared" ref="GX24:GX31" si="48">ROUND(HC24*I24,2)</f>
        <v>0</v>
      </c>
      <c r="HA24">
        <v>0</v>
      </c>
      <c r="HB24">
        <v>0</v>
      </c>
      <c r="HC24">
        <f t="shared" ref="HC24:HC31" si="49">GV24*GW24</f>
        <v>0</v>
      </c>
      <c r="IK24">
        <v>0</v>
      </c>
    </row>
    <row r="25" spans="1:245">
      <c r="A25">
        <v>18</v>
      </c>
      <c r="B25">
        <v>1</v>
      </c>
      <c r="C25">
        <v>11</v>
      </c>
      <c r="E25" t="s">
        <v>28</v>
      </c>
      <c r="F25" t="s">
        <v>29</v>
      </c>
      <c r="G25" t="s">
        <v>30</v>
      </c>
      <c r="H25" t="s">
        <v>31</v>
      </c>
      <c r="I25">
        <f>I24*J25</f>
        <v>201.39</v>
      </c>
      <c r="J25">
        <v>1.3699999999999999</v>
      </c>
      <c r="O25">
        <f t="shared" si="14"/>
        <v>18461.419999999998</v>
      </c>
      <c r="P25">
        <f t="shared" si="15"/>
        <v>18461.419999999998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3"/>
        <v>0</v>
      </c>
      <c r="AA25">
        <v>25859284</v>
      </c>
      <c r="AB25">
        <f t="shared" si="24"/>
        <v>91.67</v>
      </c>
      <c r="AC25">
        <f t="shared" si="25"/>
        <v>91.67</v>
      </c>
      <c r="AD25">
        <f t="shared" si="26"/>
        <v>0</v>
      </c>
      <c r="AE25">
        <f t="shared" si="27"/>
        <v>0</v>
      </c>
      <c r="AF25">
        <f t="shared" si="27"/>
        <v>0</v>
      </c>
      <c r="AG25">
        <f t="shared" si="28"/>
        <v>0</v>
      </c>
      <c r="AH25">
        <f t="shared" si="29"/>
        <v>0</v>
      </c>
      <c r="AI25">
        <f t="shared" si="29"/>
        <v>0</v>
      </c>
      <c r="AJ25">
        <f t="shared" si="30"/>
        <v>0</v>
      </c>
      <c r="AK25">
        <v>91.67</v>
      </c>
      <c r="AL25">
        <v>91.67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Z25">
        <v>1</v>
      </c>
      <c r="BA25">
        <v>1</v>
      </c>
      <c r="BB25">
        <v>1</v>
      </c>
      <c r="BC25">
        <v>1</v>
      </c>
      <c r="BD25" t="s">
        <v>4</v>
      </c>
      <c r="BE25" t="s">
        <v>4</v>
      </c>
      <c r="BF25" t="s">
        <v>4</v>
      </c>
      <c r="BG25" t="s">
        <v>4</v>
      </c>
      <c r="BH25">
        <v>3</v>
      </c>
      <c r="BI25">
        <v>1</v>
      </c>
      <c r="BJ25" t="s">
        <v>4</v>
      </c>
      <c r="BM25">
        <v>6001</v>
      </c>
      <c r="BN25">
        <v>0</v>
      </c>
      <c r="BO25" t="s">
        <v>4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 t="s">
        <v>4</v>
      </c>
      <c r="BZ25">
        <v>0</v>
      </c>
      <c r="CA25">
        <v>0</v>
      </c>
      <c r="CE25">
        <v>0</v>
      </c>
      <c r="CF25">
        <v>0</v>
      </c>
      <c r="CG25">
        <v>0</v>
      </c>
      <c r="CM25">
        <v>0</v>
      </c>
      <c r="CN25" t="s">
        <v>4</v>
      </c>
      <c r="CO25">
        <v>0</v>
      </c>
      <c r="CP25">
        <f t="shared" si="31"/>
        <v>18461.419999999998</v>
      </c>
      <c r="CQ25">
        <f t="shared" si="32"/>
        <v>91.67</v>
      </c>
      <c r="CR25">
        <f t="shared" si="33"/>
        <v>0</v>
      </c>
      <c r="CS25">
        <f t="shared" si="34"/>
        <v>0</v>
      </c>
      <c r="CT25">
        <f t="shared" si="35"/>
        <v>0</v>
      </c>
      <c r="CU25">
        <f t="shared" si="36"/>
        <v>0</v>
      </c>
      <c r="CV25">
        <f t="shared" si="37"/>
        <v>0</v>
      </c>
      <c r="CW25">
        <f t="shared" si="38"/>
        <v>0</v>
      </c>
      <c r="CX25">
        <f t="shared" si="38"/>
        <v>0</v>
      </c>
      <c r="CY25">
        <f t="shared" si="39"/>
        <v>0</v>
      </c>
      <c r="CZ25">
        <f t="shared" si="40"/>
        <v>0</v>
      </c>
      <c r="DC25" t="s">
        <v>4</v>
      </c>
      <c r="DD25" t="s">
        <v>4</v>
      </c>
      <c r="DE25" t="s">
        <v>4</v>
      </c>
      <c r="DF25" t="s">
        <v>4</v>
      </c>
      <c r="DG25" t="s">
        <v>4</v>
      </c>
      <c r="DH25" t="s">
        <v>4</v>
      </c>
      <c r="DI25" t="s">
        <v>4</v>
      </c>
      <c r="DJ25" t="s">
        <v>4</v>
      </c>
      <c r="DK25" t="s">
        <v>4</v>
      </c>
      <c r="DL25" t="s">
        <v>4</v>
      </c>
      <c r="DM25" t="s">
        <v>4</v>
      </c>
      <c r="DN25">
        <v>0</v>
      </c>
      <c r="DO25">
        <v>0</v>
      </c>
      <c r="DP25">
        <v>1</v>
      </c>
      <c r="DQ25">
        <v>1</v>
      </c>
      <c r="DU25">
        <v>1009</v>
      </c>
      <c r="DV25" t="s">
        <v>31</v>
      </c>
      <c r="DW25" t="s">
        <v>31</v>
      </c>
      <c r="DX25">
        <v>1</v>
      </c>
      <c r="EE25">
        <v>25822043</v>
      </c>
      <c r="EF25">
        <v>0</v>
      </c>
      <c r="EG25" t="s">
        <v>32</v>
      </c>
      <c r="EH25">
        <v>0</v>
      </c>
      <c r="EI25" t="s">
        <v>4</v>
      </c>
      <c r="EJ25">
        <v>1</v>
      </c>
      <c r="EK25">
        <v>6001</v>
      </c>
      <c r="EL25" t="s">
        <v>33</v>
      </c>
      <c r="EM25" t="s">
        <v>32</v>
      </c>
      <c r="EO25" t="s">
        <v>4</v>
      </c>
      <c r="EQ25">
        <v>0</v>
      </c>
      <c r="ER25">
        <v>91.67</v>
      </c>
      <c r="ES25">
        <v>91.67</v>
      </c>
      <c r="ET25">
        <v>0</v>
      </c>
      <c r="EU25">
        <v>0</v>
      </c>
      <c r="EV25">
        <v>0</v>
      </c>
      <c r="EW25">
        <v>0</v>
      </c>
      <c r="EX25">
        <v>0</v>
      </c>
      <c r="EZ25">
        <v>5</v>
      </c>
      <c r="FC25">
        <v>1</v>
      </c>
      <c r="FD25">
        <v>18</v>
      </c>
      <c r="FF25">
        <v>110</v>
      </c>
      <c r="FQ25">
        <v>0</v>
      </c>
      <c r="FR25">
        <f t="shared" si="41"/>
        <v>0</v>
      </c>
      <c r="FS25">
        <v>0</v>
      </c>
      <c r="FX25">
        <v>0</v>
      </c>
      <c r="FY25">
        <v>0</v>
      </c>
      <c r="GA25" t="s">
        <v>34</v>
      </c>
      <c r="GD25">
        <v>0</v>
      </c>
      <c r="GF25">
        <v>-2029778333</v>
      </c>
      <c r="GG25">
        <v>2</v>
      </c>
      <c r="GH25">
        <v>3</v>
      </c>
      <c r="GI25">
        <v>-2</v>
      </c>
      <c r="GJ25">
        <v>0</v>
      </c>
      <c r="GK25">
        <f>ROUND(R25*(R12)/100,2)</f>
        <v>0</v>
      </c>
      <c r="GL25">
        <f t="shared" si="42"/>
        <v>0</v>
      </c>
      <c r="GM25">
        <f t="shared" si="43"/>
        <v>18461.419999999998</v>
      </c>
      <c r="GN25">
        <f t="shared" si="44"/>
        <v>18461.419999999998</v>
      </c>
      <c r="GO25">
        <f t="shared" si="45"/>
        <v>0</v>
      </c>
      <c r="GP25">
        <f t="shared" si="46"/>
        <v>0</v>
      </c>
      <c r="GR25">
        <v>1</v>
      </c>
      <c r="GS25">
        <v>1</v>
      </c>
      <c r="GT25">
        <v>0</v>
      </c>
      <c r="GU25" t="s">
        <v>4</v>
      </c>
      <c r="GV25">
        <f t="shared" si="47"/>
        <v>0</v>
      </c>
      <c r="GW25">
        <v>1</v>
      </c>
      <c r="GX25">
        <f t="shared" si="48"/>
        <v>0</v>
      </c>
      <c r="HA25">
        <v>0</v>
      </c>
      <c r="HB25">
        <v>0</v>
      </c>
      <c r="HC25">
        <f t="shared" si="49"/>
        <v>0</v>
      </c>
      <c r="IK25">
        <v>0</v>
      </c>
    </row>
    <row r="26" spans="1:245">
      <c r="A26">
        <v>17</v>
      </c>
      <c r="B26">
        <v>1</v>
      </c>
      <c r="C26">
        <f>ROW(SmtRes!A19)</f>
        <v>19</v>
      </c>
      <c r="D26">
        <f>ROW(EtalonRes!A15)</f>
        <v>15</v>
      </c>
      <c r="E26" t="s">
        <v>35</v>
      </c>
      <c r="F26" t="s">
        <v>36</v>
      </c>
      <c r="G26" t="s">
        <v>37</v>
      </c>
      <c r="H26" t="s">
        <v>38</v>
      </c>
      <c r="I26">
        <f>ROUND(12/100,9)</f>
        <v>0.12</v>
      </c>
      <c r="J26">
        <v>0</v>
      </c>
      <c r="O26">
        <f t="shared" si="14"/>
        <v>32715.040000000001</v>
      </c>
      <c r="P26">
        <f t="shared" si="15"/>
        <v>22278.01</v>
      </c>
      <c r="Q26">
        <f t="shared" si="16"/>
        <v>2127.2800000000002</v>
      </c>
      <c r="R26">
        <f t="shared" si="17"/>
        <v>1051.3499999999999</v>
      </c>
      <c r="S26">
        <f t="shared" si="18"/>
        <v>8309.75</v>
      </c>
      <c r="T26">
        <f t="shared" si="19"/>
        <v>0</v>
      </c>
      <c r="U26">
        <f t="shared" si="20"/>
        <v>41.104800000000004</v>
      </c>
      <c r="V26">
        <f t="shared" si="21"/>
        <v>0</v>
      </c>
      <c r="W26">
        <f t="shared" si="22"/>
        <v>0</v>
      </c>
      <c r="X26">
        <f t="shared" si="23"/>
        <v>5816.83</v>
      </c>
      <c r="Y26">
        <f t="shared" si="23"/>
        <v>830.98</v>
      </c>
      <c r="AA26">
        <v>25859284</v>
      </c>
      <c r="AB26">
        <f t="shared" si="24"/>
        <v>272625.28000000003</v>
      </c>
      <c r="AC26">
        <f t="shared" si="25"/>
        <v>185650.06</v>
      </c>
      <c r="AD26">
        <f t="shared" si="26"/>
        <v>17727.330000000002</v>
      </c>
      <c r="AE26">
        <f t="shared" si="27"/>
        <v>8761.2199999999993</v>
      </c>
      <c r="AF26">
        <f t="shared" si="27"/>
        <v>69247.89</v>
      </c>
      <c r="AG26">
        <f t="shared" si="28"/>
        <v>0</v>
      </c>
      <c r="AH26">
        <f t="shared" si="29"/>
        <v>342.54</v>
      </c>
      <c r="AI26">
        <f t="shared" si="29"/>
        <v>0</v>
      </c>
      <c r="AJ26">
        <f t="shared" si="30"/>
        <v>0</v>
      </c>
      <c r="AK26">
        <v>272625.28000000003</v>
      </c>
      <c r="AL26">
        <v>185650.06</v>
      </c>
      <c r="AM26">
        <v>17727.330000000002</v>
      </c>
      <c r="AN26">
        <v>8761.2199999999993</v>
      </c>
      <c r="AO26">
        <v>69247.89</v>
      </c>
      <c r="AP26">
        <v>0</v>
      </c>
      <c r="AQ26">
        <v>342.54</v>
      </c>
      <c r="AR26">
        <v>0</v>
      </c>
      <c r="AS26">
        <v>0</v>
      </c>
      <c r="AT26">
        <v>70</v>
      </c>
      <c r="AU26">
        <v>10</v>
      </c>
      <c r="AV26">
        <v>1</v>
      </c>
      <c r="AW26">
        <v>1</v>
      </c>
      <c r="AZ26">
        <v>1</v>
      </c>
      <c r="BA26">
        <v>1</v>
      </c>
      <c r="BB26">
        <v>1</v>
      </c>
      <c r="BC26">
        <v>1</v>
      </c>
      <c r="BD26" t="s">
        <v>4</v>
      </c>
      <c r="BE26" t="s">
        <v>4</v>
      </c>
      <c r="BF26" t="s">
        <v>4</v>
      </c>
      <c r="BG26" t="s">
        <v>4</v>
      </c>
      <c r="BH26">
        <v>0</v>
      </c>
      <c r="BI26">
        <v>4</v>
      </c>
      <c r="BJ26" t="s">
        <v>39</v>
      </c>
      <c r="BM26">
        <v>0</v>
      </c>
      <c r="BN26">
        <v>0</v>
      </c>
      <c r="BO26" t="s">
        <v>4</v>
      </c>
      <c r="BP26">
        <v>0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 t="s">
        <v>4</v>
      </c>
      <c r="BZ26">
        <v>70</v>
      </c>
      <c r="CA26">
        <v>10</v>
      </c>
      <c r="CE26">
        <v>0</v>
      </c>
      <c r="CF26">
        <v>0</v>
      </c>
      <c r="CG26">
        <v>0</v>
      </c>
      <c r="CM26">
        <v>0</v>
      </c>
      <c r="CN26" t="s">
        <v>4</v>
      </c>
      <c r="CO26">
        <v>0</v>
      </c>
      <c r="CP26">
        <f t="shared" si="31"/>
        <v>32715.039999999997</v>
      </c>
      <c r="CQ26">
        <f t="shared" si="32"/>
        <v>185650.06</v>
      </c>
      <c r="CR26">
        <f t="shared" si="33"/>
        <v>17727.330000000002</v>
      </c>
      <c r="CS26">
        <f t="shared" si="34"/>
        <v>8761.2199999999993</v>
      </c>
      <c r="CT26">
        <f t="shared" si="35"/>
        <v>69247.89</v>
      </c>
      <c r="CU26">
        <f t="shared" si="36"/>
        <v>0</v>
      </c>
      <c r="CV26">
        <f t="shared" si="37"/>
        <v>342.54</v>
      </c>
      <c r="CW26">
        <f t="shared" si="38"/>
        <v>0</v>
      </c>
      <c r="CX26">
        <f t="shared" si="38"/>
        <v>0</v>
      </c>
      <c r="CY26">
        <f t="shared" si="39"/>
        <v>5816.8249999999998</v>
      </c>
      <c r="CZ26">
        <f t="shared" si="40"/>
        <v>830.97500000000002</v>
      </c>
      <c r="DC26" t="s">
        <v>4</v>
      </c>
      <c r="DD26" t="s">
        <v>4</v>
      </c>
      <c r="DE26" t="s">
        <v>4</v>
      </c>
      <c r="DF26" t="s">
        <v>4</v>
      </c>
      <c r="DG26" t="s">
        <v>4</v>
      </c>
      <c r="DH26" t="s">
        <v>4</v>
      </c>
      <c r="DI26" t="s">
        <v>4</v>
      </c>
      <c r="DJ26" t="s">
        <v>4</v>
      </c>
      <c r="DK26" t="s">
        <v>4</v>
      </c>
      <c r="DL26" t="s">
        <v>4</v>
      </c>
      <c r="DM26" t="s">
        <v>4</v>
      </c>
      <c r="DN26">
        <v>0</v>
      </c>
      <c r="DO26">
        <v>0</v>
      </c>
      <c r="DP26">
        <v>1</v>
      </c>
      <c r="DQ26">
        <v>1</v>
      </c>
      <c r="DU26">
        <v>1010</v>
      </c>
      <c r="DV26" t="s">
        <v>38</v>
      </c>
      <c r="DW26" t="s">
        <v>38</v>
      </c>
      <c r="DX26">
        <v>100</v>
      </c>
      <c r="EE26">
        <v>25787500</v>
      </c>
      <c r="EF26">
        <v>1</v>
      </c>
      <c r="EG26" t="s">
        <v>25</v>
      </c>
      <c r="EH26">
        <v>0</v>
      </c>
      <c r="EI26" t="s">
        <v>4</v>
      </c>
      <c r="EJ26">
        <v>4</v>
      </c>
      <c r="EK26">
        <v>0</v>
      </c>
      <c r="EL26" t="s">
        <v>40</v>
      </c>
      <c r="EM26" t="s">
        <v>27</v>
      </c>
      <c r="EO26" t="s">
        <v>4</v>
      </c>
      <c r="EQ26">
        <v>0</v>
      </c>
      <c r="ER26">
        <v>272625.28000000003</v>
      </c>
      <c r="ES26">
        <v>185650.06</v>
      </c>
      <c r="ET26">
        <v>17727.330000000002</v>
      </c>
      <c r="EU26">
        <v>8761.2199999999993</v>
      </c>
      <c r="EV26">
        <v>69247.89</v>
      </c>
      <c r="EW26">
        <v>342.54</v>
      </c>
      <c r="EX26">
        <v>0</v>
      </c>
      <c r="EY26">
        <v>0</v>
      </c>
      <c r="FQ26">
        <v>0</v>
      </c>
      <c r="FR26">
        <f t="shared" si="41"/>
        <v>0</v>
      </c>
      <c r="FS26">
        <v>0</v>
      </c>
      <c r="FX26">
        <v>70</v>
      </c>
      <c r="FY26">
        <v>10</v>
      </c>
      <c r="GA26" t="s">
        <v>4</v>
      </c>
      <c r="GD26">
        <v>0</v>
      </c>
      <c r="GF26">
        <v>801305787</v>
      </c>
      <c r="GG26">
        <v>2</v>
      </c>
      <c r="GH26">
        <v>1</v>
      </c>
      <c r="GI26">
        <v>-2</v>
      </c>
      <c r="GJ26">
        <v>0</v>
      </c>
      <c r="GK26">
        <f>ROUND(R26*(R12)/100,2)</f>
        <v>1135.46</v>
      </c>
      <c r="GL26">
        <f t="shared" si="42"/>
        <v>0</v>
      </c>
      <c r="GM26">
        <f t="shared" si="43"/>
        <v>40498.31</v>
      </c>
      <c r="GN26">
        <f t="shared" si="44"/>
        <v>0</v>
      </c>
      <c r="GO26">
        <f t="shared" si="45"/>
        <v>0</v>
      </c>
      <c r="GP26">
        <f t="shared" si="46"/>
        <v>40498.31</v>
      </c>
      <c r="GR26">
        <v>0</v>
      </c>
      <c r="GS26">
        <v>3</v>
      </c>
      <c r="GT26">
        <v>0</v>
      </c>
      <c r="GU26" t="s">
        <v>4</v>
      </c>
      <c r="GV26">
        <f t="shared" si="47"/>
        <v>0</v>
      </c>
      <c r="GW26">
        <v>1</v>
      </c>
      <c r="GX26">
        <f t="shared" si="48"/>
        <v>0</v>
      </c>
      <c r="HA26">
        <v>0</v>
      </c>
      <c r="HB26">
        <v>0</v>
      </c>
      <c r="HC26">
        <f t="shared" si="49"/>
        <v>0</v>
      </c>
      <c r="IK26">
        <v>0</v>
      </c>
    </row>
    <row r="27" spans="1:245">
      <c r="A27">
        <v>18</v>
      </c>
      <c r="B27">
        <v>1</v>
      </c>
      <c r="C27">
        <v>16</v>
      </c>
      <c r="E27" t="s">
        <v>41</v>
      </c>
      <c r="F27" t="s">
        <v>29</v>
      </c>
      <c r="G27" t="s">
        <v>42</v>
      </c>
      <c r="H27" t="s">
        <v>43</v>
      </c>
      <c r="I27">
        <f>I26*J27</f>
        <v>7</v>
      </c>
      <c r="J27">
        <v>58.333333333333336</v>
      </c>
      <c r="O27">
        <f t="shared" si="14"/>
        <v>3208.31</v>
      </c>
      <c r="P27">
        <f t="shared" si="15"/>
        <v>3208.31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3"/>
        <v>0</v>
      </c>
      <c r="AA27">
        <v>25859284</v>
      </c>
      <c r="AB27">
        <f t="shared" si="24"/>
        <v>458.33</v>
      </c>
      <c r="AC27">
        <f t="shared" si="25"/>
        <v>458.33</v>
      </c>
      <c r="AD27">
        <f t="shared" si="26"/>
        <v>0</v>
      </c>
      <c r="AE27">
        <f t="shared" si="27"/>
        <v>0</v>
      </c>
      <c r="AF27">
        <f t="shared" si="27"/>
        <v>0</v>
      </c>
      <c r="AG27">
        <f t="shared" si="28"/>
        <v>0</v>
      </c>
      <c r="AH27">
        <f t="shared" si="29"/>
        <v>0</v>
      </c>
      <c r="AI27">
        <f t="shared" si="29"/>
        <v>0</v>
      </c>
      <c r="AJ27">
        <f t="shared" si="30"/>
        <v>0</v>
      </c>
      <c r="AK27">
        <v>458.33</v>
      </c>
      <c r="AL27">
        <v>458.33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70</v>
      </c>
      <c r="AU27">
        <v>10</v>
      </c>
      <c r="AV27">
        <v>1</v>
      </c>
      <c r="AW27">
        <v>1</v>
      </c>
      <c r="AZ27">
        <v>1</v>
      </c>
      <c r="BA27">
        <v>1</v>
      </c>
      <c r="BB27">
        <v>1</v>
      </c>
      <c r="BC27">
        <v>1</v>
      </c>
      <c r="BD27" t="s">
        <v>4</v>
      </c>
      <c r="BE27" t="s">
        <v>4</v>
      </c>
      <c r="BF27" t="s">
        <v>4</v>
      </c>
      <c r="BG27" t="s">
        <v>4</v>
      </c>
      <c r="BH27">
        <v>3</v>
      </c>
      <c r="BI27">
        <v>4</v>
      </c>
      <c r="BJ27" t="s">
        <v>4</v>
      </c>
      <c r="BM27">
        <v>0</v>
      </c>
      <c r="BN27">
        <v>0</v>
      </c>
      <c r="BO27" t="s">
        <v>4</v>
      </c>
      <c r="BP27">
        <v>0</v>
      </c>
      <c r="BQ27">
        <v>1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 t="s">
        <v>4</v>
      </c>
      <c r="BZ27">
        <v>70</v>
      </c>
      <c r="CA27">
        <v>10</v>
      </c>
      <c r="CE27">
        <v>0</v>
      </c>
      <c r="CF27">
        <v>0</v>
      </c>
      <c r="CG27">
        <v>0</v>
      </c>
      <c r="CM27">
        <v>0</v>
      </c>
      <c r="CN27" t="s">
        <v>4</v>
      </c>
      <c r="CO27">
        <v>0</v>
      </c>
      <c r="CP27">
        <f t="shared" si="31"/>
        <v>3208.31</v>
      </c>
      <c r="CQ27">
        <f t="shared" si="32"/>
        <v>458.33</v>
      </c>
      <c r="CR27">
        <f t="shared" si="33"/>
        <v>0</v>
      </c>
      <c r="CS27">
        <f t="shared" si="34"/>
        <v>0</v>
      </c>
      <c r="CT27">
        <f t="shared" si="35"/>
        <v>0</v>
      </c>
      <c r="CU27">
        <f t="shared" si="36"/>
        <v>0</v>
      </c>
      <c r="CV27">
        <f t="shared" si="37"/>
        <v>0</v>
      </c>
      <c r="CW27">
        <f t="shared" si="38"/>
        <v>0</v>
      </c>
      <c r="CX27">
        <f t="shared" si="38"/>
        <v>0</v>
      </c>
      <c r="CY27">
        <f t="shared" si="39"/>
        <v>0</v>
      </c>
      <c r="CZ27">
        <f t="shared" si="40"/>
        <v>0</v>
      </c>
      <c r="DC27" t="s">
        <v>4</v>
      </c>
      <c r="DD27" t="s">
        <v>4</v>
      </c>
      <c r="DE27" t="s">
        <v>4</v>
      </c>
      <c r="DF27" t="s">
        <v>4</v>
      </c>
      <c r="DG27" t="s">
        <v>4</v>
      </c>
      <c r="DH27" t="s">
        <v>4</v>
      </c>
      <c r="DI27" t="s">
        <v>4</v>
      </c>
      <c r="DJ27" t="s">
        <v>4</v>
      </c>
      <c r="DK27" t="s">
        <v>4</v>
      </c>
      <c r="DL27" t="s">
        <v>4</v>
      </c>
      <c r="DM27" t="s">
        <v>4</v>
      </c>
      <c r="DN27">
        <v>0</v>
      </c>
      <c r="DO27">
        <v>0</v>
      </c>
      <c r="DP27">
        <v>1</v>
      </c>
      <c r="DQ27">
        <v>1</v>
      </c>
      <c r="DU27">
        <v>1013</v>
      </c>
      <c r="DV27" t="s">
        <v>43</v>
      </c>
      <c r="DW27" t="s">
        <v>43</v>
      </c>
      <c r="DX27">
        <v>1</v>
      </c>
      <c r="EE27">
        <v>25787500</v>
      </c>
      <c r="EF27">
        <v>1</v>
      </c>
      <c r="EG27" t="s">
        <v>25</v>
      </c>
      <c r="EH27">
        <v>0</v>
      </c>
      <c r="EI27" t="s">
        <v>4</v>
      </c>
      <c r="EJ27">
        <v>4</v>
      </c>
      <c r="EK27">
        <v>0</v>
      </c>
      <c r="EL27" t="s">
        <v>40</v>
      </c>
      <c r="EM27" t="s">
        <v>27</v>
      </c>
      <c r="EO27" t="s">
        <v>4</v>
      </c>
      <c r="EQ27">
        <v>0</v>
      </c>
      <c r="ER27">
        <v>458.33</v>
      </c>
      <c r="ES27">
        <v>458.33</v>
      </c>
      <c r="ET27">
        <v>0</v>
      </c>
      <c r="EU27">
        <v>0</v>
      </c>
      <c r="EV27">
        <v>0</v>
      </c>
      <c r="EW27">
        <v>0</v>
      </c>
      <c r="EX27">
        <v>0</v>
      </c>
      <c r="EZ27">
        <v>5</v>
      </c>
      <c r="FC27">
        <v>1</v>
      </c>
      <c r="FD27">
        <v>18</v>
      </c>
      <c r="FF27">
        <v>550</v>
      </c>
      <c r="FQ27">
        <v>0</v>
      </c>
      <c r="FR27">
        <f t="shared" si="41"/>
        <v>0</v>
      </c>
      <c r="FS27">
        <v>0</v>
      </c>
      <c r="FX27">
        <v>70</v>
      </c>
      <c r="FY27">
        <v>10</v>
      </c>
      <c r="GA27" t="s">
        <v>44</v>
      </c>
      <c r="GD27">
        <v>0</v>
      </c>
      <c r="GF27">
        <v>1060887624</v>
      </c>
      <c r="GG27">
        <v>2</v>
      </c>
      <c r="GH27">
        <v>3</v>
      </c>
      <c r="GI27">
        <v>-2</v>
      </c>
      <c r="GJ27">
        <v>0</v>
      </c>
      <c r="GK27">
        <f>ROUND(R27*(R12)/100,2)</f>
        <v>0</v>
      </c>
      <c r="GL27">
        <f t="shared" si="42"/>
        <v>0</v>
      </c>
      <c r="GM27">
        <f t="shared" si="43"/>
        <v>3208.31</v>
      </c>
      <c r="GN27">
        <f t="shared" si="44"/>
        <v>0</v>
      </c>
      <c r="GO27">
        <f t="shared" si="45"/>
        <v>0</v>
      </c>
      <c r="GP27">
        <f t="shared" si="46"/>
        <v>3208.31</v>
      </c>
      <c r="GR27">
        <v>1</v>
      </c>
      <c r="GS27">
        <v>1</v>
      </c>
      <c r="GT27">
        <v>0</v>
      </c>
      <c r="GU27" t="s">
        <v>4</v>
      </c>
      <c r="GV27">
        <f t="shared" si="47"/>
        <v>0</v>
      </c>
      <c r="GW27">
        <v>1</v>
      </c>
      <c r="GX27">
        <f t="shared" si="48"/>
        <v>0</v>
      </c>
      <c r="HA27">
        <v>0</v>
      </c>
      <c r="HB27">
        <v>0</v>
      </c>
      <c r="HC27">
        <f t="shared" si="49"/>
        <v>0</v>
      </c>
      <c r="IK27">
        <v>0</v>
      </c>
    </row>
    <row r="28" spans="1:245">
      <c r="A28">
        <v>18</v>
      </c>
      <c r="B28">
        <v>1</v>
      </c>
      <c r="C28">
        <v>17</v>
      </c>
      <c r="E28" t="s">
        <v>45</v>
      </c>
      <c r="F28" t="s">
        <v>29</v>
      </c>
      <c r="G28" t="s">
        <v>46</v>
      </c>
      <c r="H28" t="s">
        <v>43</v>
      </c>
      <c r="I28">
        <f>I26*J28</f>
        <v>8</v>
      </c>
      <c r="J28">
        <v>66.666666666666671</v>
      </c>
      <c r="O28">
        <f t="shared" si="14"/>
        <v>7000</v>
      </c>
      <c r="P28">
        <f t="shared" si="15"/>
        <v>7000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3"/>
        <v>0</v>
      </c>
      <c r="AA28">
        <v>25859284</v>
      </c>
      <c r="AB28">
        <f t="shared" si="24"/>
        <v>875</v>
      </c>
      <c r="AC28">
        <f t="shared" si="25"/>
        <v>875</v>
      </c>
      <c r="AD28">
        <f t="shared" si="26"/>
        <v>0</v>
      </c>
      <c r="AE28">
        <f t="shared" si="27"/>
        <v>0</v>
      </c>
      <c r="AF28">
        <f t="shared" si="27"/>
        <v>0</v>
      </c>
      <c r="AG28">
        <f t="shared" si="28"/>
        <v>0</v>
      </c>
      <c r="AH28">
        <f t="shared" si="29"/>
        <v>0</v>
      </c>
      <c r="AI28">
        <f t="shared" si="29"/>
        <v>0</v>
      </c>
      <c r="AJ28">
        <f t="shared" si="30"/>
        <v>0</v>
      </c>
      <c r="AK28">
        <v>875</v>
      </c>
      <c r="AL28">
        <v>875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4</v>
      </c>
      <c r="BE28" t="s">
        <v>4</v>
      </c>
      <c r="BF28" t="s">
        <v>4</v>
      </c>
      <c r="BG28" t="s">
        <v>4</v>
      </c>
      <c r="BH28">
        <v>3</v>
      </c>
      <c r="BI28">
        <v>4</v>
      </c>
      <c r="BJ28" t="s">
        <v>4</v>
      </c>
      <c r="BM28">
        <v>0</v>
      </c>
      <c r="BN28">
        <v>0</v>
      </c>
      <c r="BO28" t="s">
        <v>4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4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4</v>
      </c>
      <c r="CO28">
        <v>0</v>
      </c>
      <c r="CP28">
        <f t="shared" si="31"/>
        <v>7000</v>
      </c>
      <c r="CQ28">
        <f t="shared" si="32"/>
        <v>875</v>
      </c>
      <c r="CR28">
        <f t="shared" si="33"/>
        <v>0</v>
      </c>
      <c r="CS28">
        <f t="shared" si="34"/>
        <v>0</v>
      </c>
      <c r="CT28">
        <f t="shared" si="35"/>
        <v>0</v>
      </c>
      <c r="CU28">
        <f t="shared" si="36"/>
        <v>0</v>
      </c>
      <c r="CV28">
        <f t="shared" si="37"/>
        <v>0</v>
      </c>
      <c r="CW28">
        <f t="shared" si="38"/>
        <v>0</v>
      </c>
      <c r="CX28">
        <f t="shared" si="38"/>
        <v>0</v>
      </c>
      <c r="CY28">
        <f t="shared" si="39"/>
        <v>0</v>
      </c>
      <c r="CZ28">
        <f t="shared" si="40"/>
        <v>0</v>
      </c>
      <c r="DC28" t="s">
        <v>4</v>
      </c>
      <c r="DD28" t="s">
        <v>4</v>
      </c>
      <c r="DE28" t="s">
        <v>4</v>
      </c>
      <c r="DF28" t="s">
        <v>4</v>
      </c>
      <c r="DG28" t="s">
        <v>4</v>
      </c>
      <c r="DH28" t="s">
        <v>4</v>
      </c>
      <c r="DI28" t="s">
        <v>4</v>
      </c>
      <c r="DJ28" t="s">
        <v>4</v>
      </c>
      <c r="DK28" t="s">
        <v>4</v>
      </c>
      <c r="DL28" t="s">
        <v>4</v>
      </c>
      <c r="DM28" t="s">
        <v>4</v>
      </c>
      <c r="DN28">
        <v>0</v>
      </c>
      <c r="DO28">
        <v>0</v>
      </c>
      <c r="DP28">
        <v>1</v>
      </c>
      <c r="DQ28">
        <v>1</v>
      </c>
      <c r="DU28">
        <v>1013</v>
      </c>
      <c r="DV28" t="s">
        <v>43</v>
      </c>
      <c r="DW28" t="s">
        <v>43</v>
      </c>
      <c r="DX28">
        <v>1</v>
      </c>
      <c r="EE28">
        <v>25787500</v>
      </c>
      <c r="EF28">
        <v>1</v>
      </c>
      <c r="EG28" t="s">
        <v>25</v>
      </c>
      <c r="EH28">
        <v>0</v>
      </c>
      <c r="EI28" t="s">
        <v>4</v>
      </c>
      <c r="EJ28">
        <v>4</v>
      </c>
      <c r="EK28">
        <v>0</v>
      </c>
      <c r="EL28" t="s">
        <v>40</v>
      </c>
      <c r="EM28" t="s">
        <v>27</v>
      </c>
      <c r="EO28" t="s">
        <v>4</v>
      </c>
      <c r="EQ28">
        <v>0</v>
      </c>
      <c r="ER28">
        <v>875</v>
      </c>
      <c r="ES28">
        <v>875</v>
      </c>
      <c r="ET28">
        <v>0</v>
      </c>
      <c r="EU28">
        <v>0</v>
      </c>
      <c r="EV28">
        <v>0</v>
      </c>
      <c r="EW28">
        <v>0</v>
      </c>
      <c r="EX28">
        <v>0</v>
      </c>
      <c r="EZ28">
        <v>5</v>
      </c>
      <c r="FC28">
        <v>1</v>
      </c>
      <c r="FD28">
        <v>18</v>
      </c>
      <c r="FF28">
        <v>1050</v>
      </c>
      <c r="FQ28">
        <v>0</v>
      </c>
      <c r="FR28">
        <f t="shared" si="41"/>
        <v>0</v>
      </c>
      <c r="FS28">
        <v>0</v>
      </c>
      <c r="FX28">
        <v>70</v>
      </c>
      <c r="FY28">
        <v>10</v>
      </c>
      <c r="GA28" t="s">
        <v>47</v>
      </c>
      <c r="GD28">
        <v>0</v>
      </c>
      <c r="GF28">
        <v>21436170</v>
      </c>
      <c r="GG28">
        <v>2</v>
      </c>
      <c r="GH28">
        <v>3</v>
      </c>
      <c r="GI28">
        <v>-2</v>
      </c>
      <c r="GJ28">
        <v>0</v>
      </c>
      <c r="GK28">
        <f>ROUND(R28*(R12)/100,2)</f>
        <v>0</v>
      </c>
      <c r="GL28">
        <f t="shared" si="42"/>
        <v>0</v>
      </c>
      <c r="GM28">
        <f t="shared" si="43"/>
        <v>7000</v>
      </c>
      <c r="GN28">
        <f t="shared" si="44"/>
        <v>0</v>
      </c>
      <c r="GO28">
        <f t="shared" si="45"/>
        <v>0</v>
      </c>
      <c r="GP28">
        <f t="shared" si="46"/>
        <v>7000</v>
      </c>
      <c r="GR28">
        <v>1</v>
      </c>
      <c r="GS28">
        <v>1</v>
      </c>
      <c r="GT28">
        <v>0</v>
      </c>
      <c r="GU28" t="s">
        <v>4</v>
      </c>
      <c r="GV28">
        <f t="shared" si="47"/>
        <v>0</v>
      </c>
      <c r="GW28">
        <v>1</v>
      </c>
      <c r="GX28">
        <f t="shared" si="48"/>
        <v>0</v>
      </c>
      <c r="HA28">
        <v>0</v>
      </c>
      <c r="HB28">
        <v>0</v>
      </c>
      <c r="HC28">
        <f t="shared" si="49"/>
        <v>0</v>
      </c>
      <c r="IK28">
        <v>0</v>
      </c>
    </row>
    <row r="29" spans="1:245">
      <c r="A29">
        <v>18</v>
      </c>
      <c r="B29">
        <v>1</v>
      </c>
      <c r="C29">
        <v>18</v>
      </c>
      <c r="E29" t="s">
        <v>48</v>
      </c>
      <c r="F29" t="s">
        <v>29</v>
      </c>
      <c r="G29" t="s">
        <v>49</v>
      </c>
      <c r="H29" t="s">
        <v>43</v>
      </c>
      <c r="I29">
        <f>I26*J29</f>
        <v>7</v>
      </c>
      <c r="J29">
        <v>58.333333333333336</v>
      </c>
      <c r="O29">
        <f t="shared" si="14"/>
        <v>4083.31</v>
      </c>
      <c r="P29">
        <f t="shared" si="15"/>
        <v>4083.31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3"/>
        <v>0</v>
      </c>
      <c r="AA29">
        <v>25859284</v>
      </c>
      <c r="AB29">
        <f t="shared" si="24"/>
        <v>583.33000000000004</v>
      </c>
      <c r="AC29">
        <f t="shared" si="25"/>
        <v>583.33000000000004</v>
      </c>
      <c r="AD29">
        <f t="shared" si="26"/>
        <v>0</v>
      </c>
      <c r="AE29">
        <f t="shared" si="27"/>
        <v>0</v>
      </c>
      <c r="AF29">
        <f t="shared" si="27"/>
        <v>0</v>
      </c>
      <c r="AG29">
        <f t="shared" si="28"/>
        <v>0</v>
      </c>
      <c r="AH29">
        <f t="shared" si="29"/>
        <v>0</v>
      </c>
      <c r="AI29">
        <f t="shared" si="29"/>
        <v>0</v>
      </c>
      <c r="AJ29">
        <f t="shared" si="30"/>
        <v>0</v>
      </c>
      <c r="AK29">
        <v>583.33000000000004</v>
      </c>
      <c r="AL29">
        <v>583.33000000000004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4</v>
      </c>
      <c r="BE29" t="s">
        <v>4</v>
      </c>
      <c r="BF29" t="s">
        <v>4</v>
      </c>
      <c r="BG29" t="s">
        <v>4</v>
      </c>
      <c r="BH29">
        <v>3</v>
      </c>
      <c r="BI29">
        <v>4</v>
      </c>
      <c r="BJ29" t="s">
        <v>4</v>
      </c>
      <c r="BM29">
        <v>0</v>
      </c>
      <c r="BN29">
        <v>0</v>
      </c>
      <c r="BO29" t="s">
        <v>4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4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4</v>
      </c>
      <c r="CO29">
        <v>0</v>
      </c>
      <c r="CP29">
        <f t="shared" si="31"/>
        <v>4083.31</v>
      </c>
      <c r="CQ29">
        <f t="shared" si="32"/>
        <v>583.33000000000004</v>
      </c>
      <c r="CR29">
        <f t="shared" si="33"/>
        <v>0</v>
      </c>
      <c r="CS29">
        <f t="shared" si="34"/>
        <v>0</v>
      </c>
      <c r="CT29">
        <f t="shared" si="35"/>
        <v>0</v>
      </c>
      <c r="CU29">
        <f t="shared" si="36"/>
        <v>0</v>
      </c>
      <c r="CV29">
        <f t="shared" si="37"/>
        <v>0</v>
      </c>
      <c r="CW29">
        <f t="shared" si="38"/>
        <v>0</v>
      </c>
      <c r="CX29">
        <f t="shared" si="38"/>
        <v>0</v>
      </c>
      <c r="CY29">
        <f t="shared" si="39"/>
        <v>0</v>
      </c>
      <c r="CZ29">
        <f t="shared" si="40"/>
        <v>0</v>
      </c>
      <c r="DC29" t="s">
        <v>4</v>
      </c>
      <c r="DD29" t="s">
        <v>4</v>
      </c>
      <c r="DE29" t="s">
        <v>4</v>
      </c>
      <c r="DF29" t="s">
        <v>4</v>
      </c>
      <c r="DG29" t="s">
        <v>4</v>
      </c>
      <c r="DH29" t="s">
        <v>4</v>
      </c>
      <c r="DI29" t="s">
        <v>4</v>
      </c>
      <c r="DJ29" t="s">
        <v>4</v>
      </c>
      <c r="DK29" t="s">
        <v>4</v>
      </c>
      <c r="DL29" t="s">
        <v>4</v>
      </c>
      <c r="DM29" t="s">
        <v>4</v>
      </c>
      <c r="DN29">
        <v>0</v>
      </c>
      <c r="DO29">
        <v>0</v>
      </c>
      <c r="DP29">
        <v>1</v>
      </c>
      <c r="DQ29">
        <v>1</v>
      </c>
      <c r="DU29">
        <v>1013</v>
      </c>
      <c r="DV29" t="s">
        <v>43</v>
      </c>
      <c r="DW29" t="s">
        <v>43</v>
      </c>
      <c r="DX29">
        <v>1</v>
      </c>
      <c r="EE29">
        <v>25787500</v>
      </c>
      <c r="EF29">
        <v>1</v>
      </c>
      <c r="EG29" t="s">
        <v>25</v>
      </c>
      <c r="EH29">
        <v>0</v>
      </c>
      <c r="EI29" t="s">
        <v>4</v>
      </c>
      <c r="EJ29">
        <v>4</v>
      </c>
      <c r="EK29">
        <v>0</v>
      </c>
      <c r="EL29" t="s">
        <v>40</v>
      </c>
      <c r="EM29" t="s">
        <v>27</v>
      </c>
      <c r="EO29" t="s">
        <v>4</v>
      </c>
      <c r="EQ29">
        <v>0</v>
      </c>
      <c r="ER29">
        <v>583.33000000000004</v>
      </c>
      <c r="ES29">
        <v>583.33000000000004</v>
      </c>
      <c r="ET29">
        <v>0</v>
      </c>
      <c r="EU29">
        <v>0</v>
      </c>
      <c r="EV29">
        <v>0</v>
      </c>
      <c r="EW29">
        <v>0</v>
      </c>
      <c r="EX29">
        <v>0</v>
      </c>
      <c r="EZ29">
        <v>5</v>
      </c>
      <c r="FC29">
        <v>1</v>
      </c>
      <c r="FD29">
        <v>18</v>
      </c>
      <c r="FF29">
        <v>700</v>
      </c>
      <c r="FQ29">
        <v>0</v>
      </c>
      <c r="FR29">
        <f t="shared" si="41"/>
        <v>0</v>
      </c>
      <c r="FS29">
        <v>0</v>
      </c>
      <c r="FX29">
        <v>70</v>
      </c>
      <c r="FY29">
        <v>10</v>
      </c>
      <c r="GA29" t="s">
        <v>50</v>
      </c>
      <c r="GD29">
        <v>0</v>
      </c>
      <c r="GF29">
        <v>964456726</v>
      </c>
      <c r="GG29">
        <v>2</v>
      </c>
      <c r="GH29">
        <v>3</v>
      </c>
      <c r="GI29">
        <v>-2</v>
      </c>
      <c r="GJ29">
        <v>0</v>
      </c>
      <c r="GK29">
        <f>ROUND(R29*(R12)/100,2)</f>
        <v>0</v>
      </c>
      <c r="GL29">
        <f t="shared" si="42"/>
        <v>0</v>
      </c>
      <c r="GM29">
        <f t="shared" si="43"/>
        <v>4083.31</v>
      </c>
      <c r="GN29">
        <f t="shared" si="44"/>
        <v>0</v>
      </c>
      <c r="GO29">
        <f t="shared" si="45"/>
        <v>0</v>
      </c>
      <c r="GP29">
        <f t="shared" si="46"/>
        <v>4083.31</v>
      </c>
      <c r="GR29">
        <v>1</v>
      </c>
      <c r="GS29">
        <v>1</v>
      </c>
      <c r="GT29">
        <v>0</v>
      </c>
      <c r="GU29" t="s">
        <v>4</v>
      </c>
      <c r="GV29">
        <f t="shared" si="47"/>
        <v>0</v>
      </c>
      <c r="GW29">
        <v>1</v>
      </c>
      <c r="GX29">
        <f t="shared" si="48"/>
        <v>0</v>
      </c>
      <c r="HA29">
        <v>0</v>
      </c>
      <c r="HB29">
        <v>0</v>
      </c>
      <c r="HC29">
        <f t="shared" si="49"/>
        <v>0</v>
      </c>
      <c r="IK29">
        <v>0</v>
      </c>
    </row>
    <row r="30" spans="1:245">
      <c r="A30">
        <v>18</v>
      </c>
      <c r="B30">
        <v>1</v>
      </c>
      <c r="C30">
        <v>19</v>
      </c>
      <c r="E30" t="s">
        <v>51</v>
      </c>
      <c r="F30" t="s">
        <v>29</v>
      </c>
      <c r="G30" t="s">
        <v>52</v>
      </c>
      <c r="H30" t="s">
        <v>43</v>
      </c>
      <c r="I30">
        <f>I26*J30</f>
        <v>2</v>
      </c>
      <c r="J30">
        <v>16.666666666666668</v>
      </c>
      <c r="O30">
        <f t="shared" si="14"/>
        <v>1466.66</v>
      </c>
      <c r="P30">
        <f t="shared" si="15"/>
        <v>1466.66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0</v>
      </c>
      <c r="U30">
        <f t="shared" si="20"/>
        <v>0</v>
      </c>
      <c r="V30">
        <f t="shared" si="21"/>
        <v>0</v>
      </c>
      <c r="W30">
        <f t="shared" si="22"/>
        <v>0</v>
      </c>
      <c r="X30">
        <f t="shared" si="23"/>
        <v>0</v>
      </c>
      <c r="Y30">
        <f t="shared" si="23"/>
        <v>0</v>
      </c>
      <c r="AA30">
        <v>25859284</v>
      </c>
      <c r="AB30">
        <f t="shared" si="24"/>
        <v>733.33</v>
      </c>
      <c r="AC30">
        <f t="shared" si="25"/>
        <v>733.33</v>
      </c>
      <c r="AD30">
        <f t="shared" si="26"/>
        <v>0</v>
      </c>
      <c r="AE30">
        <f t="shared" si="27"/>
        <v>0</v>
      </c>
      <c r="AF30">
        <f t="shared" si="27"/>
        <v>0</v>
      </c>
      <c r="AG30">
        <f t="shared" si="28"/>
        <v>0</v>
      </c>
      <c r="AH30">
        <f t="shared" si="29"/>
        <v>0</v>
      </c>
      <c r="AI30">
        <f t="shared" si="29"/>
        <v>0</v>
      </c>
      <c r="AJ30">
        <f t="shared" si="30"/>
        <v>0</v>
      </c>
      <c r="AK30">
        <v>733.33</v>
      </c>
      <c r="AL30">
        <v>733.33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4</v>
      </c>
      <c r="BE30" t="s">
        <v>4</v>
      </c>
      <c r="BF30" t="s">
        <v>4</v>
      </c>
      <c r="BG30" t="s">
        <v>4</v>
      </c>
      <c r="BH30">
        <v>3</v>
      </c>
      <c r="BI30">
        <v>4</v>
      </c>
      <c r="BJ30" t="s">
        <v>4</v>
      </c>
      <c r="BM30">
        <v>0</v>
      </c>
      <c r="BN30">
        <v>0</v>
      </c>
      <c r="BO30" t="s">
        <v>4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4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4</v>
      </c>
      <c r="CO30">
        <v>0</v>
      </c>
      <c r="CP30">
        <f t="shared" si="31"/>
        <v>1466.66</v>
      </c>
      <c r="CQ30">
        <f t="shared" si="32"/>
        <v>733.33</v>
      </c>
      <c r="CR30">
        <f t="shared" si="33"/>
        <v>0</v>
      </c>
      <c r="CS30">
        <f t="shared" si="34"/>
        <v>0</v>
      </c>
      <c r="CT30">
        <f t="shared" si="35"/>
        <v>0</v>
      </c>
      <c r="CU30">
        <f t="shared" si="36"/>
        <v>0</v>
      </c>
      <c r="CV30">
        <f t="shared" si="37"/>
        <v>0</v>
      </c>
      <c r="CW30">
        <f t="shared" si="38"/>
        <v>0</v>
      </c>
      <c r="CX30">
        <f t="shared" si="38"/>
        <v>0</v>
      </c>
      <c r="CY30">
        <f t="shared" si="39"/>
        <v>0</v>
      </c>
      <c r="CZ30">
        <f t="shared" si="40"/>
        <v>0</v>
      </c>
      <c r="DC30" t="s">
        <v>4</v>
      </c>
      <c r="DD30" t="s">
        <v>4</v>
      </c>
      <c r="DE30" t="s">
        <v>4</v>
      </c>
      <c r="DF30" t="s">
        <v>4</v>
      </c>
      <c r="DG30" t="s">
        <v>4</v>
      </c>
      <c r="DH30" t="s">
        <v>4</v>
      </c>
      <c r="DI30" t="s">
        <v>4</v>
      </c>
      <c r="DJ30" t="s">
        <v>4</v>
      </c>
      <c r="DK30" t="s">
        <v>4</v>
      </c>
      <c r="DL30" t="s">
        <v>4</v>
      </c>
      <c r="DM30" t="s">
        <v>4</v>
      </c>
      <c r="DN30">
        <v>0</v>
      </c>
      <c r="DO30">
        <v>0</v>
      </c>
      <c r="DP30">
        <v>1</v>
      </c>
      <c r="DQ30">
        <v>1</v>
      </c>
      <c r="DU30">
        <v>1013</v>
      </c>
      <c r="DV30" t="s">
        <v>43</v>
      </c>
      <c r="DW30" t="s">
        <v>43</v>
      </c>
      <c r="DX30">
        <v>1</v>
      </c>
      <c r="EE30">
        <v>25787500</v>
      </c>
      <c r="EF30">
        <v>1</v>
      </c>
      <c r="EG30" t="s">
        <v>25</v>
      </c>
      <c r="EH30">
        <v>0</v>
      </c>
      <c r="EI30" t="s">
        <v>4</v>
      </c>
      <c r="EJ30">
        <v>4</v>
      </c>
      <c r="EK30">
        <v>0</v>
      </c>
      <c r="EL30" t="s">
        <v>40</v>
      </c>
      <c r="EM30" t="s">
        <v>27</v>
      </c>
      <c r="EO30" t="s">
        <v>4</v>
      </c>
      <c r="EQ30">
        <v>0</v>
      </c>
      <c r="ER30">
        <v>733.33</v>
      </c>
      <c r="ES30">
        <v>733.33</v>
      </c>
      <c r="ET30">
        <v>0</v>
      </c>
      <c r="EU30">
        <v>0</v>
      </c>
      <c r="EV30">
        <v>0</v>
      </c>
      <c r="EW30">
        <v>0</v>
      </c>
      <c r="EX30">
        <v>0</v>
      </c>
      <c r="EZ30">
        <v>5</v>
      </c>
      <c r="FC30">
        <v>1</v>
      </c>
      <c r="FD30">
        <v>18</v>
      </c>
      <c r="FF30">
        <v>880</v>
      </c>
      <c r="FQ30">
        <v>0</v>
      </c>
      <c r="FR30">
        <f t="shared" si="41"/>
        <v>0</v>
      </c>
      <c r="FS30">
        <v>0</v>
      </c>
      <c r="FX30">
        <v>70</v>
      </c>
      <c r="FY30">
        <v>10</v>
      </c>
      <c r="GA30" t="s">
        <v>53</v>
      </c>
      <c r="GD30">
        <v>0</v>
      </c>
      <c r="GF30">
        <v>1272699849</v>
      </c>
      <c r="GG30">
        <v>2</v>
      </c>
      <c r="GH30">
        <v>3</v>
      </c>
      <c r="GI30">
        <v>-2</v>
      </c>
      <c r="GJ30">
        <v>0</v>
      </c>
      <c r="GK30">
        <f>ROUND(R30*(R12)/100,2)</f>
        <v>0</v>
      </c>
      <c r="GL30">
        <f t="shared" si="42"/>
        <v>0</v>
      </c>
      <c r="GM30">
        <f t="shared" si="43"/>
        <v>1466.66</v>
      </c>
      <c r="GN30">
        <f t="shared" si="44"/>
        <v>0</v>
      </c>
      <c r="GO30">
        <f t="shared" si="45"/>
        <v>0</v>
      </c>
      <c r="GP30">
        <f t="shared" si="46"/>
        <v>1466.66</v>
      </c>
      <c r="GR30">
        <v>1</v>
      </c>
      <c r="GS30">
        <v>1</v>
      </c>
      <c r="GT30">
        <v>0</v>
      </c>
      <c r="GU30" t="s">
        <v>4</v>
      </c>
      <c r="GV30">
        <f t="shared" si="47"/>
        <v>0</v>
      </c>
      <c r="GW30">
        <v>1</v>
      </c>
      <c r="GX30">
        <f t="shared" si="48"/>
        <v>0</v>
      </c>
      <c r="HA30">
        <v>0</v>
      </c>
      <c r="HB30">
        <v>0</v>
      </c>
      <c r="HC30">
        <f t="shared" si="49"/>
        <v>0</v>
      </c>
      <c r="IK30">
        <v>0</v>
      </c>
    </row>
    <row r="31" spans="1:245">
      <c r="A31">
        <v>17</v>
      </c>
      <c r="B31">
        <v>1</v>
      </c>
      <c r="C31">
        <f>ROW(SmtRes!A23)</f>
        <v>23</v>
      </c>
      <c r="D31">
        <f>ROW(EtalonRes!A19)</f>
        <v>19</v>
      </c>
      <c r="E31" t="s">
        <v>54</v>
      </c>
      <c r="F31" t="s">
        <v>55</v>
      </c>
      <c r="G31" t="s">
        <v>56</v>
      </c>
      <c r="H31" t="s">
        <v>23</v>
      </c>
      <c r="I31">
        <v>60</v>
      </c>
      <c r="J31">
        <v>0</v>
      </c>
      <c r="O31">
        <f t="shared" si="14"/>
        <v>91489.8</v>
      </c>
      <c r="P31">
        <f t="shared" si="15"/>
        <v>28402.799999999999</v>
      </c>
      <c r="Q31">
        <f t="shared" si="16"/>
        <v>49753.2</v>
      </c>
      <c r="R31">
        <f t="shared" si="17"/>
        <v>24546.6</v>
      </c>
      <c r="S31">
        <f t="shared" si="18"/>
        <v>13333.8</v>
      </c>
      <c r="T31">
        <f t="shared" si="19"/>
        <v>0</v>
      </c>
      <c r="U31">
        <f t="shared" si="20"/>
        <v>63.6</v>
      </c>
      <c r="V31">
        <f t="shared" si="21"/>
        <v>0</v>
      </c>
      <c r="W31">
        <f t="shared" si="22"/>
        <v>0</v>
      </c>
      <c r="X31">
        <f t="shared" si="23"/>
        <v>10667.04</v>
      </c>
      <c r="Y31">
        <f t="shared" si="23"/>
        <v>1333.38</v>
      </c>
      <c r="AA31">
        <v>25859284</v>
      </c>
      <c r="AB31">
        <f t="shared" si="24"/>
        <v>1524.83</v>
      </c>
      <c r="AC31">
        <f t="shared" si="25"/>
        <v>473.38</v>
      </c>
      <c r="AD31">
        <f t="shared" si="26"/>
        <v>829.22</v>
      </c>
      <c r="AE31">
        <f t="shared" si="27"/>
        <v>409.11</v>
      </c>
      <c r="AF31">
        <f t="shared" si="27"/>
        <v>222.23</v>
      </c>
      <c r="AG31">
        <f t="shared" si="28"/>
        <v>0</v>
      </c>
      <c r="AH31">
        <f t="shared" si="29"/>
        <v>1.06</v>
      </c>
      <c r="AI31">
        <f t="shared" si="29"/>
        <v>0</v>
      </c>
      <c r="AJ31">
        <f t="shared" si="30"/>
        <v>0</v>
      </c>
      <c r="AK31">
        <v>1524.83</v>
      </c>
      <c r="AL31">
        <v>473.38</v>
      </c>
      <c r="AM31">
        <v>829.22</v>
      </c>
      <c r="AN31">
        <v>409.11</v>
      </c>
      <c r="AO31">
        <v>222.23</v>
      </c>
      <c r="AP31">
        <v>0</v>
      </c>
      <c r="AQ31">
        <v>1.06</v>
      </c>
      <c r="AR31">
        <v>0</v>
      </c>
      <c r="AS31">
        <v>0</v>
      </c>
      <c r="AT31">
        <v>80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4</v>
      </c>
      <c r="BE31" t="s">
        <v>4</v>
      </c>
      <c r="BF31" t="s">
        <v>4</v>
      </c>
      <c r="BG31" t="s">
        <v>4</v>
      </c>
      <c r="BH31">
        <v>0</v>
      </c>
      <c r="BI31">
        <v>4</v>
      </c>
      <c r="BJ31" t="s">
        <v>57</v>
      </c>
      <c r="BM31">
        <v>2</v>
      </c>
      <c r="BN31">
        <v>0</v>
      </c>
      <c r="BO31" t="s">
        <v>4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4</v>
      </c>
      <c r="BZ31">
        <v>80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4</v>
      </c>
      <c r="CO31">
        <v>0</v>
      </c>
      <c r="CP31">
        <f t="shared" si="31"/>
        <v>91489.8</v>
      </c>
      <c r="CQ31">
        <f t="shared" si="32"/>
        <v>473.38</v>
      </c>
      <c r="CR31">
        <f t="shared" si="33"/>
        <v>829.22</v>
      </c>
      <c r="CS31">
        <f t="shared" si="34"/>
        <v>409.11</v>
      </c>
      <c r="CT31">
        <f t="shared" si="35"/>
        <v>222.23</v>
      </c>
      <c r="CU31">
        <f t="shared" si="36"/>
        <v>0</v>
      </c>
      <c r="CV31">
        <f t="shared" si="37"/>
        <v>1.06</v>
      </c>
      <c r="CW31">
        <f t="shared" si="38"/>
        <v>0</v>
      </c>
      <c r="CX31">
        <f t="shared" si="38"/>
        <v>0</v>
      </c>
      <c r="CY31">
        <f t="shared" si="39"/>
        <v>10667.04</v>
      </c>
      <c r="CZ31">
        <f t="shared" si="40"/>
        <v>1333.38</v>
      </c>
      <c r="DC31" t="s">
        <v>4</v>
      </c>
      <c r="DD31" t="s">
        <v>4</v>
      </c>
      <c r="DE31" t="s">
        <v>4</v>
      </c>
      <c r="DF31" t="s">
        <v>4</v>
      </c>
      <c r="DG31" t="s">
        <v>4</v>
      </c>
      <c r="DH31" t="s">
        <v>4</v>
      </c>
      <c r="DI31" t="s">
        <v>4</v>
      </c>
      <c r="DJ31" t="s">
        <v>4</v>
      </c>
      <c r="DK31" t="s">
        <v>4</v>
      </c>
      <c r="DL31" t="s">
        <v>4</v>
      </c>
      <c r="DM31" t="s">
        <v>4</v>
      </c>
      <c r="DN31">
        <v>0</v>
      </c>
      <c r="DO31">
        <v>0</v>
      </c>
      <c r="DP31">
        <v>1</v>
      </c>
      <c r="DQ31">
        <v>1</v>
      </c>
      <c r="DU31">
        <v>1005</v>
      </c>
      <c r="DV31" t="s">
        <v>23</v>
      </c>
      <c r="DW31" t="s">
        <v>23</v>
      </c>
      <c r="DX31">
        <v>1</v>
      </c>
      <c r="EE31">
        <v>25787503</v>
      </c>
      <c r="EF31">
        <v>1</v>
      </c>
      <c r="EG31" t="s">
        <v>25</v>
      </c>
      <c r="EH31">
        <v>0</v>
      </c>
      <c r="EI31" t="s">
        <v>4</v>
      </c>
      <c r="EJ31">
        <v>4</v>
      </c>
      <c r="EK31">
        <v>2</v>
      </c>
      <c r="EL31" t="s">
        <v>26</v>
      </c>
      <c r="EM31" t="s">
        <v>27</v>
      </c>
      <c r="EO31" t="s">
        <v>4</v>
      </c>
      <c r="EQ31">
        <v>0</v>
      </c>
      <c r="ER31">
        <v>1524.83</v>
      </c>
      <c r="ES31">
        <v>473.38</v>
      </c>
      <c r="ET31">
        <v>829.22</v>
      </c>
      <c r="EU31">
        <v>409.11</v>
      </c>
      <c r="EV31">
        <v>222.23</v>
      </c>
      <c r="EW31">
        <v>1.06</v>
      </c>
      <c r="EX31">
        <v>0</v>
      </c>
      <c r="EY31">
        <v>0</v>
      </c>
      <c r="FQ31">
        <v>0</v>
      </c>
      <c r="FR31">
        <f t="shared" si="41"/>
        <v>0</v>
      </c>
      <c r="FS31">
        <v>0</v>
      </c>
      <c r="FX31">
        <v>80</v>
      </c>
      <c r="FY31">
        <v>10</v>
      </c>
      <c r="GA31" t="s">
        <v>4</v>
      </c>
      <c r="GD31">
        <v>0</v>
      </c>
      <c r="GF31">
        <v>276091928</v>
      </c>
      <c r="GG31">
        <v>2</v>
      </c>
      <c r="GH31">
        <v>1</v>
      </c>
      <c r="GI31">
        <v>-2</v>
      </c>
      <c r="GJ31">
        <v>0</v>
      </c>
      <c r="GK31">
        <f>ROUND(R31*(R12)/100,2)</f>
        <v>26510.33</v>
      </c>
      <c r="GL31">
        <f t="shared" si="42"/>
        <v>0</v>
      </c>
      <c r="GM31">
        <f t="shared" si="43"/>
        <v>130000.55</v>
      </c>
      <c r="GN31">
        <f t="shared" si="44"/>
        <v>0</v>
      </c>
      <c r="GO31">
        <f t="shared" si="45"/>
        <v>0</v>
      </c>
      <c r="GP31">
        <f t="shared" si="46"/>
        <v>130000.55</v>
      </c>
      <c r="GR31">
        <v>0</v>
      </c>
      <c r="GS31">
        <v>3</v>
      </c>
      <c r="GT31">
        <v>0</v>
      </c>
      <c r="GU31" t="s">
        <v>4</v>
      </c>
      <c r="GV31">
        <f t="shared" si="47"/>
        <v>0</v>
      </c>
      <c r="GW31">
        <v>1</v>
      </c>
      <c r="GX31">
        <f t="shared" si="48"/>
        <v>0</v>
      </c>
      <c r="HA31">
        <v>0</v>
      </c>
      <c r="HB31">
        <v>0</v>
      </c>
      <c r="HC31">
        <f t="shared" si="49"/>
        <v>0</v>
      </c>
      <c r="IK31">
        <v>0</v>
      </c>
    </row>
    <row r="33" spans="1:206">
      <c r="A33" s="2">
        <v>51</v>
      </c>
      <c r="B33" s="2">
        <f>B20</f>
        <v>1</v>
      </c>
      <c r="C33" s="2">
        <f>A20</f>
        <v>3</v>
      </c>
      <c r="D33" s="2">
        <f>ROW(A20)</f>
        <v>20</v>
      </c>
      <c r="E33" s="2"/>
      <c r="F33" s="2" t="str">
        <f>IF(F20&lt;&gt;"",F20,"")</f>
        <v>Новая локальная смета</v>
      </c>
      <c r="G33" s="2" t="str">
        <f>IF(G20&lt;&gt;"",G20,"")</f>
        <v>Новая локальная смета</v>
      </c>
      <c r="H33" s="2">
        <v>0</v>
      </c>
      <c r="I33" s="2"/>
      <c r="J33" s="2"/>
      <c r="K33" s="2"/>
      <c r="L33" s="2"/>
      <c r="M33" s="2"/>
      <c r="N33" s="2"/>
      <c r="O33" s="2">
        <f t="shared" ref="O33:T33" si="50">ROUND(AB33,2)</f>
        <v>381880.71</v>
      </c>
      <c r="P33" s="2">
        <f t="shared" si="50"/>
        <v>279606.42</v>
      </c>
      <c r="Q33" s="2">
        <f t="shared" si="50"/>
        <v>53641.54</v>
      </c>
      <c r="R33" s="2">
        <f t="shared" si="50"/>
        <v>25667.040000000001</v>
      </c>
      <c r="S33" s="2">
        <f t="shared" si="50"/>
        <v>48632.75</v>
      </c>
      <c r="T33" s="2">
        <f t="shared" si="50"/>
        <v>0</v>
      </c>
      <c r="U33" s="2">
        <f>AH33</f>
        <v>234.06480000000002</v>
      </c>
      <c r="V33" s="2">
        <f>AI33</f>
        <v>0</v>
      </c>
      <c r="W33" s="2">
        <f>ROUND(AJ33,2)</f>
        <v>0</v>
      </c>
      <c r="X33" s="2">
        <f>ROUND(AK33,2)</f>
        <v>38075.230000000003</v>
      </c>
      <c r="Y33" s="2">
        <f>ROUND(AL33,2)</f>
        <v>4863.28</v>
      </c>
      <c r="Z33" s="2"/>
      <c r="AA33" s="2"/>
      <c r="AB33" s="2">
        <f>ROUND(SUMIF(AA24:AA31,"=25859284",O24:O31),2)</f>
        <v>381880.71</v>
      </c>
      <c r="AC33" s="2">
        <f>ROUND(SUMIF(AA24:AA31,"=25859284",P24:P31),2)</f>
        <v>279606.42</v>
      </c>
      <c r="AD33" s="2">
        <f>ROUND(SUMIF(AA24:AA31,"=25859284",Q24:Q31),2)</f>
        <v>53641.54</v>
      </c>
      <c r="AE33" s="2">
        <f>ROUND(SUMIF(AA24:AA31,"=25859284",R24:R31),2)</f>
        <v>25667.040000000001</v>
      </c>
      <c r="AF33" s="2">
        <f>ROUND(SUMIF(AA24:AA31,"=25859284",S24:S31),2)</f>
        <v>48632.75</v>
      </c>
      <c r="AG33" s="2">
        <f>ROUND(SUMIF(AA24:AA31,"=25859284",T24:T31),2)</f>
        <v>0</v>
      </c>
      <c r="AH33" s="2">
        <f>SUMIF(AA24:AA31,"=25859284",U24:U31)</f>
        <v>234.06480000000002</v>
      </c>
      <c r="AI33" s="2">
        <f>SUMIF(AA24:AA31,"=25859284",V24:V31)</f>
        <v>0</v>
      </c>
      <c r="AJ33" s="2">
        <f>ROUND(SUMIF(AA24:AA31,"=25859284",W24:W31),2)</f>
        <v>0</v>
      </c>
      <c r="AK33" s="2">
        <f>ROUND(SUMIF(AA24:AA31,"=25859284",X24:X31),2)</f>
        <v>38075.230000000003</v>
      </c>
      <c r="AL33" s="2">
        <f>ROUND(SUMIF(AA24:AA31,"=25859284",Y24:Y31),2)</f>
        <v>4863.28</v>
      </c>
      <c r="AM33" s="2"/>
      <c r="AN33" s="2"/>
      <c r="AO33" s="2">
        <f t="shared" ref="AO33:BD33" si="51">ROUND(BX33,2)</f>
        <v>0</v>
      </c>
      <c r="AP33" s="2">
        <f t="shared" si="51"/>
        <v>0</v>
      </c>
      <c r="AQ33" s="2">
        <f t="shared" si="51"/>
        <v>0</v>
      </c>
      <c r="AR33" s="2">
        <f t="shared" si="51"/>
        <v>452539.63</v>
      </c>
      <c r="AS33" s="2">
        <f t="shared" si="51"/>
        <v>18461.419999999998</v>
      </c>
      <c r="AT33" s="2">
        <f t="shared" si="51"/>
        <v>0</v>
      </c>
      <c r="AU33" s="2">
        <f t="shared" si="51"/>
        <v>434078.21</v>
      </c>
      <c r="AV33" s="2">
        <f t="shared" si="51"/>
        <v>279606.42</v>
      </c>
      <c r="AW33" s="2">
        <f t="shared" si="51"/>
        <v>279606.42</v>
      </c>
      <c r="AX33" s="2">
        <f t="shared" si="51"/>
        <v>0</v>
      </c>
      <c r="AY33" s="2">
        <f t="shared" si="51"/>
        <v>279606.42</v>
      </c>
      <c r="AZ33" s="2">
        <f t="shared" si="51"/>
        <v>0</v>
      </c>
      <c r="BA33" s="2">
        <f t="shared" si="51"/>
        <v>0</v>
      </c>
      <c r="BB33" s="2">
        <f t="shared" si="51"/>
        <v>0</v>
      </c>
      <c r="BC33" s="2">
        <f t="shared" si="51"/>
        <v>0</v>
      </c>
      <c r="BD33" s="2">
        <f t="shared" si="51"/>
        <v>0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>
        <f>ROUND(SUMIF(AA24:AA31,"=25859284",FQ24:FQ31),2)</f>
        <v>0</v>
      </c>
      <c r="BY33" s="2">
        <f>ROUND(SUMIF(AA24:AA31,"=25859284",FR24:FR31),2)</f>
        <v>0</v>
      </c>
      <c r="BZ33" s="2">
        <f>ROUND(SUMIF(AA24:AA31,"=25859284",GL24:GL31),2)</f>
        <v>0</v>
      </c>
      <c r="CA33" s="2">
        <f>ROUND(SUMIF(AA24:AA31,"=25859284",GM24:GM31),2)</f>
        <v>452539.63</v>
      </c>
      <c r="CB33" s="2">
        <f>ROUND(SUMIF(AA24:AA31,"=25859284",GN24:GN31),2)</f>
        <v>18461.419999999998</v>
      </c>
      <c r="CC33" s="2">
        <f>ROUND(SUMIF(AA24:AA31,"=25859284",GO24:GO31),2)</f>
        <v>0</v>
      </c>
      <c r="CD33" s="2">
        <f>ROUND(SUMIF(AA24:AA31,"=25859284",GP24:GP31),2)</f>
        <v>434078.21</v>
      </c>
      <c r="CE33" s="2">
        <f>AC33-BX33</f>
        <v>279606.42</v>
      </c>
      <c r="CF33" s="2">
        <f>AC33-BY33</f>
        <v>279606.42</v>
      </c>
      <c r="CG33" s="2">
        <f>BX33-BZ33</f>
        <v>0</v>
      </c>
      <c r="CH33" s="2">
        <f>AC33-BX33-BY33+BZ33</f>
        <v>279606.42</v>
      </c>
      <c r="CI33" s="2">
        <f>BY33-BZ33</f>
        <v>0</v>
      </c>
      <c r="CJ33" s="2">
        <f>ROUND(SUMIF(AA24:AA31,"=25859284",GX24:GX31),2)</f>
        <v>0</v>
      </c>
      <c r="CK33" s="2">
        <f>ROUND(SUMIF(AA24:AA31,"=25859284",GY24:GY31),2)</f>
        <v>0</v>
      </c>
      <c r="CL33" s="2">
        <f>ROUND(SUMIF(AA24:AA31,"=25859284",GZ24:GZ31),2)</f>
        <v>0</v>
      </c>
      <c r="CM33" s="2">
        <f>ROUND(SUMIF(AA24:AA31,"=25859284",HD24:HD31),2)</f>
        <v>0</v>
      </c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>
        <v>0</v>
      </c>
    </row>
    <row r="35" spans="1:206">
      <c r="A35" s="4">
        <v>50</v>
      </c>
      <c r="B35" s="4">
        <v>0</v>
      </c>
      <c r="C35" s="4">
        <v>0</v>
      </c>
      <c r="D35" s="4">
        <v>1</v>
      </c>
      <c r="E35" s="4">
        <v>201</v>
      </c>
      <c r="F35" s="4">
        <f>ROUND(Source!O33,O35)</f>
        <v>381880.71</v>
      </c>
      <c r="G35" s="4" t="s">
        <v>58</v>
      </c>
      <c r="H35" s="4" t="s">
        <v>59</v>
      </c>
      <c r="I35" s="4"/>
      <c r="J35" s="4"/>
      <c r="K35" s="4">
        <v>201</v>
      </c>
      <c r="L35" s="4">
        <v>1</v>
      </c>
      <c r="M35" s="4">
        <v>3</v>
      </c>
      <c r="N35" s="4" t="s">
        <v>4</v>
      </c>
      <c r="O35" s="4">
        <v>2</v>
      </c>
      <c r="P35" s="4"/>
      <c r="Q35" s="4"/>
      <c r="R35" s="4"/>
      <c r="S35" s="4"/>
      <c r="T35" s="4"/>
      <c r="U35" s="4"/>
      <c r="V35" s="4"/>
      <c r="W35" s="4"/>
    </row>
    <row r="36" spans="1:206">
      <c r="A36" s="4">
        <v>50</v>
      </c>
      <c r="B36" s="4">
        <v>0</v>
      </c>
      <c r="C36" s="4">
        <v>0</v>
      </c>
      <c r="D36" s="4">
        <v>1</v>
      </c>
      <c r="E36" s="4">
        <v>202</v>
      </c>
      <c r="F36" s="4">
        <f>ROUND(Source!P33,O36)</f>
        <v>279606.42</v>
      </c>
      <c r="G36" s="4" t="s">
        <v>60</v>
      </c>
      <c r="H36" s="4" t="s">
        <v>61</v>
      </c>
      <c r="I36" s="4"/>
      <c r="J36" s="4"/>
      <c r="K36" s="4">
        <v>202</v>
      </c>
      <c r="L36" s="4">
        <v>2</v>
      </c>
      <c r="M36" s="4">
        <v>3</v>
      </c>
      <c r="N36" s="4" t="s">
        <v>4</v>
      </c>
      <c r="O36" s="4">
        <v>2</v>
      </c>
      <c r="P36" s="4"/>
      <c r="Q36" s="4"/>
      <c r="R36" s="4"/>
      <c r="S36" s="4"/>
      <c r="T36" s="4"/>
      <c r="U36" s="4"/>
      <c r="V36" s="4"/>
      <c r="W36" s="4"/>
    </row>
    <row r="37" spans="1:206">
      <c r="A37" s="4">
        <v>50</v>
      </c>
      <c r="B37" s="4">
        <v>0</v>
      </c>
      <c r="C37" s="4">
        <v>0</v>
      </c>
      <c r="D37" s="4">
        <v>1</v>
      </c>
      <c r="E37" s="4">
        <v>222</v>
      </c>
      <c r="F37" s="4">
        <f>ROUND(Source!AO33,O37)</f>
        <v>0</v>
      </c>
      <c r="G37" s="4" t="s">
        <v>62</v>
      </c>
      <c r="H37" s="4" t="s">
        <v>63</v>
      </c>
      <c r="I37" s="4"/>
      <c r="J37" s="4"/>
      <c r="K37" s="4">
        <v>222</v>
      </c>
      <c r="L37" s="4">
        <v>3</v>
      </c>
      <c r="M37" s="4">
        <v>3</v>
      </c>
      <c r="N37" s="4" t="s">
        <v>4</v>
      </c>
      <c r="O37" s="4">
        <v>2</v>
      </c>
      <c r="P37" s="4"/>
      <c r="Q37" s="4"/>
      <c r="R37" s="4"/>
      <c r="S37" s="4"/>
      <c r="T37" s="4"/>
      <c r="U37" s="4"/>
      <c r="V37" s="4"/>
      <c r="W37" s="4"/>
    </row>
    <row r="38" spans="1:206">
      <c r="A38" s="4">
        <v>50</v>
      </c>
      <c r="B38" s="4">
        <v>0</v>
      </c>
      <c r="C38" s="4">
        <v>0</v>
      </c>
      <c r="D38" s="4">
        <v>1</v>
      </c>
      <c r="E38" s="4">
        <v>225</v>
      </c>
      <c r="F38" s="4">
        <f>ROUND(Source!AV33,O38)</f>
        <v>279606.42</v>
      </c>
      <c r="G38" s="4" t="s">
        <v>64</v>
      </c>
      <c r="H38" s="4" t="s">
        <v>65</v>
      </c>
      <c r="I38" s="4"/>
      <c r="J38" s="4"/>
      <c r="K38" s="4">
        <v>225</v>
      </c>
      <c r="L38" s="4">
        <v>4</v>
      </c>
      <c r="M38" s="4">
        <v>3</v>
      </c>
      <c r="N38" s="4" t="s">
        <v>4</v>
      </c>
      <c r="O38" s="4">
        <v>2</v>
      </c>
      <c r="P38" s="4"/>
      <c r="Q38" s="4"/>
      <c r="R38" s="4"/>
      <c r="S38" s="4"/>
      <c r="T38" s="4"/>
      <c r="U38" s="4"/>
      <c r="V38" s="4"/>
      <c r="W38" s="4"/>
    </row>
    <row r="39" spans="1:206">
      <c r="A39" s="4">
        <v>50</v>
      </c>
      <c r="B39" s="4">
        <v>0</v>
      </c>
      <c r="C39" s="4">
        <v>0</v>
      </c>
      <c r="D39" s="4">
        <v>1</v>
      </c>
      <c r="E39" s="4">
        <v>226</v>
      </c>
      <c r="F39" s="4">
        <f>ROUND(Source!AW33,O39)</f>
        <v>279606.42</v>
      </c>
      <c r="G39" s="4" t="s">
        <v>66</v>
      </c>
      <c r="H39" s="4" t="s">
        <v>67</v>
      </c>
      <c r="I39" s="4"/>
      <c r="J39" s="4"/>
      <c r="K39" s="4">
        <v>226</v>
      </c>
      <c r="L39" s="4">
        <v>5</v>
      </c>
      <c r="M39" s="4">
        <v>3</v>
      </c>
      <c r="N39" s="4" t="s">
        <v>4</v>
      </c>
      <c r="O39" s="4">
        <v>2</v>
      </c>
      <c r="P39" s="4"/>
      <c r="Q39" s="4"/>
      <c r="R39" s="4"/>
      <c r="S39" s="4"/>
      <c r="T39" s="4"/>
      <c r="U39" s="4"/>
      <c r="V39" s="4"/>
      <c r="W39" s="4"/>
    </row>
    <row r="40" spans="1:206">
      <c r="A40" s="4">
        <v>50</v>
      </c>
      <c r="B40" s="4">
        <v>0</v>
      </c>
      <c r="C40" s="4">
        <v>0</v>
      </c>
      <c r="D40" s="4">
        <v>1</v>
      </c>
      <c r="E40" s="4">
        <v>227</v>
      </c>
      <c r="F40" s="4">
        <f>ROUND(Source!AX33,O40)</f>
        <v>0</v>
      </c>
      <c r="G40" s="4" t="s">
        <v>68</v>
      </c>
      <c r="H40" s="4" t="s">
        <v>69</v>
      </c>
      <c r="I40" s="4"/>
      <c r="J40" s="4"/>
      <c r="K40" s="4">
        <v>227</v>
      </c>
      <c r="L40" s="4">
        <v>6</v>
      </c>
      <c r="M40" s="4">
        <v>3</v>
      </c>
      <c r="N40" s="4" t="s">
        <v>4</v>
      </c>
      <c r="O40" s="4">
        <v>2</v>
      </c>
      <c r="P40" s="4"/>
      <c r="Q40" s="4"/>
      <c r="R40" s="4"/>
      <c r="S40" s="4"/>
      <c r="T40" s="4"/>
      <c r="U40" s="4"/>
      <c r="V40" s="4"/>
      <c r="W40" s="4"/>
    </row>
    <row r="41" spans="1:206">
      <c r="A41" s="4">
        <v>50</v>
      </c>
      <c r="B41" s="4">
        <v>0</v>
      </c>
      <c r="C41" s="4">
        <v>0</v>
      </c>
      <c r="D41" s="4">
        <v>1</v>
      </c>
      <c r="E41" s="4">
        <v>228</v>
      </c>
      <c r="F41" s="4">
        <f>ROUND(Source!AY33,O41)</f>
        <v>279606.42</v>
      </c>
      <c r="G41" s="4" t="s">
        <v>70</v>
      </c>
      <c r="H41" s="4" t="s">
        <v>71</v>
      </c>
      <c r="I41" s="4"/>
      <c r="J41" s="4"/>
      <c r="K41" s="4">
        <v>228</v>
      </c>
      <c r="L41" s="4">
        <v>7</v>
      </c>
      <c r="M41" s="4">
        <v>3</v>
      </c>
      <c r="N41" s="4" t="s">
        <v>4</v>
      </c>
      <c r="O41" s="4">
        <v>2</v>
      </c>
      <c r="P41" s="4"/>
      <c r="Q41" s="4"/>
      <c r="R41" s="4"/>
      <c r="S41" s="4"/>
      <c r="T41" s="4"/>
      <c r="U41" s="4"/>
      <c r="V41" s="4"/>
      <c r="W41" s="4"/>
    </row>
    <row r="42" spans="1:206">
      <c r="A42" s="4">
        <v>50</v>
      </c>
      <c r="B42" s="4">
        <v>0</v>
      </c>
      <c r="C42" s="4">
        <v>0</v>
      </c>
      <c r="D42" s="4">
        <v>1</v>
      </c>
      <c r="E42" s="4">
        <v>216</v>
      </c>
      <c r="F42" s="4">
        <f>ROUND(Source!AP33,O42)</f>
        <v>0</v>
      </c>
      <c r="G42" s="4" t="s">
        <v>72</v>
      </c>
      <c r="H42" s="4" t="s">
        <v>73</v>
      </c>
      <c r="I42" s="4"/>
      <c r="J42" s="4"/>
      <c r="K42" s="4">
        <v>216</v>
      </c>
      <c r="L42" s="4">
        <v>8</v>
      </c>
      <c r="M42" s="4">
        <v>3</v>
      </c>
      <c r="N42" s="4" t="s">
        <v>4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06">
      <c r="A43" s="4">
        <v>50</v>
      </c>
      <c r="B43" s="4">
        <v>0</v>
      </c>
      <c r="C43" s="4">
        <v>0</v>
      </c>
      <c r="D43" s="4">
        <v>1</v>
      </c>
      <c r="E43" s="4">
        <v>223</v>
      </c>
      <c r="F43" s="4">
        <f>ROUND(Source!AQ33,O43)</f>
        <v>0</v>
      </c>
      <c r="G43" s="4" t="s">
        <v>74</v>
      </c>
      <c r="H43" s="4" t="s">
        <v>75</v>
      </c>
      <c r="I43" s="4"/>
      <c r="J43" s="4"/>
      <c r="K43" s="4">
        <v>223</v>
      </c>
      <c r="L43" s="4">
        <v>9</v>
      </c>
      <c r="M43" s="4">
        <v>3</v>
      </c>
      <c r="N43" s="4" t="s">
        <v>4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06">
      <c r="A44" s="4">
        <v>50</v>
      </c>
      <c r="B44" s="4">
        <v>0</v>
      </c>
      <c r="C44" s="4">
        <v>0</v>
      </c>
      <c r="D44" s="4">
        <v>1</v>
      </c>
      <c r="E44" s="4">
        <v>229</v>
      </c>
      <c r="F44" s="4">
        <f>ROUND(Source!AZ33,O44)</f>
        <v>0</v>
      </c>
      <c r="G44" s="4" t="s">
        <v>76</v>
      </c>
      <c r="H44" s="4" t="s">
        <v>77</v>
      </c>
      <c r="I44" s="4"/>
      <c r="J44" s="4"/>
      <c r="K44" s="4">
        <v>229</v>
      </c>
      <c r="L44" s="4">
        <v>10</v>
      </c>
      <c r="M44" s="4">
        <v>3</v>
      </c>
      <c r="N44" s="4" t="s">
        <v>4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06">
      <c r="A45" s="4">
        <v>50</v>
      </c>
      <c r="B45" s="4">
        <v>0</v>
      </c>
      <c r="C45" s="4">
        <v>0</v>
      </c>
      <c r="D45" s="4">
        <v>1</v>
      </c>
      <c r="E45" s="4">
        <v>203</v>
      </c>
      <c r="F45" s="4">
        <f>ROUND(Source!Q33,O45)</f>
        <v>53641.54</v>
      </c>
      <c r="G45" s="4" t="s">
        <v>78</v>
      </c>
      <c r="H45" s="4" t="s">
        <v>79</v>
      </c>
      <c r="I45" s="4"/>
      <c r="J45" s="4"/>
      <c r="K45" s="4">
        <v>203</v>
      </c>
      <c r="L45" s="4">
        <v>11</v>
      </c>
      <c r="M45" s="4">
        <v>3</v>
      </c>
      <c r="N45" s="4" t="s">
        <v>4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06">
      <c r="A46" s="4">
        <v>50</v>
      </c>
      <c r="B46" s="4">
        <v>0</v>
      </c>
      <c r="C46" s="4">
        <v>0</v>
      </c>
      <c r="D46" s="4">
        <v>1</v>
      </c>
      <c r="E46" s="4">
        <v>231</v>
      </c>
      <c r="F46" s="4">
        <f>ROUND(Source!BB33,O46)</f>
        <v>0</v>
      </c>
      <c r="G46" s="4" t="s">
        <v>80</v>
      </c>
      <c r="H46" s="4" t="s">
        <v>81</v>
      </c>
      <c r="I46" s="4"/>
      <c r="J46" s="4"/>
      <c r="K46" s="4">
        <v>231</v>
      </c>
      <c r="L46" s="4">
        <v>12</v>
      </c>
      <c r="M46" s="4">
        <v>3</v>
      </c>
      <c r="N46" s="4" t="s">
        <v>4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06">
      <c r="A47" s="4">
        <v>50</v>
      </c>
      <c r="B47" s="4">
        <v>0</v>
      </c>
      <c r="C47" s="4">
        <v>0</v>
      </c>
      <c r="D47" s="4">
        <v>1</v>
      </c>
      <c r="E47" s="4">
        <v>204</v>
      </c>
      <c r="F47" s="4">
        <f>ROUND(Source!R33,O47)</f>
        <v>25667.040000000001</v>
      </c>
      <c r="G47" s="4" t="s">
        <v>82</v>
      </c>
      <c r="H47" s="4" t="s">
        <v>83</v>
      </c>
      <c r="I47" s="4"/>
      <c r="J47" s="4"/>
      <c r="K47" s="4">
        <v>204</v>
      </c>
      <c r="L47" s="4">
        <v>13</v>
      </c>
      <c r="M47" s="4">
        <v>3</v>
      </c>
      <c r="N47" s="4" t="s">
        <v>4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06">
      <c r="A48" s="4">
        <v>50</v>
      </c>
      <c r="B48" s="4">
        <v>0</v>
      </c>
      <c r="C48" s="4">
        <v>0</v>
      </c>
      <c r="D48" s="4">
        <v>1</v>
      </c>
      <c r="E48" s="4">
        <v>205</v>
      </c>
      <c r="F48" s="4">
        <f>ROUND(Source!S33,O48)</f>
        <v>48632.75</v>
      </c>
      <c r="G48" s="4" t="s">
        <v>84</v>
      </c>
      <c r="H48" s="4" t="s">
        <v>85</v>
      </c>
      <c r="I48" s="4"/>
      <c r="J48" s="4"/>
      <c r="K48" s="4">
        <v>205</v>
      </c>
      <c r="L48" s="4">
        <v>14</v>
      </c>
      <c r="M48" s="4">
        <v>3</v>
      </c>
      <c r="N48" s="4" t="s">
        <v>4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06">
      <c r="A49" s="4">
        <v>50</v>
      </c>
      <c r="B49" s="4">
        <v>0</v>
      </c>
      <c r="C49" s="4">
        <v>0</v>
      </c>
      <c r="D49" s="4">
        <v>1</v>
      </c>
      <c r="E49" s="4">
        <v>232</v>
      </c>
      <c r="F49" s="4">
        <f>ROUND(Source!BC33,O49)</f>
        <v>0</v>
      </c>
      <c r="G49" s="4" t="s">
        <v>86</v>
      </c>
      <c r="H49" s="4" t="s">
        <v>87</v>
      </c>
      <c r="I49" s="4"/>
      <c r="J49" s="4"/>
      <c r="K49" s="4">
        <v>232</v>
      </c>
      <c r="L49" s="4">
        <v>15</v>
      </c>
      <c r="M49" s="4">
        <v>3</v>
      </c>
      <c r="N49" s="4" t="s">
        <v>4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06">
      <c r="A50" s="4">
        <v>50</v>
      </c>
      <c r="B50" s="4">
        <v>0</v>
      </c>
      <c r="C50" s="4">
        <v>0</v>
      </c>
      <c r="D50" s="4">
        <v>1</v>
      </c>
      <c r="E50" s="4">
        <v>214</v>
      </c>
      <c r="F50" s="4">
        <f>ROUND(Source!AS33,O50)</f>
        <v>18461.419999999998</v>
      </c>
      <c r="G50" s="4" t="s">
        <v>88</v>
      </c>
      <c r="H50" s="4" t="s">
        <v>89</v>
      </c>
      <c r="I50" s="4"/>
      <c r="J50" s="4"/>
      <c r="K50" s="4">
        <v>214</v>
      </c>
      <c r="L50" s="4">
        <v>16</v>
      </c>
      <c r="M50" s="4">
        <v>3</v>
      </c>
      <c r="N50" s="4" t="s">
        <v>4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06">
      <c r="A51" s="4">
        <v>50</v>
      </c>
      <c r="B51" s="4">
        <v>0</v>
      </c>
      <c r="C51" s="4">
        <v>0</v>
      </c>
      <c r="D51" s="4">
        <v>1</v>
      </c>
      <c r="E51" s="4">
        <v>215</v>
      </c>
      <c r="F51" s="4">
        <f>ROUND(Source!AT33,O51)</f>
        <v>0</v>
      </c>
      <c r="G51" s="4" t="s">
        <v>90</v>
      </c>
      <c r="H51" s="4" t="s">
        <v>91</v>
      </c>
      <c r="I51" s="4"/>
      <c r="J51" s="4"/>
      <c r="K51" s="4">
        <v>215</v>
      </c>
      <c r="L51" s="4">
        <v>17</v>
      </c>
      <c r="M51" s="4">
        <v>3</v>
      </c>
      <c r="N51" s="4" t="s">
        <v>4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06">
      <c r="A52" s="4">
        <v>50</v>
      </c>
      <c r="B52" s="4">
        <v>0</v>
      </c>
      <c r="C52" s="4">
        <v>0</v>
      </c>
      <c r="D52" s="4">
        <v>1</v>
      </c>
      <c r="E52" s="4">
        <v>217</v>
      </c>
      <c r="F52" s="4">
        <f>ROUND(Source!AU33,O52)</f>
        <v>434078.21</v>
      </c>
      <c r="G52" s="4" t="s">
        <v>92</v>
      </c>
      <c r="H52" s="4" t="s">
        <v>93</v>
      </c>
      <c r="I52" s="4"/>
      <c r="J52" s="4"/>
      <c r="K52" s="4">
        <v>217</v>
      </c>
      <c r="L52" s="4">
        <v>18</v>
      </c>
      <c r="M52" s="4">
        <v>3</v>
      </c>
      <c r="N52" s="4" t="s">
        <v>4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06">
      <c r="A53" s="4">
        <v>50</v>
      </c>
      <c r="B53" s="4">
        <v>0</v>
      </c>
      <c r="C53" s="4">
        <v>0</v>
      </c>
      <c r="D53" s="4">
        <v>1</v>
      </c>
      <c r="E53" s="4">
        <v>230</v>
      </c>
      <c r="F53" s="4">
        <f>ROUND(Source!BA33,O53)</f>
        <v>0</v>
      </c>
      <c r="G53" s="4" t="s">
        <v>94</v>
      </c>
      <c r="H53" s="4" t="s">
        <v>95</v>
      </c>
      <c r="I53" s="4"/>
      <c r="J53" s="4"/>
      <c r="K53" s="4">
        <v>230</v>
      </c>
      <c r="L53" s="4">
        <v>19</v>
      </c>
      <c r="M53" s="4">
        <v>3</v>
      </c>
      <c r="N53" s="4" t="s">
        <v>4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06">
      <c r="A54" s="4">
        <v>50</v>
      </c>
      <c r="B54" s="4">
        <v>0</v>
      </c>
      <c r="C54" s="4">
        <v>0</v>
      </c>
      <c r="D54" s="4">
        <v>1</v>
      </c>
      <c r="E54" s="4">
        <v>206</v>
      </c>
      <c r="F54" s="4">
        <f>ROUND(Source!T33,O54)</f>
        <v>0</v>
      </c>
      <c r="G54" s="4" t="s">
        <v>96</v>
      </c>
      <c r="H54" s="4" t="s">
        <v>97</v>
      </c>
      <c r="I54" s="4"/>
      <c r="J54" s="4"/>
      <c r="K54" s="4">
        <v>206</v>
      </c>
      <c r="L54" s="4">
        <v>20</v>
      </c>
      <c r="M54" s="4">
        <v>3</v>
      </c>
      <c r="N54" s="4" t="s">
        <v>4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06">
      <c r="A55" s="4">
        <v>50</v>
      </c>
      <c r="B55" s="4">
        <v>0</v>
      </c>
      <c r="C55" s="4">
        <v>0</v>
      </c>
      <c r="D55" s="4">
        <v>1</v>
      </c>
      <c r="E55" s="4">
        <v>207</v>
      </c>
      <c r="F55" s="4">
        <f>Source!U33</f>
        <v>234.06480000000002</v>
      </c>
      <c r="G55" s="4" t="s">
        <v>98</v>
      </c>
      <c r="H55" s="4" t="s">
        <v>99</v>
      </c>
      <c r="I55" s="4"/>
      <c r="J55" s="4"/>
      <c r="K55" s="4">
        <v>207</v>
      </c>
      <c r="L55" s="4">
        <v>21</v>
      </c>
      <c r="M55" s="4">
        <v>3</v>
      </c>
      <c r="N55" s="4" t="s">
        <v>4</v>
      </c>
      <c r="O55" s="4">
        <v>-1</v>
      </c>
      <c r="P55" s="4"/>
      <c r="Q55" s="4"/>
      <c r="R55" s="4"/>
      <c r="S55" s="4"/>
      <c r="T55" s="4"/>
      <c r="U55" s="4"/>
      <c r="V55" s="4"/>
      <c r="W55" s="4"/>
    </row>
    <row r="56" spans="1:206">
      <c r="A56" s="4">
        <v>50</v>
      </c>
      <c r="B56" s="4">
        <v>0</v>
      </c>
      <c r="C56" s="4">
        <v>0</v>
      </c>
      <c r="D56" s="4">
        <v>1</v>
      </c>
      <c r="E56" s="4">
        <v>208</v>
      </c>
      <c r="F56" s="4">
        <f>Source!V33</f>
        <v>0</v>
      </c>
      <c r="G56" s="4" t="s">
        <v>100</v>
      </c>
      <c r="H56" s="4" t="s">
        <v>101</v>
      </c>
      <c r="I56" s="4"/>
      <c r="J56" s="4"/>
      <c r="K56" s="4">
        <v>208</v>
      </c>
      <c r="L56" s="4">
        <v>22</v>
      </c>
      <c r="M56" s="4">
        <v>3</v>
      </c>
      <c r="N56" s="4" t="s">
        <v>4</v>
      </c>
      <c r="O56" s="4">
        <v>-1</v>
      </c>
      <c r="P56" s="4"/>
      <c r="Q56" s="4"/>
      <c r="R56" s="4"/>
      <c r="S56" s="4"/>
      <c r="T56" s="4"/>
      <c r="U56" s="4"/>
      <c r="V56" s="4"/>
      <c r="W56" s="4"/>
    </row>
    <row r="57" spans="1:206">
      <c r="A57" s="4">
        <v>50</v>
      </c>
      <c r="B57" s="4">
        <v>0</v>
      </c>
      <c r="C57" s="4">
        <v>0</v>
      </c>
      <c r="D57" s="4">
        <v>1</v>
      </c>
      <c r="E57" s="4">
        <v>209</v>
      </c>
      <c r="F57" s="4">
        <f>ROUND(Source!W33,O57)</f>
        <v>0</v>
      </c>
      <c r="G57" s="4" t="s">
        <v>102</v>
      </c>
      <c r="H57" s="4" t="s">
        <v>103</v>
      </c>
      <c r="I57" s="4"/>
      <c r="J57" s="4"/>
      <c r="K57" s="4">
        <v>209</v>
      </c>
      <c r="L57" s="4">
        <v>23</v>
      </c>
      <c r="M57" s="4">
        <v>3</v>
      </c>
      <c r="N57" s="4" t="s">
        <v>4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06">
      <c r="A58" s="4">
        <v>50</v>
      </c>
      <c r="B58" s="4">
        <v>0</v>
      </c>
      <c r="C58" s="4">
        <v>0</v>
      </c>
      <c r="D58" s="4">
        <v>1</v>
      </c>
      <c r="E58" s="4">
        <v>233</v>
      </c>
      <c r="F58" s="4">
        <f>ROUND(Source!BD33,O58)</f>
        <v>0</v>
      </c>
      <c r="G58" s="4" t="s">
        <v>104</v>
      </c>
      <c r="H58" s="4" t="s">
        <v>105</v>
      </c>
      <c r="I58" s="4"/>
      <c r="J58" s="4"/>
      <c r="K58" s="4">
        <v>233</v>
      </c>
      <c r="L58" s="4">
        <v>24</v>
      </c>
      <c r="M58" s="4">
        <v>3</v>
      </c>
      <c r="N58" s="4" t="s">
        <v>4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06">
      <c r="A59" s="4">
        <v>50</v>
      </c>
      <c r="B59" s="4">
        <v>0</v>
      </c>
      <c r="C59" s="4">
        <v>0</v>
      </c>
      <c r="D59" s="4">
        <v>1</v>
      </c>
      <c r="E59" s="4">
        <v>210</v>
      </c>
      <c r="F59" s="4">
        <f>ROUND(Source!X33,O59)</f>
        <v>38075.230000000003</v>
      </c>
      <c r="G59" s="4" t="s">
        <v>106</v>
      </c>
      <c r="H59" s="4" t="s">
        <v>107</v>
      </c>
      <c r="I59" s="4"/>
      <c r="J59" s="4"/>
      <c r="K59" s="4">
        <v>210</v>
      </c>
      <c r="L59" s="4">
        <v>25</v>
      </c>
      <c r="M59" s="4">
        <v>3</v>
      </c>
      <c r="N59" s="4" t="s">
        <v>4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06">
      <c r="A60" s="4">
        <v>50</v>
      </c>
      <c r="B60" s="4">
        <v>0</v>
      </c>
      <c r="C60" s="4">
        <v>0</v>
      </c>
      <c r="D60" s="4">
        <v>1</v>
      </c>
      <c r="E60" s="4">
        <v>211</v>
      </c>
      <c r="F60" s="4">
        <f>ROUND(Source!Y33,O60)</f>
        <v>4863.28</v>
      </c>
      <c r="G60" s="4" t="s">
        <v>108</v>
      </c>
      <c r="H60" s="4" t="s">
        <v>109</v>
      </c>
      <c r="I60" s="4"/>
      <c r="J60" s="4"/>
      <c r="K60" s="4">
        <v>211</v>
      </c>
      <c r="L60" s="4">
        <v>26</v>
      </c>
      <c r="M60" s="4">
        <v>3</v>
      </c>
      <c r="N60" s="4" t="s">
        <v>4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06">
      <c r="A61" s="4">
        <v>50</v>
      </c>
      <c r="B61" s="4">
        <v>0</v>
      </c>
      <c r="C61" s="4">
        <v>0</v>
      </c>
      <c r="D61" s="4">
        <v>1</v>
      </c>
      <c r="E61" s="4">
        <v>224</v>
      </c>
      <c r="F61" s="4">
        <f>ROUND(Source!AR33,O61)</f>
        <v>452539.63</v>
      </c>
      <c r="G61" s="4" t="s">
        <v>110</v>
      </c>
      <c r="H61" s="4" t="s">
        <v>111</v>
      </c>
      <c r="I61" s="4"/>
      <c r="J61" s="4"/>
      <c r="K61" s="4">
        <v>224</v>
      </c>
      <c r="L61" s="4">
        <v>27</v>
      </c>
      <c r="M61" s="4">
        <v>3</v>
      </c>
      <c r="N61" s="4" t="s">
        <v>4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3" spans="1:206">
      <c r="A63" s="2">
        <v>51</v>
      </c>
      <c r="B63" s="2">
        <f>B12</f>
        <v>99</v>
      </c>
      <c r="C63" s="2">
        <f>A12</f>
        <v>1</v>
      </c>
      <c r="D63" s="2">
        <f>ROW(A12)</f>
        <v>12</v>
      </c>
      <c r="E63" s="2"/>
      <c r="F63" s="2" t="str">
        <f>IF(F12&lt;&gt;"",F12,"")</f>
        <v/>
      </c>
      <c r="G63" s="2" t="str">
        <f>IF(G12&lt;&gt;"",G12,"")</f>
        <v>Устройство разметки на стоянках ГБУЗ "ТБ им. А.Е. Рабухина ДЗМ" в 2021г.</v>
      </c>
      <c r="H63" s="2">
        <v>0</v>
      </c>
      <c r="I63" s="2"/>
      <c r="J63" s="2"/>
      <c r="K63" s="2"/>
      <c r="L63" s="2"/>
      <c r="M63" s="2"/>
      <c r="N63" s="2"/>
      <c r="O63" s="2">
        <f t="shared" ref="O63:T63" si="52">ROUND(O33,2)</f>
        <v>381880.71</v>
      </c>
      <c r="P63" s="2">
        <f t="shared" si="52"/>
        <v>279606.42</v>
      </c>
      <c r="Q63" s="2">
        <f t="shared" si="52"/>
        <v>53641.54</v>
      </c>
      <c r="R63" s="2">
        <f t="shared" si="52"/>
        <v>25667.040000000001</v>
      </c>
      <c r="S63" s="2">
        <f t="shared" si="52"/>
        <v>48632.75</v>
      </c>
      <c r="T63" s="2">
        <f t="shared" si="52"/>
        <v>0</v>
      </c>
      <c r="U63" s="2">
        <f>U33</f>
        <v>234.06480000000002</v>
      </c>
      <c r="V63" s="2">
        <f>V33</f>
        <v>0</v>
      </c>
      <c r="W63" s="2">
        <f>ROUND(W33,2)</f>
        <v>0</v>
      </c>
      <c r="X63" s="2">
        <f>ROUND(X33,2)</f>
        <v>38075.230000000003</v>
      </c>
      <c r="Y63" s="2">
        <f>ROUND(Y33,2)</f>
        <v>4863.28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>
        <f t="shared" ref="AO63:BD63" si="53">ROUND(AO33,2)</f>
        <v>0</v>
      </c>
      <c r="AP63" s="2">
        <f t="shared" si="53"/>
        <v>0</v>
      </c>
      <c r="AQ63" s="2">
        <f t="shared" si="53"/>
        <v>0</v>
      </c>
      <c r="AR63" s="2">
        <f t="shared" si="53"/>
        <v>452539.63</v>
      </c>
      <c r="AS63" s="2">
        <f t="shared" si="53"/>
        <v>18461.419999999998</v>
      </c>
      <c r="AT63" s="2">
        <f t="shared" si="53"/>
        <v>0</v>
      </c>
      <c r="AU63" s="2">
        <f t="shared" si="53"/>
        <v>434078.21</v>
      </c>
      <c r="AV63" s="2">
        <f t="shared" si="53"/>
        <v>279606.42</v>
      </c>
      <c r="AW63" s="2">
        <f t="shared" si="53"/>
        <v>279606.42</v>
      </c>
      <c r="AX63" s="2">
        <f t="shared" si="53"/>
        <v>0</v>
      </c>
      <c r="AY63" s="2">
        <f t="shared" si="53"/>
        <v>279606.42</v>
      </c>
      <c r="AZ63" s="2">
        <f t="shared" si="53"/>
        <v>0</v>
      </c>
      <c r="BA63" s="2">
        <f t="shared" si="53"/>
        <v>0</v>
      </c>
      <c r="BB63" s="2">
        <f t="shared" si="53"/>
        <v>0</v>
      </c>
      <c r="BC63" s="2">
        <f t="shared" si="53"/>
        <v>0</v>
      </c>
      <c r="BD63" s="2">
        <f t="shared" si="53"/>
        <v>0</v>
      </c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>
        <v>0</v>
      </c>
    </row>
    <row r="65" spans="1:23">
      <c r="A65" s="4">
        <v>50</v>
      </c>
      <c r="B65" s="4">
        <v>0</v>
      </c>
      <c r="C65" s="4">
        <v>0</v>
      </c>
      <c r="D65" s="4">
        <v>1</v>
      </c>
      <c r="E65" s="4">
        <v>201</v>
      </c>
      <c r="F65" s="4">
        <f>ROUND(Source!O63,O65)</f>
        <v>381880.71</v>
      </c>
      <c r="G65" s="4" t="s">
        <v>58</v>
      </c>
      <c r="H65" s="4" t="s">
        <v>59</v>
      </c>
      <c r="I65" s="4"/>
      <c r="J65" s="4"/>
      <c r="K65" s="4">
        <v>201</v>
      </c>
      <c r="L65" s="4">
        <v>1</v>
      </c>
      <c r="M65" s="4">
        <v>3</v>
      </c>
      <c r="N65" s="4" t="s">
        <v>4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3">
      <c r="A66" s="4">
        <v>50</v>
      </c>
      <c r="B66" s="4">
        <v>0</v>
      </c>
      <c r="C66" s="4">
        <v>0</v>
      </c>
      <c r="D66" s="4">
        <v>1</v>
      </c>
      <c r="E66" s="4">
        <v>202</v>
      </c>
      <c r="F66" s="4">
        <f>ROUND(Source!P63,O66)</f>
        <v>279606.42</v>
      </c>
      <c r="G66" s="4" t="s">
        <v>60</v>
      </c>
      <c r="H66" s="4" t="s">
        <v>61</v>
      </c>
      <c r="I66" s="4"/>
      <c r="J66" s="4"/>
      <c r="K66" s="4">
        <v>202</v>
      </c>
      <c r="L66" s="4">
        <v>2</v>
      </c>
      <c r="M66" s="4">
        <v>3</v>
      </c>
      <c r="N66" s="4" t="s">
        <v>4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3">
      <c r="A67" s="4">
        <v>50</v>
      </c>
      <c r="B67" s="4">
        <v>0</v>
      </c>
      <c r="C67" s="4">
        <v>0</v>
      </c>
      <c r="D67" s="4">
        <v>1</v>
      </c>
      <c r="E67" s="4">
        <v>222</v>
      </c>
      <c r="F67" s="4">
        <f>ROUND(Source!AO63,O67)</f>
        <v>0</v>
      </c>
      <c r="G67" s="4" t="s">
        <v>62</v>
      </c>
      <c r="H67" s="4" t="s">
        <v>63</v>
      </c>
      <c r="I67" s="4"/>
      <c r="J67" s="4"/>
      <c r="K67" s="4">
        <v>222</v>
      </c>
      <c r="L67" s="4">
        <v>3</v>
      </c>
      <c r="M67" s="4">
        <v>3</v>
      </c>
      <c r="N67" s="4" t="s">
        <v>4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3">
      <c r="A68" s="4">
        <v>50</v>
      </c>
      <c r="B68" s="4">
        <v>0</v>
      </c>
      <c r="C68" s="4">
        <v>0</v>
      </c>
      <c r="D68" s="4">
        <v>1</v>
      </c>
      <c r="E68" s="4">
        <v>225</v>
      </c>
      <c r="F68" s="4">
        <f>ROUND(Source!AV63,O68)</f>
        <v>279606.42</v>
      </c>
      <c r="G68" s="4" t="s">
        <v>64</v>
      </c>
      <c r="H68" s="4" t="s">
        <v>65</v>
      </c>
      <c r="I68" s="4"/>
      <c r="J68" s="4"/>
      <c r="K68" s="4">
        <v>225</v>
      </c>
      <c r="L68" s="4">
        <v>4</v>
      </c>
      <c r="M68" s="4">
        <v>3</v>
      </c>
      <c r="N68" s="4" t="s">
        <v>4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3">
      <c r="A69" s="4">
        <v>50</v>
      </c>
      <c r="B69" s="4">
        <v>0</v>
      </c>
      <c r="C69" s="4">
        <v>0</v>
      </c>
      <c r="D69" s="4">
        <v>1</v>
      </c>
      <c r="E69" s="4">
        <v>226</v>
      </c>
      <c r="F69" s="4">
        <f>ROUND(Source!AW63,O69)</f>
        <v>279606.42</v>
      </c>
      <c r="G69" s="4" t="s">
        <v>66</v>
      </c>
      <c r="H69" s="4" t="s">
        <v>67</v>
      </c>
      <c r="I69" s="4"/>
      <c r="J69" s="4"/>
      <c r="K69" s="4">
        <v>226</v>
      </c>
      <c r="L69" s="4">
        <v>5</v>
      </c>
      <c r="M69" s="4">
        <v>3</v>
      </c>
      <c r="N69" s="4" t="s">
        <v>4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3">
      <c r="A70" s="4">
        <v>50</v>
      </c>
      <c r="B70" s="4">
        <v>0</v>
      </c>
      <c r="C70" s="4">
        <v>0</v>
      </c>
      <c r="D70" s="4">
        <v>1</v>
      </c>
      <c r="E70" s="4">
        <v>227</v>
      </c>
      <c r="F70" s="4">
        <f>ROUND(Source!AX63,O70)</f>
        <v>0</v>
      </c>
      <c r="G70" s="4" t="s">
        <v>68</v>
      </c>
      <c r="H70" s="4" t="s">
        <v>69</v>
      </c>
      <c r="I70" s="4"/>
      <c r="J70" s="4"/>
      <c r="K70" s="4">
        <v>227</v>
      </c>
      <c r="L70" s="4">
        <v>6</v>
      </c>
      <c r="M70" s="4">
        <v>3</v>
      </c>
      <c r="N70" s="4" t="s">
        <v>4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3">
      <c r="A71" s="4">
        <v>50</v>
      </c>
      <c r="B71" s="4">
        <v>0</v>
      </c>
      <c r="C71" s="4">
        <v>0</v>
      </c>
      <c r="D71" s="4">
        <v>1</v>
      </c>
      <c r="E71" s="4">
        <v>228</v>
      </c>
      <c r="F71" s="4">
        <f>ROUND(Source!AY63,O71)</f>
        <v>279606.42</v>
      </c>
      <c r="G71" s="4" t="s">
        <v>70</v>
      </c>
      <c r="H71" s="4" t="s">
        <v>71</v>
      </c>
      <c r="I71" s="4"/>
      <c r="J71" s="4"/>
      <c r="K71" s="4">
        <v>228</v>
      </c>
      <c r="L71" s="4">
        <v>7</v>
      </c>
      <c r="M71" s="4">
        <v>3</v>
      </c>
      <c r="N71" s="4" t="s">
        <v>4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3">
      <c r="A72" s="4">
        <v>50</v>
      </c>
      <c r="B72" s="4">
        <v>0</v>
      </c>
      <c r="C72" s="4">
        <v>0</v>
      </c>
      <c r="D72" s="4">
        <v>1</v>
      </c>
      <c r="E72" s="4">
        <v>216</v>
      </c>
      <c r="F72" s="4">
        <f>ROUND(Source!AP63,O72)</f>
        <v>0</v>
      </c>
      <c r="G72" s="4" t="s">
        <v>72</v>
      </c>
      <c r="H72" s="4" t="s">
        <v>73</v>
      </c>
      <c r="I72" s="4"/>
      <c r="J72" s="4"/>
      <c r="K72" s="4">
        <v>216</v>
      </c>
      <c r="L72" s="4">
        <v>8</v>
      </c>
      <c r="M72" s="4">
        <v>3</v>
      </c>
      <c r="N72" s="4" t="s">
        <v>4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3">
      <c r="A73" s="4">
        <v>50</v>
      </c>
      <c r="B73" s="4">
        <v>0</v>
      </c>
      <c r="C73" s="4">
        <v>0</v>
      </c>
      <c r="D73" s="4">
        <v>1</v>
      </c>
      <c r="E73" s="4">
        <v>223</v>
      </c>
      <c r="F73" s="4">
        <f>ROUND(Source!AQ63,O73)</f>
        <v>0</v>
      </c>
      <c r="G73" s="4" t="s">
        <v>74</v>
      </c>
      <c r="H73" s="4" t="s">
        <v>75</v>
      </c>
      <c r="I73" s="4"/>
      <c r="J73" s="4"/>
      <c r="K73" s="4">
        <v>223</v>
      </c>
      <c r="L73" s="4">
        <v>9</v>
      </c>
      <c r="M73" s="4">
        <v>3</v>
      </c>
      <c r="N73" s="4" t="s">
        <v>4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3">
      <c r="A74" s="4">
        <v>50</v>
      </c>
      <c r="B74" s="4">
        <v>0</v>
      </c>
      <c r="C74" s="4">
        <v>0</v>
      </c>
      <c r="D74" s="4">
        <v>1</v>
      </c>
      <c r="E74" s="4">
        <v>229</v>
      </c>
      <c r="F74" s="4">
        <f>ROUND(Source!AZ63,O74)</f>
        <v>0</v>
      </c>
      <c r="G74" s="4" t="s">
        <v>76</v>
      </c>
      <c r="H74" s="4" t="s">
        <v>77</v>
      </c>
      <c r="I74" s="4"/>
      <c r="J74" s="4"/>
      <c r="K74" s="4">
        <v>229</v>
      </c>
      <c r="L74" s="4">
        <v>10</v>
      </c>
      <c r="M74" s="4">
        <v>3</v>
      </c>
      <c r="N74" s="4" t="s">
        <v>4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3">
      <c r="A75" s="4">
        <v>50</v>
      </c>
      <c r="B75" s="4">
        <v>0</v>
      </c>
      <c r="C75" s="4">
        <v>0</v>
      </c>
      <c r="D75" s="4">
        <v>1</v>
      </c>
      <c r="E75" s="4">
        <v>203</v>
      </c>
      <c r="F75" s="4">
        <f>ROUND(Source!Q63,O75)</f>
        <v>53641.54</v>
      </c>
      <c r="G75" s="4" t="s">
        <v>78</v>
      </c>
      <c r="H75" s="4" t="s">
        <v>79</v>
      </c>
      <c r="I75" s="4"/>
      <c r="J75" s="4"/>
      <c r="K75" s="4">
        <v>203</v>
      </c>
      <c r="L75" s="4">
        <v>11</v>
      </c>
      <c r="M75" s="4">
        <v>3</v>
      </c>
      <c r="N75" s="4" t="s">
        <v>4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23">
      <c r="A76" s="4">
        <v>50</v>
      </c>
      <c r="B76" s="4">
        <v>0</v>
      </c>
      <c r="C76" s="4">
        <v>0</v>
      </c>
      <c r="D76" s="4">
        <v>1</v>
      </c>
      <c r="E76" s="4">
        <v>231</v>
      </c>
      <c r="F76" s="4">
        <f>ROUND(Source!BB63,O76)</f>
        <v>0</v>
      </c>
      <c r="G76" s="4" t="s">
        <v>80</v>
      </c>
      <c r="H76" s="4" t="s">
        <v>81</v>
      </c>
      <c r="I76" s="4"/>
      <c r="J76" s="4"/>
      <c r="K76" s="4">
        <v>231</v>
      </c>
      <c r="L76" s="4">
        <v>12</v>
      </c>
      <c r="M76" s="4">
        <v>3</v>
      </c>
      <c r="N76" s="4" t="s">
        <v>4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3">
      <c r="A77" s="4">
        <v>50</v>
      </c>
      <c r="B77" s="4">
        <v>0</v>
      </c>
      <c r="C77" s="4">
        <v>0</v>
      </c>
      <c r="D77" s="4">
        <v>1</v>
      </c>
      <c r="E77" s="4">
        <v>204</v>
      </c>
      <c r="F77" s="4">
        <f>ROUND(Source!R63,O77)</f>
        <v>25667.040000000001</v>
      </c>
      <c r="G77" s="4" t="s">
        <v>82</v>
      </c>
      <c r="H77" s="4" t="s">
        <v>83</v>
      </c>
      <c r="I77" s="4"/>
      <c r="J77" s="4"/>
      <c r="K77" s="4">
        <v>204</v>
      </c>
      <c r="L77" s="4">
        <v>13</v>
      </c>
      <c r="M77" s="4">
        <v>3</v>
      </c>
      <c r="N77" s="4" t="s">
        <v>4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3">
      <c r="A78" s="4">
        <v>50</v>
      </c>
      <c r="B78" s="4">
        <v>0</v>
      </c>
      <c r="C78" s="4">
        <v>0</v>
      </c>
      <c r="D78" s="4">
        <v>1</v>
      </c>
      <c r="E78" s="4">
        <v>205</v>
      </c>
      <c r="F78" s="4">
        <f>ROUND(Source!S63,O78)</f>
        <v>48632.75</v>
      </c>
      <c r="G78" s="4" t="s">
        <v>84</v>
      </c>
      <c r="H78" s="4" t="s">
        <v>85</v>
      </c>
      <c r="I78" s="4"/>
      <c r="J78" s="4"/>
      <c r="K78" s="4">
        <v>205</v>
      </c>
      <c r="L78" s="4">
        <v>14</v>
      </c>
      <c r="M78" s="4">
        <v>3</v>
      </c>
      <c r="N78" s="4" t="s">
        <v>4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3">
      <c r="A79" s="4">
        <v>50</v>
      </c>
      <c r="B79" s="4">
        <v>0</v>
      </c>
      <c r="C79" s="4">
        <v>0</v>
      </c>
      <c r="D79" s="4">
        <v>1</v>
      </c>
      <c r="E79" s="4">
        <v>232</v>
      </c>
      <c r="F79" s="4">
        <f>ROUND(Source!BC63,O79)</f>
        <v>0</v>
      </c>
      <c r="G79" s="4" t="s">
        <v>86</v>
      </c>
      <c r="H79" s="4" t="s">
        <v>87</v>
      </c>
      <c r="I79" s="4"/>
      <c r="J79" s="4"/>
      <c r="K79" s="4">
        <v>232</v>
      </c>
      <c r="L79" s="4">
        <v>15</v>
      </c>
      <c r="M79" s="4">
        <v>3</v>
      </c>
      <c r="N79" s="4" t="s">
        <v>4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3">
      <c r="A80" s="4">
        <v>50</v>
      </c>
      <c r="B80" s="4">
        <v>0</v>
      </c>
      <c r="C80" s="4">
        <v>0</v>
      </c>
      <c r="D80" s="4">
        <v>1</v>
      </c>
      <c r="E80" s="4">
        <v>214</v>
      </c>
      <c r="F80" s="4">
        <f>ROUND(Source!AS63,O80)</f>
        <v>18461.419999999998</v>
      </c>
      <c r="G80" s="4" t="s">
        <v>88</v>
      </c>
      <c r="H80" s="4" t="s">
        <v>89</v>
      </c>
      <c r="I80" s="4"/>
      <c r="J80" s="4"/>
      <c r="K80" s="4">
        <v>214</v>
      </c>
      <c r="L80" s="4">
        <v>16</v>
      </c>
      <c r="M80" s="4">
        <v>3</v>
      </c>
      <c r="N80" s="4" t="s">
        <v>4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3">
      <c r="A81" s="4">
        <v>50</v>
      </c>
      <c r="B81" s="4">
        <v>0</v>
      </c>
      <c r="C81" s="4">
        <v>0</v>
      </c>
      <c r="D81" s="4">
        <v>1</v>
      </c>
      <c r="E81" s="4">
        <v>215</v>
      </c>
      <c r="F81" s="4">
        <f>ROUND(Source!AT63,O81)</f>
        <v>0</v>
      </c>
      <c r="G81" s="4" t="s">
        <v>90</v>
      </c>
      <c r="H81" s="4" t="s">
        <v>91</v>
      </c>
      <c r="I81" s="4"/>
      <c r="J81" s="4"/>
      <c r="K81" s="4">
        <v>215</v>
      </c>
      <c r="L81" s="4">
        <v>17</v>
      </c>
      <c r="M81" s="4">
        <v>3</v>
      </c>
      <c r="N81" s="4" t="s">
        <v>4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3">
      <c r="A82" s="4">
        <v>50</v>
      </c>
      <c r="B82" s="4">
        <v>0</v>
      </c>
      <c r="C82" s="4">
        <v>0</v>
      </c>
      <c r="D82" s="4">
        <v>1</v>
      </c>
      <c r="E82" s="4">
        <v>217</v>
      </c>
      <c r="F82" s="4">
        <f>ROUND(Source!AU63,O82)</f>
        <v>434078.21</v>
      </c>
      <c r="G82" s="4" t="s">
        <v>92</v>
      </c>
      <c r="H82" s="4" t="s">
        <v>93</v>
      </c>
      <c r="I82" s="4"/>
      <c r="J82" s="4"/>
      <c r="K82" s="4">
        <v>217</v>
      </c>
      <c r="L82" s="4">
        <v>18</v>
      </c>
      <c r="M82" s="4">
        <v>3</v>
      </c>
      <c r="N82" s="4" t="s">
        <v>4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3">
      <c r="A83" s="4">
        <v>50</v>
      </c>
      <c r="B83" s="4">
        <v>0</v>
      </c>
      <c r="C83" s="4">
        <v>0</v>
      </c>
      <c r="D83" s="4">
        <v>1</v>
      </c>
      <c r="E83" s="4">
        <v>230</v>
      </c>
      <c r="F83" s="4">
        <f>ROUND(Source!BA63,O83)</f>
        <v>0</v>
      </c>
      <c r="G83" s="4" t="s">
        <v>94</v>
      </c>
      <c r="H83" s="4" t="s">
        <v>95</v>
      </c>
      <c r="I83" s="4"/>
      <c r="J83" s="4"/>
      <c r="K83" s="4">
        <v>230</v>
      </c>
      <c r="L83" s="4">
        <v>19</v>
      </c>
      <c r="M83" s="4">
        <v>3</v>
      </c>
      <c r="N83" s="4" t="s">
        <v>4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3">
      <c r="A84" s="4">
        <v>50</v>
      </c>
      <c r="B84" s="4">
        <v>0</v>
      </c>
      <c r="C84" s="4">
        <v>0</v>
      </c>
      <c r="D84" s="4">
        <v>1</v>
      </c>
      <c r="E84" s="4">
        <v>206</v>
      </c>
      <c r="F84" s="4">
        <f>ROUND(Source!T63,O84)</f>
        <v>0</v>
      </c>
      <c r="G84" s="4" t="s">
        <v>96</v>
      </c>
      <c r="H84" s="4" t="s">
        <v>97</v>
      </c>
      <c r="I84" s="4"/>
      <c r="J84" s="4"/>
      <c r="K84" s="4">
        <v>206</v>
      </c>
      <c r="L84" s="4">
        <v>20</v>
      </c>
      <c r="M84" s="4">
        <v>3</v>
      </c>
      <c r="N84" s="4" t="s">
        <v>4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3">
      <c r="A85" s="4">
        <v>50</v>
      </c>
      <c r="B85" s="4">
        <v>0</v>
      </c>
      <c r="C85" s="4">
        <v>0</v>
      </c>
      <c r="D85" s="4">
        <v>1</v>
      </c>
      <c r="E85" s="4">
        <v>207</v>
      </c>
      <c r="F85" s="4">
        <f>Source!U63</f>
        <v>234.06480000000002</v>
      </c>
      <c r="G85" s="4" t="s">
        <v>98</v>
      </c>
      <c r="H85" s="4" t="s">
        <v>99</v>
      </c>
      <c r="I85" s="4"/>
      <c r="J85" s="4"/>
      <c r="K85" s="4">
        <v>207</v>
      </c>
      <c r="L85" s="4">
        <v>21</v>
      </c>
      <c r="M85" s="4">
        <v>3</v>
      </c>
      <c r="N85" s="4" t="s">
        <v>4</v>
      </c>
      <c r="O85" s="4">
        <v>-1</v>
      </c>
      <c r="P85" s="4"/>
      <c r="Q85" s="4"/>
      <c r="R85" s="4"/>
      <c r="S85" s="4"/>
      <c r="T85" s="4"/>
      <c r="U85" s="4"/>
      <c r="V85" s="4"/>
      <c r="W85" s="4"/>
    </row>
    <row r="86" spans="1:23">
      <c r="A86" s="4">
        <v>50</v>
      </c>
      <c r="B86" s="4">
        <v>0</v>
      </c>
      <c r="C86" s="4">
        <v>0</v>
      </c>
      <c r="D86" s="4">
        <v>1</v>
      </c>
      <c r="E86" s="4">
        <v>208</v>
      </c>
      <c r="F86" s="4">
        <f>Source!V63</f>
        <v>0</v>
      </c>
      <c r="G86" s="4" t="s">
        <v>100</v>
      </c>
      <c r="H86" s="4" t="s">
        <v>101</v>
      </c>
      <c r="I86" s="4"/>
      <c r="J86" s="4"/>
      <c r="K86" s="4">
        <v>208</v>
      </c>
      <c r="L86" s="4">
        <v>22</v>
      </c>
      <c r="M86" s="4">
        <v>3</v>
      </c>
      <c r="N86" s="4" t="s">
        <v>4</v>
      </c>
      <c r="O86" s="4">
        <v>-1</v>
      </c>
      <c r="P86" s="4"/>
      <c r="Q86" s="4"/>
      <c r="R86" s="4"/>
      <c r="S86" s="4"/>
      <c r="T86" s="4"/>
      <c r="U86" s="4"/>
      <c r="V86" s="4"/>
      <c r="W86" s="4"/>
    </row>
    <row r="87" spans="1:23">
      <c r="A87" s="4">
        <v>50</v>
      </c>
      <c r="B87" s="4">
        <v>0</v>
      </c>
      <c r="C87" s="4">
        <v>0</v>
      </c>
      <c r="D87" s="4">
        <v>1</v>
      </c>
      <c r="E87" s="4">
        <v>209</v>
      </c>
      <c r="F87" s="4">
        <f>ROUND(Source!W63,O87)</f>
        <v>0</v>
      </c>
      <c r="G87" s="4" t="s">
        <v>102</v>
      </c>
      <c r="H87" s="4" t="s">
        <v>103</v>
      </c>
      <c r="I87" s="4"/>
      <c r="J87" s="4"/>
      <c r="K87" s="4">
        <v>209</v>
      </c>
      <c r="L87" s="4">
        <v>23</v>
      </c>
      <c r="M87" s="4">
        <v>3</v>
      </c>
      <c r="N87" s="4" t="s">
        <v>4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3">
      <c r="A88" s="4">
        <v>50</v>
      </c>
      <c r="B88" s="4">
        <v>0</v>
      </c>
      <c r="C88" s="4">
        <v>0</v>
      </c>
      <c r="D88" s="4">
        <v>1</v>
      </c>
      <c r="E88" s="4">
        <v>233</v>
      </c>
      <c r="F88" s="4">
        <f>ROUND(Source!BD63,O88)</f>
        <v>0</v>
      </c>
      <c r="G88" s="4" t="s">
        <v>104</v>
      </c>
      <c r="H88" s="4" t="s">
        <v>105</v>
      </c>
      <c r="I88" s="4"/>
      <c r="J88" s="4"/>
      <c r="K88" s="4">
        <v>233</v>
      </c>
      <c r="L88" s="4">
        <v>24</v>
      </c>
      <c r="M88" s="4">
        <v>3</v>
      </c>
      <c r="N88" s="4" t="s">
        <v>4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3">
      <c r="A89" s="4">
        <v>50</v>
      </c>
      <c r="B89" s="4">
        <v>0</v>
      </c>
      <c r="C89" s="4">
        <v>0</v>
      </c>
      <c r="D89" s="4">
        <v>1</v>
      </c>
      <c r="E89" s="4">
        <v>210</v>
      </c>
      <c r="F89" s="4">
        <f>ROUND(Source!X63,O89)</f>
        <v>38075.230000000003</v>
      </c>
      <c r="G89" s="4" t="s">
        <v>106</v>
      </c>
      <c r="H89" s="4" t="s">
        <v>107</v>
      </c>
      <c r="I89" s="4"/>
      <c r="J89" s="4"/>
      <c r="K89" s="4">
        <v>210</v>
      </c>
      <c r="L89" s="4">
        <v>25</v>
      </c>
      <c r="M89" s="4">
        <v>3</v>
      </c>
      <c r="N89" s="4" t="s">
        <v>4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3">
      <c r="A90" s="4">
        <v>50</v>
      </c>
      <c r="B90" s="4">
        <v>0</v>
      </c>
      <c r="C90" s="4">
        <v>0</v>
      </c>
      <c r="D90" s="4">
        <v>1</v>
      </c>
      <c r="E90" s="4">
        <v>211</v>
      </c>
      <c r="F90" s="4">
        <f>ROUND(Source!Y63,O90)</f>
        <v>4863.28</v>
      </c>
      <c r="G90" s="4" t="s">
        <v>108</v>
      </c>
      <c r="H90" s="4" t="s">
        <v>109</v>
      </c>
      <c r="I90" s="4"/>
      <c r="J90" s="4"/>
      <c r="K90" s="4">
        <v>211</v>
      </c>
      <c r="L90" s="4">
        <v>26</v>
      </c>
      <c r="M90" s="4">
        <v>3</v>
      </c>
      <c r="N90" s="4" t="s">
        <v>4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3">
      <c r="A91" s="4">
        <v>50</v>
      </c>
      <c r="B91" s="4">
        <v>0</v>
      </c>
      <c r="C91" s="4">
        <v>0</v>
      </c>
      <c r="D91" s="4">
        <v>1</v>
      </c>
      <c r="E91" s="4">
        <v>224</v>
      </c>
      <c r="F91" s="4">
        <f>ROUND(Source!AR63,O91)</f>
        <v>452539.63</v>
      </c>
      <c r="G91" s="4" t="s">
        <v>110</v>
      </c>
      <c r="H91" s="4" t="s">
        <v>111</v>
      </c>
      <c r="I91" s="4"/>
      <c r="J91" s="4"/>
      <c r="K91" s="4">
        <v>224</v>
      </c>
      <c r="L91" s="4">
        <v>27</v>
      </c>
      <c r="M91" s="4">
        <v>3</v>
      </c>
      <c r="N91" s="4" t="s">
        <v>4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3">
      <c r="A92" s="4">
        <v>50</v>
      </c>
      <c r="B92" s="4">
        <v>1</v>
      </c>
      <c r="C92" s="4">
        <v>0</v>
      </c>
      <c r="D92" s="4">
        <v>2</v>
      </c>
      <c r="E92" s="4">
        <v>0</v>
      </c>
      <c r="F92" s="4">
        <f>ROUND(F91,O92)</f>
        <v>452539.63</v>
      </c>
      <c r="G92" s="4" t="s">
        <v>112</v>
      </c>
      <c r="H92" s="4" t="s">
        <v>112</v>
      </c>
      <c r="I92" s="4"/>
      <c r="J92" s="4"/>
      <c r="K92" s="4">
        <v>212</v>
      </c>
      <c r="L92" s="4">
        <v>28</v>
      </c>
      <c r="M92" s="4">
        <v>0</v>
      </c>
      <c r="N92" s="4" t="s">
        <v>4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3">
      <c r="A93" s="4">
        <v>50</v>
      </c>
      <c r="B93" s="4">
        <v>1</v>
      </c>
      <c r="C93" s="4">
        <v>0</v>
      </c>
      <c r="D93" s="4">
        <v>2</v>
      </c>
      <c r="E93" s="4">
        <v>0</v>
      </c>
      <c r="F93" s="4">
        <f>ROUND(F92*0.2,O93)</f>
        <v>90507.93</v>
      </c>
      <c r="G93" s="4" t="s">
        <v>113</v>
      </c>
      <c r="H93" s="4" t="s">
        <v>113</v>
      </c>
      <c r="I93" s="4"/>
      <c r="J93" s="4"/>
      <c r="K93" s="4">
        <v>212</v>
      </c>
      <c r="L93" s="4">
        <v>29</v>
      </c>
      <c r="M93" s="4">
        <v>0</v>
      </c>
      <c r="N93" s="4" t="s">
        <v>4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3">
      <c r="A94" s="4">
        <v>50</v>
      </c>
      <c r="B94" s="4">
        <v>1</v>
      </c>
      <c r="C94" s="4">
        <v>0</v>
      </c>
      <c r="D94" s="4">
        <v>2</v>
      </c>
      <c r="E94" s="4">
        <v>0</v>
      </c>
      <c r="F94" s="4">
        <f>ROUND(F93+F92,O94)</f>
        <v>543047.56000000006</v>
      </c>
      <c r="G94" s="4" t="s">
        <v>114</v>
      </c>
      <c r="H94" s="4" t="s">
        <v>114</v>
      </c>
      <c r="I94" s="4"/>
      <c r="J94" s="4"/>
      <c r="K94" s="4">
        <v>212</v>
      </c>
      <c r="L94" s="4">
        <v>30</v>
      </c>
      <c r="M94" s="4">
        <v>0</v>
      </c>
      <c r="N94" s="4" t="s">
        <v>4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7" spans="1:15">
      <c r="A97">
        <v>-1</v>
      </c>
    </row>
    <row r="99" spans="1:15">
      <c r="A99" s="3">
        <v>75</v>
      </c>
      <c r="B99" s="3" t="s">
        <v>115</v>
      </c>
      <c r="C99" s="3">
        <v>2020</v>
      </c>
      <c r="D99" s="3">
        <v>0</v>
      </c>
      <c r="E99" s="3">
        <v>10</v>
      </c>
      <c r="F99" s="3">
        <v>0</v>
      </c>
      <c r="G99" s="3">
        <v>0</v>
      </c>
      <c r="H99" s="3">
        <v>1</v>
      </c>
      <c r="I99" s="3">
        <v>0</v>
      </c>
      <c r="J99" s="3">
        <v>1</v>
      </c>
      <c r="K99" s="3">
        <v>78</v>
      </c>
      <c r="L99" s="3">
        <v>30</v>
      </c>
      <c r="M99" s="3">
        <v>0</v>
      </c>
      <c r="N99" s="3">
        <v>25859284</v>
      </c>
      <c r="O99" s="3">
        <v>1</v>
      </c>
    </row>
    <row r="103" spans="1:15">
      <c r="A103">
        <v>65</v>
      </c>
      <c r="C103">
        <v>1</v>
      </c>
      <c r="D103">
        <v>0</v>
      </c>
      <c r="E103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EC54"/>
  <sheetViews>
    <sheetView workbookViewId="0"/>
  </sheetViews>
  <sheetFormatPr defaultColWidth="9.140625" defaultRowHeight="12.75"/>
  <cols>
    <col min="1" max="256" width="9.140625" customWidth="1"/>
  </cols>
  <sheetData>
    <row r="1" spans="1:133">
      <c r="A1">
        <v>0</v>
      </c>
      <c r="B1" t="s">
        <v>0</v>
      </c>
      <c r="D1" t="s">
        <v>116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27243</v>
      </c>
      <c r="M1">
        <v>10</v>
      </c>
      <c r="N1">
        <v>11</v>
      </c>
      <c r="O1">
        <v>0</v>
      </c>
      <c r="P1">
        <v>0</v>
      </c>
      <c r="Q1">
        <v>3</v>
      </c>
    </row>
    <row r="12" spans="1:133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4</v>
      </c>
      <c r="I12" s="1">
        <v>0</v>
      </c>
      <c r="J12" s="1" t="s">
        <v>4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4</v>
      </c>
      <c r="V12" s="1">
        <v>0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6</v>
      </c>
      <c r="AC12" s="1" t="s">
        <v>7</v>
      </c>
      <c r="AD12" s="1" t="s">
        <v>8</v>
      </c>
      <c r="AE12" s="1" t="s">
        <v>9</v>
      </c>
      <c r="AF12" s="1" t="s">
        <v>10</v>
      </c>
      <c r="AG12" s="1" t="s">
        <v>11</v>
      </c>
      <c r="AH12" s="1" t="s">
        <v>10</v>
      </c>
      <c r="AI12" s="1" t="s">
        <v>11</v>
      </c>
      <c r="AJ12" s="1" t="s">
        <v>12</v>
      </c>
      <c r="AK12" s="1"/>
      <c r="AL12" s="1" t="s">
        <v>4</v>
      </c>
      <c r="AM12" s="1" t="s">
        <v>4</v>
      </c>
      <c r="AN12" s="1" t="s">
        <v>4</v>
      </c>
      <c r="AO12" s="1"/>
      <c r="AP12" s="1" t="s">
        <v>4</v>
      </c>
      <c r="AQ12" s="1" t="s">
        <v>4</v>
      </c>
      <c r="AR12" s="1" t="s">
        <v>4</v>
      </c>
      <c r="AS12" s="1"/>
      <c r="AT12" s="1"/>
      <c r="AU12" s="1"/>
      <c r="AV12" s="1"/>
      <c r="AW12" s="1"/>
      <c r="AX12" s="1" t="s">
        <v>12</v>
      </c>
      <c r="AY12" s="1" t="s">
        <v>4</v>
      </c>
      <c r="AZ12" s="1" t="s">
        <v>4</v>
      </c>
      <c r="BA12" s="1"/>
      <c r="BB12" s="1"/>
      <c r="BC12" s="1"/>
      <c r="BD12" s="1"/>
      <c r="BE12" s="1"/>
      <c r="BF12" s="1"/>
      <c r="BG12" s="1"/>
      <c r="BH12" s="1" t="s">
        <v>13</v>
      </c>
      <c r="BI12" s="1" t="s">
        <v>14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15</v>
      </c>
      <c r="BZ12" s="1" t="s">
        <v>16</v>
      </c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18</v>
      </c>
      <c r="CF12" s="1">
        <v>0</v>
      </c>
      <c r="CG12" s="1">
        <v>0</v>
      </c>
      <c r="CH12" s="1">
        <v>8</v>
      </c>
      <c r="CI12" s="1" t="s">
        <v>4</v>
      </c>
      <c r="CJ12" s="1" t="s">
        <v>4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>
      <c r="A14" s="1">
        <v>22</v>
      </c>
      <c r="B14" s="1">
        <v>0</v>
      </c>
      <c r="C14" s="1">
        <v>0</v>
      </c>
      <c r="D14" s="1">
        <v>25859284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>
      <c r="A16" s="5">
        <v>3</v>
      </c>
      <c r="B16" s="5">
        <v>1</v>
      </c>
      <c r="C16" s="5" t="s">
        <v>19</v>
      </c>
      <c r="D16" s="5" t="s">
        <v>19</v>
      </c>
      <c r="E16" s="6">
        <f>(Source!F50)/1000</f>
        <v>18.461419999999997</v>
      </c>
      <c r="F16" s="6">
        <f>(Source!F51)/1000</f>
        <v>0</v>
      </c>
      <c r="G16" s="6">
        <f>(Source!F42)/1000</f>
        <v>0</v>
      </c>
      <c r="H16" s="6">
        <f>(Source!F52)/1000+(Source!F53)/1000</f>
        <v>434.07821000000001</v>
      </c>
      <c r="I16" s="6">
        <f>E16+F16+G16+H16</f>
        <v>452.53962999999999</v>
      </c>
      <c r="J16" s="6">
        <f>(Source!F48)/1000</f>
        <v>48.632750000000001</v>
      </c>
      <c r="AI16" s="5">
        <v>0</v>
      </c>
      <c r="AJ16" s="5">
        <v>0</v>
      </c>
      <c r="AK16" s="5" t="s">
        <v>4</v>
      </c>
      <c r="AL16" s="5" t="s">
        <v>4</v>
      </c>
      <c r="AM16" s="5" t="s">
        <v>4</v>
      </c>
      <c r="AN16" s="5">
        <v>0</v>
      </c>
      <c r="AO16" s="5" t="s">
        <v>4</v>
      </c>
      <c r="AP16" s="5" t="s">
        <v>4</v>
      </c>
      <c r="AT16" s="6">
        <v>381880.71</v>
      </c>
      <c r="AU16" s="6">
        <v>279606.42</v>
      </c>
      <c r="AV16" s="6">
        <v>0</v>
      </c>
      <c r="AW16" s="6">
        <v>0</v>
      </c>
      <c r="AX16" s="6">
        <v>0</v>
      </c>
      <c r="AY16" s="6">
        <v>53641.54</v>
      </c>
      <c r="AZ16" s="6">
        <v>25667.040000000001</v>
      </c>
      <c r="BA16" s="6">
        <v>48632.75</v>
      </c>
      <c r="BB16" s="6">
        <v>18461.419999999998</v>
      </c>
      <c r="BC16" s="6">
        <v>0</v>
      </c>
      <c r="BD16" s="6">
        <v>434078.21</v>
      </c>
      <c r="BE16" s="6">
        <v>0</v>
      </c>
      <c r="BF16" s="6">
        <v>234.06480000000002</v>
      </c>
      <c r="BG16" s="6">
        <v>0</v>
      </c>
      <c r="BH16" s="6">
        <v>0</v>
      </c>
      <c r="BI16" s="6">
        <v>38075.230000000003</v>
      </c>
      <c r="BJ16" s="6">
        <v>4863.28</v>
      </c>
      <c r="BK16" s="6">
        <v>452539.63</v>
      </c>
    </row>
    <row r="18" spans="1:19">
      <c r="A18">
        <v>51</v>
      </c>
      <c r="E18" s="7">
        <f>SUMIF(A16:A17,3,E16:E17)</f>
        <v>18.461419999999997</v>
      </c>
      <c r="F18" s="7">
        <f>SUMIF(A16:A17,3,F16:F17)</f>
        <v>0</v>
      </c>
      <c r="G18" s="7">
        <f>SUMIF(A16:A17,3,G16:G17)</f>
        <v>0</v>
      </c>
      <c r="H18" s="7">
        <f>SUMIF(A16:A17,3,H16:H17)</f>
        <v>434.07821000000001</v>
      </c>
      <c r="I18" s="7">
        <f>SUMIF(A16:A17,3,I16:I17)</f>
        <v>452.53962999999999</v>
      </c>
      <c r="J18" s="7">
        <f>SUMIF(A16:A17,3,J16:J17)</f>
        <v>48.632750000000001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381880.71</v>
      </c>
      <c r="G20" s="4" t="s">
        <v>58</v>
      </c>
      <c r="H20" s="4" t="s">
        <v>59</v>
      </c>
      <c r="I20" s="4"/>
      <c r="J20" s="4"/>
      <c r="K20" s="4">
        <v>201</v>
      </c>
      <c r="L20" s="4">
        <v>1</v>
      </c>
      <c r="M20" s="4">
        <v>3</v>
      </c>
      <c r="N20" s="4" t="s">
        <v>4</v>
      </c>
      <c r="O20" s="4">
        <v>2</v>
      </c>
      <c r="P20" s="4"/>
    </row>
    <row r="21" spans="1:19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279606.42</v>
      </c>
      <c r="G21" s="4" t="s">
        <v>60</v>
      </c>
      <c r="H21" s="4" t="s">
        <v>61</v>
      </c>
      <c r="I21" s="4"/>
      <c r="J21" s="4"/>
      <c r="K21" s="4">
        <v>202</v>
      </c>
      <c r="L21" s="4">
        <v>2</v>
      </c>
      <c r="M21" s="4">
        <v>3</v>
      </c>
      <c r="N21" s="4" t="s">
        <v>4</v>
      </c>
      <c r="O21" s="4">
        <v>2</v>
      </c>
      <c r="P21" s="4"/>
    </row>
    <row r="22" spans="1:19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62</v>
      </c>
      <c r="H22" s="4" t="s">
        <v>63</v>
      </c>
      <c r="I22" s="4"/>
      <c r="J22" s="4"/>
      <c r="K22" s="4">
        <v>222</v>
      </c>
      <c r="L22" s="4">
        <v>3</v>
      </c>
      <c r="M22" s="4">
        <v>3</v>
      </c>
      <c r="N22" s="4" t="s">
        <v>4</v>
      </c>
      <c r="O22" s="4">
        <v>2</v>
      </c>
      <c r="P22" s="4"/>
    </row>
    <row r="23" spans="1:19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279606.42</v>
      </c>
      <c r="G23" s="4" t="s">
        <v>64</v>
      </c>
      <c r="H23" s="4" t="s">
        <v>65</v>
      </c>
      <c r="I23" s="4"/>
      <c r="J23" s="4"/>
      <c r="K23" s="4">
        <v>225</v>
      </c>
      <c r="L23" s="4">
        <v>4</v>
      </c>
      <c r="M23" s="4">
        <v>3</v>
      </c>
      <c r="N23" s="4" t="s">
        <v>4</v>
      </c>
      <c r="O23" s="4">
        <v>2</v>
      </c>
      <c r="P23" s="4"/>
    </row>
    <row r="24" spans="1:19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279606.42</v>
      </c>
      <c r="G24" s="4" t="s">
        <v>66</v>
      </c>
      <c r="H24" s="4" t="s">
        <v>67</v>
      </c>
      <c r="I24" s="4"/>
      <c r="J24" s="4"/>
      <c r="K24" s="4">
        <v>226</v>
      </c>
      <c r="L24" s="4">
        <v>5</v>
      </c>
      <c r="M24" s="4">
        <v>3</v>
      </c>
      <c r="N24" s="4" t="s">
        <v>4</v>
      </c>
      <c r="O24" s="4">
        <v>2</v>
      </c>
      <c r="P24" s="4"/>
    </row>
    <row r="25" spans="1:19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68</v>
      </c>
      <c r="H25" s="4" t="s">
        <v>69</v>
      </c>
      <c r="I25" s="4"/>
      <c r="J25" s="4"/>
      <c r="K25" s="4">
        <v>227</v>
      </c>
      <c r="L25" s="4">
        <v>6</v>
      </c>
      <c r="M25" s="4">
        <v>3</v>
      </c>
      <c r="N25" s="4" t="s">
        <v>4</v>
      </c>
      <c r="O25" s="4">
        <v>2</v>
      </c>
      <c r="P25" s="4"/>
    </row>
    <row r="26" spans="1:19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279606.42</v>
      </c>
      <c r="G26" s="4" t="s">
        <v>70</v>
      </c>
      <c r="H26" s="4" t="s">
        <v>71</v>
      </c>
      <c r="I26" s="4"/>
      <c r="J26" s="4"/>
      <c r="K26" s="4">
        <v>228</v>
      </c>
      <c r="L26" s="4">
        <v>7</v>
      </c>
      <c r="M26" s="4">
        <v>3</v>
      </c>
      <c r="N26" s="4" t="s">
        <v>4</v>
      </c>
      <c r="O26" s="4">
        <v>2</v>
      </c>
      <c r="P26" s="4"/>
    </row>
    <row r="27" spans="1:19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72</v>
      </c>
      <c r="H27" s="4" t="s">
        <v>73</v>
      </c>
      <c r="I27" s="4"/>
      <c r="J27" s="4"/>
      <c r="K27" s="4">
        <v>216</v>
      </c>
      <c r="L27" s="4">
        <v>8</v>
      </c>
      <c r="M27" s="4">
        <v>3</v>
      </c>
      <c r="N27" s="4" t="s">
        <v>4</v>
      </c>
      <c r="O27" s="4">
        <v>2</v>
      </c>
      <c r="P27" s="4"/>
    </row>
    <row r="28" spans="1:19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74</v>
      </c>
      <c r="H28" s="4" t="s">
        <v>75</v>
      </c>
      <c r="I28" s="4"/>
      <c r="J28" s="4"/>
      <c r="K28" s="4">
        <v>223</v>
      </c>
      <c r="L28" s="4">
        <v>9</v>
      </c>
      <c r="M28" s="4">
        <v>3</v>
      </c>
      <c r="N28" s="4" t="s">
        <v>4</v>
      </c>
      <c r="O28" s="4">
        <v>2</v>
      </c>
      <c r="P28" s="4"/>
    </row>
    <row r="29" spans="1:19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76</v>
      </c>
      <c r="H29" s="4" t="s">
        <v>77</v>
      </c>
      <c r="I29" s="4"/>
      <c r="J29" s="4"/>
      <c r="K29" s="4">
        <v>229</v>
      </c>
      <c r="L29" s="4">
        <v>10</v>
      </c>
      <c r="M29" s="4">
        <v>3</v>
      </c>
      <c r="N29" s="4" t="s">
        <v>4</v>
      </c>
      <c r="O29" s="4">
        <v>2</v>
      </c>
      <c r="P29" s="4"/>
    </row>
    <row r="30" spans="1:19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53641.54</v>
      </c>
      <c r="G30" s="4" t="s">
        <v>78</v>
      </c>
      <c r="H30" s="4" t="s">
        <v>79</v>
      </c>
      <c r="I30" s="4"/>
      <c r="J30" s="4"/>
      <c r="K30" s="4">
        <v>203</v>
      </c>
      <c r="L30" s="4">
        <v>11</v>
      </c>
      <c r="M30" s="4">
        <v>3</v>
      </c>
      <c r="N30" s="4" t="s">
        <v>4</v>
      </c>
      <c r="O30" s="4">
        <v>2</v>
      </c>
      <c r="P30" s="4"/>
    </row>
    <row r="31" spans="1:19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80</v>
      </c>
      <c r="H31" s="4" t="s">
        <v>81</v>
      </c>
      <c r="I31" s="4"/>
      <c r="J31" s="4"/>
      <c r="K31" s="4">
        <v>231</v>
      </c>
      <c r="L31" s="4">
        <v>12</v>
      </c>
      <c r="M31" s="4">
        <v>3</v>
      </c>
      <c r="N31" s="4" t="s">
        <v>4</v>
      </c>
      <c r="O31" s="4">
        <v>2</v>
      </c>
      <c r="P31" s="4"/>
    </row>
    <row r="32" spans="1:19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25667.040000000001</v>
      </c>
      <c r="G32" s="4" t="s">
        <v>82</v>
      </c>
      <c r="H32" s="4" t="s">
        <v>83</v>
      </c>
      <c r="I32" s="4"/>
      <c r="J32" s="4"/>
      <c r="K32" s="4">
        <v>204</v>
      </c>
      <c r="L32" s="4">
        <v>13</v>
      </c>
      <c r="M32" s="4">
        <v>3</v>
      </c>
      <c r="N32" s="4" t="s">
        <v>4</v>
      </c>
      <c r="O32" s="4">
        <v>2</v>
      </c>
      <c r="P32" s="4"/>
    </row>
    <row r="33" spans="1:16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48632.75</v>
      </c>
      <c r="G33" s="4" t="s">
        <v>84</v>
      </c>
      <c r="H33" s="4" t="s">
        <v>85</v>
      </c>
      <c r="I33" s="4"/>
      <c r="J33" s="4"/>
      <c r="K33" s="4">
        <v>205</v>
      </c>
      <c r="L33" s="4">
        <v>14</v>
      </c>
      <c r="M33" s="4">
        <v>3</v>
      </c>
      <c r="N33" s="4" t="s">
        <v>4</v>
      </c>
      <c r="O33" s="4">
        <v>2</v>
      </c>
      <c r="P33" s="4"/>
    </row>
    <row r="34" spans="1:16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86</v>
      </c>
      <c r="H34" s="4" t="s">
        <v>87</v>
      </c>
      <c r="I34" s="4"/>
      <c r="J34" s="4"/>
      <c r="K34" s="4">
        <v>232</v>
      </c>
      <c r="L34" s="4">
        <v>15</v>
      </c>
      <c r="M34" s="4">
        <v>3</v>
      </c>
      <c r="N34" s="4" t="s">
        <v>4</v>
      </c>
      <c r="O34" s="4">
        <v>2</v>
      </c>
      <c r="P34" s="4"/>
    </row>
    <row r="35" spans="1:16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18461.419999999998</v>
      </c>
      <c r="G35" s="4" t="s">
        <v>88</v>
      </c>
      <c r="H35" s="4" t="s">
        <v>89</v>
      </c>
      <c r="I35" s="4"/>
      <c r="J35" s="4"/>
      <c r="K35" s="4">
        <v>214</v>
      </c>
      <c r="L35" s="4">
        <v>16</v>
      </c>
      <c r="M35" s="4">
        <v>3</v>
      </c>
      <c r="N35" s="4" t="s">
        <v>4</v>
      </c>
      <c r="O35" s="4">
        <v>2</v>
      </c>
      <c r="P35" s="4"/>
    </row>
    <row r="36" spans="1:16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90</v>
      </c>
      <c r="H36" s="4" t="s">
        <v>91</v>
      </c>
      <c r="I36" s="4"/>
      <c r="J36" s="4"/>
      <c r="K36" s="4">
        <v>215</v>
      </c>
      <c r="L36" s="4">
        <v>17</v>
      </c>
      <c r="M36" s="4">
        <v>3</v>
      </c>
      <c r="N36" s="4" t="s">
        <v>4</v>
      </c>
      <c r="O36" s="4">
        <v>2</v>
      </c>
      <c r="P36" s="4"/>
    </row>
    <row r="37" spans="1:16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434078.21</v>
      </c>
      <c r="G37" s="4" t="s">
        <v>92</v>
      </c>
      <c r="H37" s="4" t="s">
        <v>93</v>
      </c>
      <c r="I37" s="4"/>
      <c r="J37" s="4"/>
      <c r="K37" s="4">
        <v>217</v>
      </c>
      <c r="L37" s="4">
        <v>18</v>
      </c>
      <c r="M37" s="4">
        <v>3</v>
      </c>
      <c r="N37" s="4" t="s">
        <v>4</v>
      </c>
      <c r="O37" s="4">
        <v>2</v>
      </c>
      <c r="P37" s="4"/>
    </row>
    <row r="38" spans="1:16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94</v>
      </c>
      <c r="H38" s="4" t="s">
        <v>95</v>
      </c>
      <c r="I38" s="4"/>
      <c r="J38" s="4"/>
      <c r="K38" s="4">
        <v>230</v>
      </c>
      <c r="L38" s="4">
        <v>19</v>
      </c>
      <c r="M38" s="4">
        <v>3</v>
      </c>
      <c r="N38" s="4" t="s">
        <v>4</v>
      </c>
      <c r="O38" s="4">
        <v>2</v>
      </c>
      <c r="P38" s="4"/>
    </row>
    <row r="39" spans="1:16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96</v>
      </c>
      <c r="H39" s="4" t="s">
        <v>97</v>
      </c>
      <c r="I39" s="4"/>
      <c r="J39" s="4"/>
      <c r="K39" s="4">
        <v>206</v>
      </c>
      <c r="L39" s="4">
        <v>20</v>
      </c>
      <c r="M39" s="4">
        <v>3</v>
      </c>
      <c r="N39" s="4" t="s">
        <v>4</v>
      </c>
      <c r="O39" s="4">
        <v>2</v>
      </c>
      <c r="P39" s="4"/>
    </row>
    <row r="40" spans="1:16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234.06480000000002</v>
      </c>
      <c r="G40" s="4" t="s">
        <v>98</v>
      </c>
      <c r="H40" s="4" t="s">
        <v>99</v>
      </c>
      <c r="I40" s="4"/>
      <c r="J40" s="4"/>
      <c r="K40" s="4">
        <v>207</v>
      </c>
      <c r="L40" s="4">
        <v>21</v>
      </c>
      <c r="M40" s="4">
        <v>3</v>
      </c>
      <c r="N40" s="4" t="s">
        <v>4</v>
      </c>
      <c r="O40" s="4">
        <v>-1</v>
      </c>
      <c r="P40" s="4"/>
    </row>
    <row r="41" spans="1:16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100</v>
      </c>
      <c r="H41" s="4" t="s">
        <v>101</v>
      </c>
      <c r="I41" s="4"/>
      <c r="J41" s="4"/>
      <c r="K41" s="4">
        <v>208</v>
      </c>
      <c r="L41" s="4">
        <v>22</v>
      </c>
      <c r="M41" s="4">
        <v>3</v>
      </c>
      <c r="N41" s="4" t="s">
        <v>4</v>
      </c>
      <c r="O41" s="4">
        <v>-1</v>
      </c>
      <c r="P41" s="4"/>
    </row>
    <row r="42" spans="1:16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102</v>
      </c>
      <c r="H42" s="4" t="s">
        <v>103</v>
      </c>
      <c r="I42" s="4"/>
      <c r="J42" s="4"/>
      <c r="K42" s="4">
        <v>209</v>
      </c>
      <c r="L42" s="4">
        <v>23</v>
      </c>
      <c r="M42" s="4">
        <v>3</v>
      </c>
      <c r="N42" s="4" t="s">
        <v>4</v>
      </c>
      <c r="O42" s="4">
        <v>2</v>
      </c>
      <c r="P42" s="4"/>
    </row>
    <row r="43" spans="1:16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104</v>
      </c>
      <c r="H43" s="4" t="s">
        <v>105</v>
      </c>
      <c r="I43" s="4"/>
      <c r="J43" s="4"/>
      <c r="K43" s="4">
        <v>233</v>
      </c>
      <c r="L43" s="4">
        <v>24</v>
      </c>
      <c r="M43" s="4">
        <v>3</v>
      </c>
      <c r="N43" s="4" t="s">
        <v>4</v>
      </c>
      <c r="O43" s="4">
        <v>2</v>
      </c>
      <c r="P43" s="4"/>
    </row>
    <row r="44" spans="1:16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38075.230000000003</v>
      </c>
      <c r="G44" s="4" t="s">
        <v>106</v>
      </c>
      <c r="H44" s="4" t="s">
        <v>107</v>
      </c>
      <c r="I44" s="4"/>
      <c r="J44" s="4"/>
      <c r="K44" s="4">
        <v>210</v>
      </c>
      <c r="L44" s="4">
        <v>25</v>
      </c>
      <c r="M44" s="4">
        <v>3</v>
      </c>
      <c r="N44" s="4" t="s">
        <v>4</v>
      </c>
      <c r="O44" s="4">
        <v>2</v>
      </c>
      <c r="P44" s="4"/>
    </row>
    <row r="45" spans="1:16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4863.28</v>
      </c>
      <c r="G45" s="4" t="s">
        <v>108</v>
      </c>
      <c r="H45" s="4" t="s">
        <v>109</v>
      </c>
      <c r="I45" s="4"/>
      <c r="J45" s="4"/>
      <c r="K45" s="4">
        <v>211</v>
      </c>
      <c r="L45" s="4">
        <v>26</v>
      </c>
      <c r="M45" s="4">
        <v>3</v>
      </c>
      <c r="N45" s="4" t="s">
        <v>4</v>
      </c>
      <c r="O45" s="4">
        <v>2</v>
      </c>
      <c r="P45" s="4"/>
    </row>
    <row r="46" spans="1:16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452539.63</v>
      </c>
      <c r="G46" s="4" t="s">
        <v>110</v>
      </c>
      <c r="H46" s="4" t="s">
        <v>111</v>
      </c>
      <c r="I46" s="4"/>
      <c r="J46" s="4"/>
      <c r="K46" s="4">
        <v>224</v>
      </c>
      <c r="L46" s="4">
        <v>27</v>
      </c>
      <c r="M46" s="4">
        <v>3</v>
      </c>
      <c r="N46" s="4" t="s">
        <v>4</v>
      </c>
      <c r="O46" s="4">
        <v>2</v>
      </c>
      <c r="P46" s="4"/>
    </row>
    <row r="47" spans="1:16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452539.63</v>
      </c>
      <c r="G47" s="4" t="s">
        <v>112</v>
      </c>
      <c r="H47" s="4" t="s">
        <v>112</v>
      </c>
      <c r="I47" s="4"/>
      <c r="J47" s="4"/>
      <c r="K47" s="4">
        <v>212</v>
      </c>
      <c r="L47" s="4">
        <v>28</v>
      </c>
      <c r="M47" s="4">
        <v>0</v>
      </c>
      <c r="N47" s="4" t="s">
        <v>4</v>
      </c>
      <c r="O47" s="4">
        <v>2</v>
      </c>
      <c r="P47" s="4"/>
    </row>
    <row r="48" spans="1:16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90507.93</v>
      </c>
      <c r="G48" s="4" t="s">
        <v>113</v>
      </c>
      <c r="H48" s="4" t="s">
        <v>113</v>
      </c>
      <c r="I48" s="4"/>
      <c r="J48" s="4"/>
      <c r="K48" s="4">
        <v>212</v>
      </c>
      <c r="L48" s="4">
        <v>29</v>
      </c>
      <c r="M48" s="4">
        <v>0</v>
      </c>
      <c r="N48" s="4" t="s">
        <v>4</v>
      </c>
      <c r="O48" s="4">
        <v>2</v>
      </c>
      <c r="P48" s="4"/>
    </row>
    <row r="49" spans="1:16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543047.56000000006</v>
      </c>
      <c r="G49" s="4" t="s">
        <v>114</v>
      </c>
      <c r="H49" s="4" t="s">
        <v>114</v>
      </c>
      <c r="I49" s="4"/>
      <c r="J49" s="4"/>
      <c r="K49" s="4">
        <v>212</v>
      </c>
      <c r="L49" s="4">
        <v>30</v>
      </c>
      <c r="M49" s="4">
        <v>0</v>
      </c>
      <c r="N49" s="4" t="s">
        <v>4</v>
      </c>
      <c r="O49" s="4">
        <v>2</v>
      </c>
      <c r="P49" s="4"/>
    </row>
    <row r="51" spans="1:16">
      <c r="A51">
        <v>-1</v>
      </c>
    </row>
    <row r="54" spans="1:16">
      <c r="A54" s="3">
        <v>75</v>
      </c>
      <c r="B54" s="3" t="s">
        <v>115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25859284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12</vt:i4>
      </vt:variant>
    </vt:vector>
  </HeadingPairs>
  <TitlesOfParts>
    <vt:vector size="23" baseType="lpstr">
      <vt:lpstr>Смета СН-2012 по гл. 1-5</vt:lpstr>
      <vt:lpstr>Акт КС-2 по ТСН-2001</vt:lpstr>
      <vt:lpstr>Дефектная ведомость</vt:lpstr>
      <vt:lpstr>Ведомость объемов работ</vt:lpstr>
      <vt:lpstr>RV_DATA</vt:lpstr>
      <vt:lpstr>Расчет стоимости ресурсов</vt:lpstr>
      <vt:lpstr>Локальная ресурсная ведомо</vt:lpstr>
      <vt:lpstr>Source</vt:lpstr>
      <vt:lpstr>SourceObSm</vt:lpstr>
      <vt:lpstr>SmtRes</vt:lpstr>
      <vt:lpstr>EtalonRes</vt:lpstr>
      <vt:lpstr>'Акт КС-2 по ТСН-2001'!Заголовки_для_печати</vt:lpstr>
      <vt:lpstr>'Ведомость объемов работ'!Заголовки_для_печати</vt:lpstr>
      <vt:lpstr>'Дефектная ведомость'!Заголовки_для_печати</vt:lpstr>
      <vt:lpstr>'Локальная ресурсная ведомо'!Заголовки_для_печати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'Акт КС-2 по ТСН-2001'!Область_печати</vt:lpstr>
      <vt:lpstr>'Ведомость объемов работ'!Область_печати</vt:lpstr>
      <vt:lpstr>'Дефектная ведомость'!Область_печати</vt:lpstr>
      <vt:lpstr>'Локальная ресурсная ведомо'!Область_печати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ZamHCh</dc:creator>
  <cp:lastModifiedBy>ZamHCh</cp:lastModifiedBy>
  <cp:lastPrinted>2021-06-21T06:45:11Z</cp:lastPrinted>
  <dcterms:created xsi:type="dcterms:W3CDTF">2021-06-17T08:26:09Z</dcterms:created>
  <dcterms:modified xsi:type="dcterms:W3CDTF">2021-06-21T06:45:25Z</dcterms:modified>
</cp:coreProperties>
</file>