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01.ssnmp.net\ts\Договора\ЗАКУПКИ\223 ФЗ\Аукционы\2021\Кустарник\Кустарники\"/>
    </mc:Choice>
  </mc:AlternateContent>
  <xr:revisionPtr revIDLastSave="0" documentId="13_ncr:1_{11EED891-B4E1-401D-B1DD-9FA2AF455B8E}" xr6:coauthVersionLast="36" xr6:coauthVersionMax="36" xr10:uidLastSave="{00000000-0000-0000-0000-000000000000}"/>
  <bookViews>
    <workbookView xWindow="0" yWindow="0" windowWidth="1980" windowHeight="1170" xr2:uid="{00000000-000D-0000-FFFF-FFFF00000000}"/>
  </bookViews>
  <sheets>
    <sheet name="Смета СН-2012 по гл. 1-5" sheetId="5" r:id="rId1"/>
    <sheet name="Дефектная ведомость" sheetId="6" r:id="rId2"/>
    <sheet name="Ведомость объемов работ" sheetId="7" r:id="rId3"/>
    <sheet name="Source" sheetId="1" state="hidden" r:id="rId4"/>
    <sheet name="SourceObSm" sheetId="2" state="hidden" r:id="rId5"/>
    <sheet name="SmtRes" sheetId="3" state="hidden" r:id="rId6"/>
    <sheet name="EtalonRes" sheetId="4" state="hidden" r:id="rId7"/>
  </sheets>
  <definedNames>
    <definedName name="_xlnm.Print_Titles" localSheetId="2">'Ведомость объемов работ'!$11:$11</definedName>
    <definedName name="_xlnm.Print_Titles" localSheetId="1">'Дефектная ведомость'!$16:$16</definedName>
    <definedName name="_xlnm.Print_Titles" localSheetId="0">'Смета СН-2012 по гл. 1-5'!$28:$28</definedName>
    <definedName name="_xlnm.Print_Area" localSheetId="2">'Ведомость объемов работ'!$A$1:$E$26</definedName>
    <definedName name="_xlnm.Print_Area" localSheetId="1">'Дефектная ведомость'!$A$1:$E$35</definedName>
    <definedName name="_xlnm.Print_Area" localSheetId="0">'Смета СН-2012 по гл. 1-5'!$A$1:$K$132</definedName>
  </definedNames>
  <calcPr calcId="191029"/>
</workbook>
</file>

<file path=xl/calcChain.xml><?xml version="1.0" encoding="utf-8"?>
<calcChain xmlns="http://schemas.openxmlformats.org/spreadsheetml/2006/main">
  <c r="B9" i="7" l="1"/>
  <c r="B11" i="6"/>
  <c r="G5" i="5"/>
  <c r="A9" i="5"/>
  <c r="D22" i="7"/>
  <c r="C22" i="7"/>
  <c r="B22" i="7"/>
  <c r="A22" i="7"/>
  <c r="D21" i="7"/>
  <c r="C21" i="7"/>
  <c r="B21" i="7"/>
  <c r="A21" i="7"/>
  <c r="D20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D13" i="7"/>
  <c r="C13" i="7"/>
  <c r="B13" i="7"/>
  <c r="A13" i="7"/>
  <c r="A12" i="7"/>
  <c r="A8" i="7"/>
  <c r="D27" i="6"/>
  <c r="C27" i="6"/>
  <c r="B27" i="6"/>
  <c r="A27" i="6"/>
  <c r="D26" i="6"/>
  <c r="C26" i="6"/>
  <c r="B26" i="6"/>
  <c r="A26" i="6"/>
  <c r="D25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D18" i="6"/>
  <c r="C18" i="6"/>
  <c r="B18" i="6"/>
  <c r="A18" i="6"/>
  <c r="A17" i="6"/>
  <c r="A10" i="6"/>
  <c r="H130" i="5"/>
  <c r="H127" i="5"/>
  <c r="C130" i="5"/>
  <c r="C127" i="5"/>
  <c r="H114" i="5"/>
  <c r="G114" i="5"/>
  <c r="E114" i="5"/>
  <c r="E113" i="5"/>
  <c r="E112" i="5"/>
  <c r="I111" i="5"/>
  <c r="H111" i="5"/>
  <c r="G111" i="5"/>
  <c r="F111" i="5"/>
  <c r="I110" i="5"/>
  <c r="H110" i="5"/>
  <c r="G110" i="5"/>
  <c r="F110" i="5"/>
  <c r="I109" i="5"/>
  <c r="H109" i="5"/>
  <c r="G109" i="5"/>
  <c r="F109" i="5"/>
  <c r="I108" i="5"/>
  <c r="H108" i="5"/>
  <c r="G108" i="5"/>
  <c r="F108" i="5"/>
  <c r="E107" i="5"/>
  <c r="D107" i="5"/>
  <c r="C107" i="5"/>
  <c r="B107" i="5"/>
  <c r="A107" i="5"/>
  <c r="H105" i="5"/>
  <c r="G105" i="5"/>
  <c r="E105" i="5"/>
  <c r="E104" i="5"/>
  <c r="E103" i="5"/>
  <c r="I102" i="5"/>
  <c r="H102" i="5"/>
  <c r="G102" i="5"/>
  <c r="F102" i="5"/>
  <c r="I101" i="5"/>
  <c r="H101" i="5"/>
  <c r="G101" i="5"/>
  <c r="F101" i="5"/>
  <c r="I100" i="5"/>
  <c r="H100" i="5"/>
  <c r="G100" i="5"/>
  <c r="F100" i="5"/>
  <c r="I99" i="5"/>
  <c r="H99" i="5"/>
  <c r="G99" i="5"/>
  <c r="F99" i="5"/>
  <c r="E98" i="5"/>
  <c r="D98" i="5"/>
  <c r="C98" i="5"/>
  <c r="B98" i="5"/>
  <c r="A98" i="5"/>
  <c r="H96" i="5"/>
  <c r="G96" i="5"/>
  <c r="E96" i="5"/>
  <c r="E95" i="5"/>
  <c r="E94" i="5"/>
  <c r="E93" i="5"/>
  <c r="I92" i="5"/>
  <c r="H92" i="5"/>
  <c r="G92" i="5"/>
  <c r="F92" i="5"/>
  <c r="I91" i="5"/>
  <c r="H91" i="5"/>
  <c r="G91" i="5"/>
  <c r="F91" i="5"/>
  <c r="I90" i="5"/>
  <c r="H90" i="5"/>
  <c r="G90" i="5"/>
  <c r="F90" i="5"/>
  <c r="I89" i="5"/>
  <c r="H89" i="5"/>
  <c r="G89" i="5"/>
  <c r="F89" i="5"/>
  <c r="E88" i="5"/>
  <c r="D88" i="5"/>
  <c r="C88" i="5"/>
  <c r="B88" i="5"/>
  <c r="A88" i="5"/>
  <c r="H86" i="5"/>
  <c r="G86" i="5"/>
  <c r="E86" i="5"/>
  <c r="E85" i="5"/>
  <c r="E84" i="5"/>
  <c r="E83" i="5"/>
  <c r="I82" i="5"/>
  <c r="H82" i="5"/>
  <c r="G82" i="5"/>
  <c r="F82" i="5"/>
  <c r="I81" i="5"/>
  <c r="H81" i="5"/>
  <c r="G81" i="5"/>
  <c r="F81" i="5"/>
  <c r="I80" i="5"/>
  <c r="H80" i="5"/>
  <c r="G80" i="5"/>
  <c r="F80" i="5"/>
  <c r="I79" i="5"/>
  <c r="H79" i="5"/>
  <c r="G79" i="5"/>
  <c r="F79" i="5"/>
  <c r="D77" i="5"/>
  <c r="C77" i="5"/>
  <c r="B77" i="5"/>
  <c r="A77" i="5"/>
  <c r="H75" i="5"/>
  <c r="G75" i="5"/>
  <c r="E75" i="5"/>
  <c r="E74" i="5"/>
  <c r="E73" i="5"/>
  <c r="E72" i="5"/>
  <c r="I71" i="5"/>
  <c r="H71" i="5"/>
  <c r="F71" i="5"/>
  <c r="D71" i="5"/>
  <c r="C71" i="5"/>
  <c r="B71" i="5"/>
  <c r="A71" i="5"/>
  <c r="I70" i="5"/>
  <c r="H70" i="5"/>
  <c r="G70" i="5"/>
  <c r="F70" i="5"/>
  <c r="I69" i="5"/>
  <c r="H69" i="5"/>
  <c r="G69" i="5"/>
  <c r="F69" i="5"/>
  <c r="I68" i="5"/>
  <c r="H68" i="5"/>
  <c r="G68" i="5"/>
  <c r="F68" i="5"/>
  <c r="I67" i="5"/>
  <c r="H67" i="5"/>
  <c r="G67" i="5"/>
  <c r="F67" i="5"/>
  <c r="D65" i="5"/>
  <c r="C65" i="5"/>
  <c r="B65" i="5"/>
  <c r="A65" i="5"/>
  <c r="H63" i="5"/>
  <c r="G63" i="5"/>
  <c r="E63" i="5"/>
  <c r="E62" i="5"/>
  <c r="E61" i="5"/>
  <c r="E60" i="5"/>
  <c r="I59" i="5"/>
  <c r="H59" i="5"/>
  <c r="G59" i="5"/>
  <c r="F59" i="5"/>
  <c r="I58" i="5"/>
  <c r="H58" i="5"/>
  <c r="G58" i="5"/>
  <c r="F58" i="5"/>
  <c r="I57" i="5"/>
  <c r="H57" i="5"/>
  <c r="G57" i="5"/>
  <c r="F57" i="5"/>
  <c r="I56" i="5"/>
  <c r="H56" i="5"/>
  <c r="G56" i="5"/>
  <c r="F56" i="5"/>
  <c r="D54" i="5"/>
  <c r="C54" i="5"/>
  <c r="B54" i="5"/>
  <c r="A54" i="5"/>
  <c r="H52" i="5"/>
  <c r="G52" i="5"/>
  <c r="E52" i="5"/>
  <c r="E51" i="5"/>
  <c r="E50" i="5"/>
  <c r="E49" i="5"/>
  <c r="I48" i="5"/>
  <c r="H48" i="5"/>
  <c r="F48" i="5"/>
  <c r="D48" i="5"/>
  <c r="C48" i="5"/>
  <c r="B48" i="5"/>
  <c r="A48" i="5"/>
  <c r="I47" i="5"/>
  <c r="H47" i="5"/>
  <c r="G47" i="5"/>
  <c r="F47" i="5"/>
  <c r="I46" i="5"/>
  <c r="H46" i="5"/>
  <c r="G46" i="5"/>
  <c r="F46" i="5"/>
  <c r="I45" i="5"/>
  <c r="H45" i="5"/>
  <c r="G45" i="5"/>
  <c r="F45" i="5"/>
  <c r="I44" i="5"/>
  <c r="H44" i="5"/>
  <c r="G44" i="5"/>
  <c r="F44" i="5"/>
  <c r="D42" i="5"/>
  <c r="C42" i="5"/>
  <c r="B42" i="5"/>
  <c r="A42" i="5"/>
  <c r="H40" i="5"/>
  <c r="G40" i="5"/>
  <c r="E40" i="5"/>
  <c r="E39" i="5"/>
  <c r="E38" i="5"/>
  <c r="E37" i="5"/>
  <c r="I36" i="5"/>
  <c r="H36" i="5"/>
  <c r="G36" i="5"/>
  <c r="F36" i="5"/>
  <c r="I35" i="5"/>
  <c r="H35" i="5"/>
  <c r="G35" i="5"/>
  <c r="F35" i="5"/>
  <c r="I34" i="5"/>
  <c r="H34" i="5"/>
  <c r="G34" i="5"/>
  <c r="F34" i="5"/>
  <c r="I33" i="5"/>
  <c r="H33" i="5"/>
  <c r="G33" i="5"/>
  <c r="F33" i="5"/>
  <c r="E32" i="5"/>
  <c r="D32" i="5"/>
  <c r="C32" i="5"/>
  <c r="B32" i="5"/>
  <c r="A32" i="5"/>
  <c r="A31" i="5"/>
  <c r="A14" i="5"/>
  <c r="B5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" i="3"/>
  <c r="CX1" i="3"/>
  <c r="CY1" i="3"/>
  <c r="CZ1" i="3"/>
  <c r="DA1" i="3"/>
  <c r="DB1" i="3"/>
  <c r="DC1" i="3"/>
  <c r="A2" i="3"/>
  <c r="CY2" i="3"/>
  <c r="CZ2" i="3"/>
  <c r="DB2" i="3" s="1"/>
  <c r="DA2" i="3"/>
  <c r="DC2" i="3"/>
  <c r="A3" i="3"/>
  <c r="CY3" i="3"/>
  <c r="CZ3" i="3"/>
  <c r="DB3" i="3" s="1"/>
  <c r="DA3" i="3"/>
  <c r="DC3" i="3"/>
  <c r="A4" i="3"/>
  <c r="CY4" i="3"/>
  <c r="CZ4" i="3"/>
  <c r="DA4" i="3"/>
  <c r="DB4" i="3"/>
  <c r="DC4" i="3"/>
  <c r="A5" i="3"/>
  <c r="CY5" i="3"/>
  <c r="CZ5" i="3"/>
  <c r="DB5" i="3" s="1"/>
  <c r="DA5" i="3"/>
  <c r="DC5" i="3"/>
  <c r="A6" i="3"/>
  <c r="CY6" i="3"/>
  <c r="CZ6" i="3"/>
  <c r="DB6" i="3" s="1"/>
  <c r="DA6" i="3"/>
  <c r="DC6" i="3"/>
  <c r="A7" i="3"/>
  <c r="CY7" i="3"/>
  <c r="CZ7" i="3"/>
  <c r="DB7" i="3" s="1"/>
  <c r="DA7" i="3"/>
  <c r="DC7" i="3"/>
  <c r="A8" i="3"/>
  <c r="CY8" i="3"/>
  <c r="CZ8" i="3"/>
  <c r="DA8" i="3"/>
  <c r="DB8" i="3"/>
  <c r="DC8" i="3"/>
  <c r="A9" i="3"/>
  <c r="CY9" i="3"/>
  <c r="CZ9" i="3"/>
  <c r="DA9" i="3"/>
  <c r="DB9" i="3"/>
  <c r="DC9" i="3"/>
  <c r="A10" i="3"/>
  <c r="CY10" i="3"/>
  <c r="CZ10" i="3"/>
  <c r="DB10" i="3" s="1"/>
  <c r="DA10" i="3"/>
  <c r="DC10" i="3"/>
  <c r="A11" i="3"/>
  <c r="CY11" i="3"/>
  <c r="CZ11" i="3"/>
  <c r="DB11" i="3" s="1"/>
  <c r="DA11" i="3"/>
  <c r="DC11" i="3"/>
  <c r="A12" i="3"/>
  <c r="CX12" i="3"/>
  <c r="CY12" i="3"/>
  <c r="CZ12" i="3"/>
  <c r="DA12" i="3"/>
  <c r="DB12" i="3"/>
  <c r="DC12" i="3"/>
  <c r="A13" i="3"/>
  <c r="CX13" i="3"/>
  <c r="CY13" i="3"/>
  <c r="CZ13" i="3"/>
  <c r="DA13" i="3"/>
  <c r="DB13" i="3"/>
  <c r="DC13" i="3"/>
  <c r="A14" i="3"/>
  <c r="CX14" i="3"/>
  <c r="CY14" i="3"/>
  <c r="CZ14" i="3"/>
  <c r="DB14" i="3" s="1"/>
  <c r="DA14" i="3"/>
  <c r="DC14" i="3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D24" i="1"/>
  <c r="E26" i="1"/>
  <c r="Z26" i="1"/>
  <c r="AA26" i="1"/>
  <c r="AM26" i="1"/>
  <c r="AN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C28" i="1"/>
  <c r="D28" i="1"/>
  <c r="AC28" i="1"/>
  <c r="AD28" i="1"/>
  <c r="AE28" i="1"/>
  <c r="U32" i="5" s="1"/>
  <c r="AF28" i="1"/>
  <c r="S32" i="5" s="1"/>
  <c r="AG28" i="1"/>
  <c r="CU28" i="1" s="1"/>
  <c r="T28" i="1" s="1"/>
  <c r="AH28" i="1"/>
  <c r="CV28" i="1" s="1"/>
  <c r="U28" i="1" s="1"/>
  <c r="K40" i="5" s="1"/>
  <c r="AI28" i="1"/>
  <c r="AJ28" i="1"/>
  <c r="CX28" i="1" s="1"/>
  <c r="W28" i="1" s="1"/>
  <c r="CR28" i="1"/>
  <c r="Q28" i="1" s="1"/>
  <c r="J34" i="5" s="1"/>
  <c r="CS28" i="1"/>
  <c r="R28" i="1" s="1"/>
  <c r="J35" i="5" s="1"/>
  <c r="CT28" i="1"/>
  <c r="S28" i="1" s="1"/>
  <c r="J33" i="5" s="1"/>
  <c r="CW28" i="1"/>
  <c r="V28" i="1" s="1"/>
  <c r="FR28" i="1"/>
  <c r="GL28" i="1"/>
  <c r="GN28" i="1"/>
  <c r="GO28" i="1"/>
  <c r="GV28" i="1"/>
  <c r="HC28" i="1" s="1"/>
  <c r="GX28" i="1" s="1"/>
  <c r="C29" i="1"/>
  <c r="D29" i="1"/>
  <c r="I29" i="1"/>
  <c r="CX2" i="3" s="1"/>
  <c r="AC29" i="1"/>
  <c r="AD29" i="1"/>
  <c r="AE29" i="1"/>
  <c r="U42" i="5" s="1"/>
  <c r="AF29" i="1"/>
  <c r="S42" i="5" s="1"/>
  <c r="AG29" i="1"/>
  <c r="CU29" i="1" s="1"/>
  <c r="T29" i="1" s="1"/>
  <c r="AH29" i="1"/>
  <c r="CV29" i="1" s="1"/>
  <c r="U29" i="1" s="1"/>
  <c r="K52" i="5" s="1"/>
  <c r="AI29" i="1"/>
  <c r="AJ29" i="1"/>
  <c r="CR29" i="1"/>
  <c r="CS29" i="1"/>
  <c r="R29" i="1" s="1"/>
  <c r="GK29" i="1" s="1"/>
  <c r="CT29" i="1"/>
  <c r="S29" i="1" s="1"/>
  <c r="J44" i="5" s="1"/>
  <c r="CW29" i="1"/>
  <c r="V29" i="1" s="1"/>
  <c r="CX29" i="1"/>
  <c r="FR29" i="1"/>
  <c r="GL29" i="1"/>
  <c r="GN29" i="1"/>
  <c r="GO29" i="1"/>
  <c r="GV29" i="1"/>
  <c r="HC29" i="1" s="1"/>
  <c r="GX29" i="1" s="1"/>
  <c r="AC30" i="1"/>
  <c r="AE30" i="1"/>
  <c r="AD30" i="1" s="1"/>
  <c r="AF30" i="1"/>
  <c r="CT30" i="1" s="1"/>
  <c r="AG30" i="1"/>
  <c r="AH30" i="1"/>
  <c r="AI30" i="1"/>
  <c r="CW30" i="1" s="1"/>
  <c r="AJ30" i="1"/>
  <c r="CX30" i="1" s="1"/>
  <c r="CQ30" i="1"/>
  <c r="CR30" i="1"/>
  <c r="CU30" i="1"/>
  <c r="CV30" i="1"/>
  <c r="FR30" i="1"/>
  <c r="GL30" i="1"/>
  <c r="GN30" i="1"/>
  <c r="GO30" i="1"/>
  <c r="GV30" i="1"/>
  <c r="HC30" i="1" s="1"/>
  <c r="C31" i="1"/>
  <c r="D31" i="1"/>
  <c r="I31" i="1"/>
  <c r="CX4" i="3" s="1"/>
  <c r="AC31" i="1"/>
  <c r="AE31" i="1"/>
  <c r="AD31" i="1" s="1"/>
  <c r="AB31" i="1" s="1"/>
  <c r="AF31" i="1"/>
  <c r="CT31" i="1" s="1"/>
  <c r="AG31" i="1"/>
  <c r="AH31" i="1"/>
  <c r="AI31" i="1"/>
  <c r="CW31" i="1" s="1"/>
  <c r="V31" i="1" s="1"/>
  <c r="AJ31" i="1"/>
  <c r="CX31" i="1" s="1"/>
  <c r="W31" i="1" s="1"/>
  <c r="CQ31" i="1"/>
  <c r="P31" i="1" s="1"/>
  <c r="J59" i="5" s="1"/>
  <c r="CU31" i="1"/>
  <c r="CV31" i="1"/>
  <c r="FR31" i="1"/>
  <c r="BY39" i="1" s="1"/>
  <c r="AP39" i="1" s="1"/>
  <c r="GL31" i="1"/>
  <c r="GN31" i="1"/>
  <c r="GO31" i="1"/>
  <c r="GV31" i="1"/>
  <c r="HC31" i="1" s="1"/>
  <c r="C32" i="1"/>
  <c r="D32" i="1"/>
  <c r="I32" i="1"/>
  <c r="CX6" i="3" s="1"/>
  <c r="AC32" i="1"/>
  <c r="CQ32" i="1" s="1"/>
  <c r="P32" i="1" s="1"/>
  <c r="AE32" i="1"/>
  <c r="AD32" i="1" s="1"/>
  <c r="AF32" i="1"/>
  <c r="CT32" i="1" s="1"/>
  <c r="AG32" i="1"/>
  <c r="AH32" i="1"/>
  <c r="CV32" i="1" s="1"/>
  <c r="U32" i="1" s="1"/>
  <c r="K75" i="5" s="1"/>
  <c r="AI32" i="1"/>
  <c r="CW32" i="1" s="1"/>
  <c r="V32" i="1" s="1"/>
  <c r="AJ32" i="1"/>
  <c r="CX32" i="1" s="1"/>
  <c r="W32" i="1" s="1"/>
  <c r="CU32" i="1"/>
  <c r="FR32" i="1"/>
  <c r="GL32" i="1"/>
  <c r="GN32" i="1"/>
  <c r="GO32" i="1"/>
  <c r="GV32" i="1"/>
  <c r="HC32" i="1" s="1"/>
  <c r="AC33" i="1"/>
  <c r="AE33" i="1"/>
  <c r="CS33" i="1" s="1"/>
  <c r="AF33" i="1"/>
  <c r="CT33" i="1" s="1"/>
  <c r="AG33" i="1"/>
  <c r="CU33" i="1" s="1"/>
  <c r="AH33" i="1"/>
  <c r="CV33" i="1" s="1"/>
  <c r="AI33" i="1"/>
  <c r="CW33" i="1" s="1"/>
  <c r="AJ33" i="1"/>
  <c r="CX33" i="1" s="1"/>
  <c r="FR33" i="1"/>
  <c r="GL33" i="1"/>
  <c r="GN33" i="1"/>
  <c r="GO33" i="1"/>
  <c r="GV33" i="1"/>
  <c r="HC33" i="1"/>
  <c r="C34" i="1"/>
  <c r="D34" i="1"/>
  <c r="I34" i="1"/>
  <c r="CX10" i="3" s="1"/>
  <c r="AC34" i="1"/>
  <c r="AE34" i="1"/>
  <c r="AD34" i="1" s="1"/>
  <c r="AF34" i="1"/>
  <c r="Q77" i="5" s="1"/>
  <c r="AG34" i="1"/>
  <c r="CU34" i="1" s="1"/>
  <c r="T34" i="1" s="1"/>
  <c r="AH34" i="1"/>
  <c r="CV34" i="1" s="1"/>
  <c r="AI34" i="1"/>
  <c r="CW34" i="1" s="1"/>
  <c r="V34" i="1" s="1"/>
  <c r="AJ34" i="1"/>
  <c r="CX34" i="1" s="1"/>
  <c r="W34" i="1" s="1"/>
  <c r="CR34" i="1"/>
  <c r="Q34" i="1" s="1"/>
  <c r="J80" i="5" s="1"/>
  <c r="CS34" i="1"/>
  <c r="R34" i="1" s="1"/>
  <c r="GK34" i="1" s="1"/>
  <c r="FR34" i="1"/>
  <c r="GL34" i="1"/>
  <c r="GN34" i="1"/>
  <c r="GO34" i="1"/>
  <c r="GV34" i="1"/>
  <c r="HC34" i="1"/>
  <c r="C35" i="1"/>
  <c r="D35" i="1"/>
  <c r="AC35" i="1"/>
  <c r="CQ35" i="1" s="1"/>
  <c r="P35" i="1" s="1"/>
  <c r="AE35" i="1"/>
  <c r="CS35" i="1" s="1"/>
  <c r="R35" i="1" s="1"/>
  <c r="GK35" i="1" s="1"/>
  <c r="AF35" i="1"/>
  <c r="S88" i="5" s="1"/>
  <c r="AG35" i="1"/>
  <c r="AH35" i="1"/>
  <c r="CV35" i="1" s="1"/>
  <c r="U35" i="1" s="1"/>
  <c r="K96" i="5" s="1"/>
  <c r="AI35" i="1"/>
  <c r="CW35" i="1" s="1"/>
  <c r="V35" i="1" s="1"/>
  <c r="AJ35" i="1"/>
  <c r="CR35" i="1"/>
  <c r="Q35" i="1" s="1"/>
  <c r="J90" i="5" s="1"/>
  <c r="CT35" i="1"/>
  <c r="S35" i="1" s="1"/>
  <c r="CZ35" i="1" s="1"/>
  <c r="Y35" i="1" s="1"/>
  <c r="T88" i="5" s="1"/>
  <c r="J94" i="5" s="1"/>
  <c r="CU35" i="1"/>
  <c r="T35" i="1" s="1"/>
  <c r="CX35" i="1"/>
  <c r="W35" i="1" s="1"/>
  <c r="FR35" i="1"/>
  <c r="GL35" i="1"/>
  <c r="GN35" i="1"/>
  <c r="GO35" i="1"/>
  <c r="GV35" i="1"/>
  <c r="HC35" i="1" s="1"/>
  <c r="GX35" i="1" s="1"/>
  <c r="C36" i="1"/>
  <c r="D36" i="1"/>
  <c r="AC36" i="1"/>
  <c r="AE36" i="1"/>
  <c r="U98" i="5" s="1"/>
  <c r="AF36" i="1"/>
  <c r="CT36" i="1" s="1"/>
  <c r="S36" i="1" s="1"/>
  <c r="CY36" i="1" s="1"/>
  <c r="X36" i="1" s="1"/>
  <c r="R98" i="5" s="1"/>
  <c r="J103" i="5" s="1"/>
  <c r="AG36" i="1"/>
  <c r="AH36" i="1"/>
  <c r="AI36" i="1"/>
  <c r="CW36" i="1" s="1"/>
  <c r="V36" i="1" s="1"/>
  <c r="AJ36" i="1"/>
  <c r="CX36" i="1" s="1"/>
  <c r="W36" i="1" s="1"/>
  <c r="CQ36" i="1"/>
  <c r="P36" i="1" s="1"/>
  <c r="J102" i="5" s="1"/>
  <c r="CR36" i="1"/>
  <c r="Q36" i="1" s="1"/>
  <c r="J100" i="5" s="1"/>
  <c r="CU36" i="1"/>
  <c r="T36" i="1" s="1"/>
  <c r="CV36" i="1"/>
  <c r="U36" i="1" s="1"/>
  <c r="K105" i="5" s="1"/>
  <c r="FR36" i="1"/>
  <c r="GL36" i="1"/>
  <c r="GN36" i="1"/>
  <c r="GO36" i="1"/>
  <c r="GV36" i="1"/>
  <c r="HC36" i="1" s="1"/>
  <c r="GX36" i="1" s="1"/>
  <c r="C37" i="1"/>
  <c r="D37" i="1"/>
  <c r="AC37" i="1"/>
  <c r="AE37" i="1"/>
  <c r="AD37" i="1" s="1"/>
  <c r="AF37" i="1"/>
  <c r="S107" i="5" s="1"/>
  <c r="AG37" i="1"/>
  <c r="CU37" i="1" s="1"/>
  <c r="T37" i="1" s="1"/>
  <c r="AH37" i="1"/>
  <c r="CV37" i="1" s="1"/>
  <c r="U37" i="1" s="1"/>
  <c r="K114" i="5" s="1"/>
  <c r="AI37" i="1"/>
  <c r="AJ37" i="1"/>
  <c r="CX37" i="1" s="1"/>
  <c r="W37" i="1" s="1"/>
  <c r="CR37" i="1"/>
  <c r="Q37" i="1" s="1"/>
  <c r="J109" i="5" s="1"/>
  <c r="CS37" i="1"/>
  <c r="R37" i="1" s="1"/>
  <c r="J110" i="5" s="1"/>
  <c r="CT37" i="1"/>
  <c r="S37" i="1" s="1"/>
  <c r="J108" i="5" s="1"/>
  <c r="CW37" i="1"/>
  <c r="V37" i="1" s="1"/>
  <c r="FR37" i="1"/>
  <c r="GL37" i="1"/>
  <c r="GN37" i="1"/>
  <c r="GO37" i="1"/>
  <c r="GV37" i="1"/>
  <c r="HC37" i="1" s="1"/>
  <c r="GX37" i="1" s="1"/>
  <c r="B39" i="1"/>
  <c r="B26" i="1" s="1"/>
  <c r="C39" i="1"/>
  <c r="C26" i="1" s="1"/>
  <c r="D39" i="1"/>
  <c r="D26" i="1" s="1"/>
  <c r="F39" i="1"/>
  <c r="F26" i="1" s="1"/>
  <c r="G39" i="1"/>
  <c r="G26" i="1" s="1"/>
  <c r="BX39" i="1"/>
  <c r="BX26" i="1" s="1"/>
  <c r="CK39" i="1"/>
  <c r="CK26" i="1" s="1"/>
  <c r="CL39" i="1"/>
  <c r="CL26" i="1" s="1"/>
  <c r="CM39" i="1"/>
  <c r="CM26" i="1" s="1"/>
  <c r="B69" i="1"/>
  <c r="B22" i="1" s="1"/>
  <c r="C69" i="1"/>
  <c r="C22" i="1" s="1"/>
  <c r="D69" i="1"/>
  <c r="D22" i="1" s="1"/>
  <c r="F69" i="1"/>
  <c r="F22" i="1" s="1"/>
  <c r="G69" i="1"/>
  <c r="G22" i="1" s="1"/>
  <c r="B99" i="1"/>
  <c r="B18" i="1" s="1"/>
  <c r="C99" i="1"/>
  <c r="C18" i="1" s="1"/>
  <c r="D99" i="1"/>
  <c r="D18" i="1" s="1"/>
  <c r="F99" i="1"/>
  <c r="F18" i="1" s="1"/>
  <c r="G99" i="1"/>
  <c r="G18" i="1" s="1"/>
  <c r="J70" i="5" l="1"/>
  <c r="CP35" i="1"/>
  <c r="O35" i="1" s="1"/>
  <c r="J92" i="5"/>
  <c r="V71" i="5"/>
  <c r="CX5" i="3"/>
  <c r="Q32" i="5"/>
  <c r="U48" i="5"/>
  <c r="S65" i="5"/>
  <c r="S77" i="5"/>
  <c r="S98" i="5"/>
  <c r="Q107" i="5"/>
  <c r="AD33" i="1"/>
  <c r="P30" i="1"/>
  <c r="AB30" i="1"/>
  <c r="CX9" i="3"/>
  <c r="E42" i="5"/>
  <c r="V42" i="5"/>
  <c r="E54" i="5"/>
  <c r="U65" i="5"/>
  <c r="U77" i="5"/>
  <c r="J89" i="5"/>
  <c r="D21" i="6"/>
  <c r="D24" i="6"/>
  <c r="D16" i="7"/>
  <c r="D19" i="7"/>
  <c r="Q29" i="1"/>
  <c r="J45" i="5" s="1"/>
  <c r="AB28" i="1"/>
  <c r="Q42" i="5"/>
  <c r="C43" i="5"/>
  <c r="Q54" i="5"/>
  <c r="C55" i="5"/>
  <c r="S71" i="5"/>
  <c r="J81" i="5"/>
  <c r="V88" i="5"/>
  <c r="J95" i="5" s="1"/>
  <c r="U107" i="5"/>
  <c r="A117" i="5"/>
  <c r="S54" i="5"/>
  <c r="U71" i="5"/>
  <c r="Q88" i="5"/>
  <c r="J99" i="5"/>
  <c r="A120" i="5"/>
  <c r="GX34" i="1"/>
  <c r="GX32" i="1"/>
  <c r="T32" i="1"/>
  <c r="U31" i="1"/>
  <c r="K63" i="5" s="1"/>
  <c r="V30" i="1"/>
  <c r="I30" i="1"/>
  <c r="W30" i="1" s="1"/>
  <c r="CY35" i="1"/>
  <c r="X35" i="1" s="1"/>
  <c r="R88" i="5" s="1"/>
  <c r="J93" i="5" s="1"/>
  <c r="AD35" i="1"/>
  <c r="AB35" i="1" s="1"/>
  <c r="U34" i="1"/>
  <c r="K86" i="5" s="1"/>
  <c r="CR32" i="1"/>
  <c r="Q32" i="1" s="1"/>
  <c r="J68" i="5" s="1"/>
  <c r="S32" i="1"/>
  <c r="J67" i="5" s="1"/>
  <c r="GX31" i="1"/>
  <c r="T31" i="1"/>
  <c r="U30" i="1"/>
  <c r="W29" i="1"/>
  <c r="AB29" i="1"/>
  <c r="Q48" i="5"/>
  <c r="U54" i="5"/>
  <c r="E65" i="5"/>
  <c r="E77" i="5"/>
  <c r="V77" i="5"/>
  <c r="J85" i="5" s="1"/>
  <c r="CR33" i="1"/>
  <c r="Q30" i="1"/>
  <c r="CC39" i="1"/>
  <c r="CC26" i="1" s="1"/>
  <c r="CT34" i="1"/>
  <c r="S34" i="1" s="1"/>
  <c r="J79" i="5" s="1"/>
  <c r="AB32" i="1"/>
  <c r="CR31" i="1"/>
  <c r="Q31" i="1" s="1"/>
  <c r="J57" i="5" s="1"/>
  <c r="S31" i="1"/>
  <c r="J56" i="5" s="1"/>
  <c r="GX30" i="1"/>
  <c r="T30" i="1"/>
  <c r="V32" i="5"/>
  <c r="J39" i="5" s="1"/>
  <c r="J46" i="5"/>
  <c r="S48" i="5"/>
  <c r="Q65" i="5"/>
  <c r="C66" i="5"/>
  <c r="C78" i="5"/>
  <c r="U88" i="5"/>
  <c r="J91" i="5"/>
  <c r="Q98" i="5"/>
  <c r="V107" i="5"/>
  <c r="D19" i="6"/>
  <c r="D22" i="6"/>
  <c r="D14" i="7"/>
  <c r="D17" i="7"/>
  <c r="I97" i="5"/>
  <c r="AT39" i="1"/>
  <c r="GM35" i="1"/>
  <c r="GP35" i="1"/>
  <c r="W33" i="1"/>
  <c r="BY26" i="1"/>
  <c r="AB37" i="1"/>
  <c r="CQ37" i="1"/>
  <c r="P37" i="1" s="1"/>
  <c r="CY29" i="1"/>
  <c r="X29" i="1" s="1"/>
  <c r="R42" i="5" s="1"/>
  <c r="CZ29" i="1"/>
  <c r="Y29" i="1" s="1"/>
  <c r="T42" i="5" s="1"/>
  <c r="AD36" i="1"/>
  <c r="AB36" i="1" s="1"/>
  <c r="CS36" i="1"/>
  <c r="AB34" i="1"/>
  <c r="CQ34" i="1"/>
  <c r="P34" i="1" s="1"/>
  <c r="GK28" i="1"/>
  <c r="CZ36" i="1"/>
  <c r="Y36" i="1" s="1"/>
  <c r="T98" i="5" s="1"/>
  <c r="J104" i="5" s="1"/>
  <c r="I106" i="5" s="1"/>
  <c r="K106" i="5" s="1"/>
  <c r="CP36" i="1"/>
  <c r="O36" i="1" s="1"/>
  <c r="Q33" i="1"/>
  <c r="CB39" i="1"/>
  <c r="BB39" i="1"/>
  <c r="AP69" i="1"/>
  <c r="AP26" i="1"/>
  <c r="F48" i="1"/>
  <c r="CZ37" i="1"/>
  <c r="Y37" i="1" s="1"/>
  <c r="T107" i="5" s="1"/>
  <c r="J113" i="5" s="1"/>
  <c r="CY37" i="1"/>
  <c r="X37" i="1" s="1"/>
  <c r="R107" i="5" s="1"/>
  <c r="J112" i="5" s="1"/>
  <c r="AB33" i="1"/>
  <c r="CQ33" i="1"/>
  <c r="P33" i="1" s="1"/>
  <c r="CY28" i="1"/>
  <c r="X28" i="1" s="1"/>
  <c r="R32" i="5" s="1"/>
  <c r="J37" i="5" s="1"/>
  <c r="CZ28" i="1"/>
  <c r="Y28" i="1" s="1"/>
  <c r="T32" i="5" s="1"/>
  <c r="J38" i="5" s="1"/>
  <c r="I41" i="5" s="1"/>
  <c r="BZ39" i="1"/>
  <c r="T33" i="1"/>
  <c r="AG39" i="1" s="1"/>
  <c r="CS31" i="1"/>
  <c r="CS30" i="1"/>
  <c r="CQ28" i="1"/>
  <c r="P28" i="1" s="1"/>
  <c r="J36" i="5" s="1"/>
  <c r="CX8" i="3"/>
  <c r="BD39" i="1"/>
  <c r="CX11" i="3"/>
  <c r="CX7" i="3"/>
  <c r="CX3" i="3"/>
  <c r="BC39" i="1"/>
  <c r="CS32" i="1"/>
  <c r="CQ29" i="1"/>
  <c r="P29" i="1" s="1"/>
  <c r="AO39" i="1"/>
  <c r="I33" i="1"/>
  <c r="CY31" i="1" l="1"/>
  <c r="X31" i="1" s="1"/>
  <c r="R54" i="5" s="1"/>
  <c r="J60" i="5" s="1"/>
  <c r="I64" i="5" s="1"/>
  <c r="CP31" i="1"/>
  <c r="O31" i="1" s="1"/>
  <c r="R32" i="1"/>
  <c r="V65" i="5"/>
  <c r="J74" i="5" s="1"/>
  <c r="CZ31" i="1"/>
  <c r="Y31" i="1" s="1"/>
  <c r="T54" i="5" s="1"/>
  <c r="J61" i="5" s="1"/>
  <c r="AD39" i="1"/>
  <c r="R30" i="1"/>
  <c r="GK30" i="1" s="1"/>
  <c r="V48" i="5"/>
  <c r="J51" i="5" s="1"/>
  <c r="CZ32" i="1"/>
  <c r="Y32" i="1" s="1"/>
  <c r="T65" i="5" s="1"/>
  <c r="CP34" i="1"/>
  <c r="O34" i="1" s="1"/>
  <c r="J82" i="5"/>
  <c r="I87" i="5" s="1"/>
  <c r="CZ34" i="1"/>
  <c r="Y34" i="1" s="1"/>
  <c r="T77" i="5" s="1"/>
  <c r="J84" i="5" s="1"/>
  <c r="S33" i="1"/>
  <c r="CY33" i="1" s="1"/>
  <c r="X33" i="1" s="1"/>
  <c r="R71" i="5" s="1"/>
  <c r="D18" i="7"/>
  <c r="D23" i="6"/>
  <c r="E71" i="5"/>
  <c r="R31" i="1"/>
  <c r="V54" i="5"/>
  <c r="J62" i="5" s="1"/>
  <c r="CY32" i="1"/>
  <c r="X32" i="1" s="1"/>
  <c r="CY34" i="1"/>
  <c r="X34" i="1" s="1"/>
  <c r="R77" i="5" s="1"/>
  <c r="J83" i="5" s="1"/>
  <c r="D15" i="7"/>
  <c r="D20" i="6"/>
  <c r="E48" i="5"/>
  <c r="S30" i="1"/>
  <c r="CP30" i="1" s="1"/>
  <c r="O30" i="1" s="1"/>
  <c r="Q71" i="5"/>
  <c r="R36" i="1"/>
  <c r="J101" i="5" s="1"/>
  <c r="V98" i="5"/>
  <c r="CP37" i="1"/>
  <c r="O37" i="1" s="1"/>
  <c r="GM37" i="1" s="1"/>
  <c r="J111" i="5"/>
  <c r="I115" i="5" s="1"/>
  <c r="K115" i="5" s="1"/>
  <c r="CP29" i="1"/>
  <c r="O29" i="1" s="1"/>
  <c r="GP29" i="1" s="1"/>
  <c r="J47" i="5"/>
  <c r="AJ39" i="1"/>
  <c r="AJ26" i="1" s="1"/>
  <c r="CP32" i="1"/>
  <c r="O32" i="1" s="1"/>
  <c r="P106" i="5"/>
  <c r="P41" i="5"/>
  <c r="K41" i="5"/>
  <c r="P97" i="5"/>
  <c r="K97" i="5"/>
  <c r="T39" i="1"/>
  <c r="AG26" i="1"/>
  <c r="CZ33" i="1"/>
  <c r="Y33" i="1" s="1"/>
  <c r="T71" i="5" s="1"/>
  <c r="AF39" i="1"/>
  <c r="GM29" i="1"/>
  <c r="AC39" i="1"/>
  <c r="CP28" i="1"/>
  <c r="O28" i="1" s="1"/>
  <c r="F43" i="1"/>
  <c r="AO69" i="1"/>
  <c r="AO26" i="1"/>
  <c r="AQ39" i="1"/>
  <c r="BZ26" i="1"/>
  <c r="CG39" i="1"/>
  <c r="F55" i="1"/>
  <c r="BC26" i="1"/>
  <c r="BC69" i="1"/>
  <c r="BD26" i="1"/>
  <c r="F64" i="1"/>
  <c r="BD69" i="1"/>
  <c r="AP22" i="1"/>
  <c r="AP99" i="1"/>
  <c r="F78" i="1"/>
  <c r="G16" i="2" s="1"/>
  <c r="G18" i="2" s="1"/>
  <c r="BB69" i="1"/>
  <c r="F52" i="1"/>
  <c r="BB26" i="1"/>
  <c r="F57" i="1"/>
  <c r="AT69" i="1"/>
  <c r="AT26" i="1"/>
  <c r="CB26" i="1"/>
  <c r="AS39" i="1"/>
  <c r="GX33" i="1"/>
  <c r="CJ39" i="1" s="1"/>
  <c r="R33" i="1"/>
  <c r="U33" i="1"/>
  <c r="AH39" i="1" s="1"/>
  <c r="V33" i="1"/>
  <c r="AI39" i="1" s="1"/>
  <c r="Q39" i="1"/>
  <c r="AD26" i="1"/>
  <c r="GM36" i="1"/>
  <c r="GP36" i="1"/>
  <c r="GM34" i="1"/>
  <c r="GP37" i="1"/>
  <c r="CP33" i="1"/>
  <c r="O33" i="1" s="1"/>
  <c r="J71" i="5" s="1"/>
  <c r="CI39" i="1"/>
  <c r="J48" i="5" l="1"/>
  <c r="GM30" i="1"/>
  <c r="P87" i="5"/>
  <c r="K87" i="5"/>
  <c r="GP31" i="1"/>
  <c r="P64" i="5"/>
  <c r="K64" i="5"/>
  <c r="P115" i="5"/>
  <c r="GK31" i="1"/>
  <c r="J58" i="5"/>
  <c r="GM31" i="1"/>
  <c r="J73" i="5"/>
  <c r="GK32" i="1"/>
  <c r="GP32" i="1" s="1"/>
  <c r="J69" i="5"/>
  <c r="GP34" i="1"/>
  <c r="W39" i="1"/>
  <c r="R65" i="5"/>
  <c r="J72" i="5" s="1"/>
  <c r="I76" i="5" s="1"/>
  <c r="CY30" i="1"/>
  <c r="X30" i="1" s="1"/>
  <c r="CZ30" i="1"/>
  <c r="Y30" i="1" s="1"/>
  <c r="F51" i="1"/>
  <c r="Q69" i="1"/>
  <c r="Q26" i="1"/>
  <c r="AP18" i="1"/>
  <c r="F108" i="1"/>
  <c r="I21" i="5" s="1"/>
  <c r="CG26" i="1"/>
  <c r="AX39" i="1"/>
  <c r="AO22" i="1"/>
  <c r="AO99" i="1"/>
  <c r="F73" i="1"/>
  <c r="T26" i="1"/>
  <c r="F60" i="1"/>
  <c r="T69" i="1"/>
  <c r="GK33" i="1"/>
  <c r="GP33" i="1" s="1"/>
  <c r="AE39" i="1"/>
  <c r="CF39" i="1"/>
  <c r="P39" i="1"/>
  <c r="CE39" i="1"/>
  <c r="CH39" i="1"/>
  <c r="AC26" i="1"/>
  <c r="CI26" i="1"/>
  <c r="AZ39" i="1"/>
  <c r="U39" i="1"/>
  <c r="AH26" i="1"/>
  <c r="AT22" i="1"/>
  <c r="F87" i="1"/>
  <c r="F16" i="2" s="1"/>
  <c r="F18" i="2" s="1"/>
  <c r="AT99" i="1"/>
  <c r="BB22" i="1"/>
  <c r="BB99" i="1"/>
  <c r="F82" i="1"/>
  <c r="F94" i="1"/>
  <c r="BD22" i="1"/>
  <c r="BD99" i="1"/>
  <c r="F49" i="1"/>
  <c r="AQ26" i="1"/>
  <c r="AQ69" i="1"/>
  <c r="GP28" i="1"/>
  <c r="GM28" i="1"/>
  <c r="AB39" i="1"/>
  <c r="W69" i="1"/>
  <c r="W26" i="1"/>
  <c r="F63" i="1"/>
  <c r="CJ26" i="1"/>
  <c r="BA39" i="1"/>
  <c r="AF26" i="1"/>
  <c r="S39" i="1"/>
  <c r="GM33" i="1"/>
  <c r="AI26" i="1"/>
  <c r="V39" i="1"/>
  <c r="F56" i="1"/>
  <c r="AS69" i="1"/>
  <c r="AS26" i="1"/>
  <c r="BC22" i="1"/>
  <c r="BC99" i="1"/>
  <c r="F85" i="1"/>
  <c r="GM32" i="1" l="1"/>
  <c r="T48" i="5"/>
  <c r="J50" i="5" s="1"/>
  <c r="AL39" i="1"/>
  <c r="P76" i="5"/>
  <c r="K76" i="5"/>
  <c r="R48" i="5"/>
  <c r="J49" i="5" s="1"/>
  <c r="AK39" i="1"/>
  <c r="GP30" i="1"/>
  <c r="CD39" i="1" s="1"/>
  <c r="AB26" i="1"/>
  <c r="O39" i="1"/>
  <c r="AT18" i="1"/>
  <c r="F117" i="1"/>
  <c r="I20" i="5" s="1"/>
  <c r="AE26" i="1"/>
  <c r="R39" i="1"/>
  <c r="AX69" i="1"/>
  <c r="AX26" i="1"/>
  <c r="F46" i="1"/>
  <c r="V69" i="1"/>
  <c r="V26" i="1"/>
  <c r="F62" i="1"/>
  <c r="S69" i="1"/>
  <c r="S26" i="1"/>
  <c r="F54" i="1"/>
  <c r="W22" i="1"/>
  <c r="W99" i="1"/>
  <c r="F93" i="1"/>
  <c r="AQ22" i="1"/>
  <c r="AQ99" i="1"/>
  <c r="F79" i="1"/>
  <c r="CF26" i="1"/>
  <c r="AW39" i="1"/>
  <c r="Q22" i="1"/>
  <c r="Q99" i="1"/>
  <c r="F81" i="1"/>
  <c r="F115" i="1"/>
  <c r="BC18" i="1"/>
  <c r="BD18" i="1"/>
  <c r="F124" i="1"/>
  <c r="BB18" i="1"/>
  <c r="F112" i="1"/>
  <c r="P26" i="1"/>
  <c r="F42" i="1"/>
  <c r="P69" i="1"/>
  <c r="T99" i="1"/>
  <c r="T22" i="1"/>
  <c r="F90" i="1"/>
  <c r="F103" i="1"/>
  <c r="AO18" i="1"/>
  <c r="F61" i="1"/>
  <c r="U69" i="1"/>
  <c r="U26" i="1"/>
  <c r="CH26" i="1"/>
  <c r="AY39" i="1"/>
  <c r="F86" i="1"/>
  <c r="E16" i="2" s="1"/>
  <c r="AS99" i="1"/>
  <c r="AS22" i="1"/>
  <c r="F59" i="1"/>
  <c r="BA69" i="1"/>
  <c r="BA26" i="1"/>
  <c r="AZ26" i="1"/>
  <c r="AZ69" i="1"/>
  <c r="F50" i="1"/>
  <c r="CE26" i="1"/>
  <c r="AV39" i="1"/>
  <c r="CA39" i="1"/>
  <c r="I53" i="5" l="1"/>
  <c r="Y39" i="1"/>
  <c r="AL26" i="1"/>
  <c r="AK26" i="1"/>
  <c r="X39" i="1"/>
  <c r="BA22" i="1"/>
  <c r="BA99" i="1"/>
  <c r="F89" i="1"/>
  <c r="U22" i="1"/>
  <c r="F91" i="1"/>
  <c r="U99" i="1"/>
  <c r="F92" i="1"/>
  <c r="V99" i="1"/>
  <c r="V22" i="1"/>
  <c r="AS18" i="1"/>
  <c r="F116" i="1"/>
  <c r="I19" i="5" s="1"/>
  <c r="F72" i="1"/>
  <c r="P99" i="1"/>
  <c r="P22" i="1"/>
  <c r="F45" i="1"/>
  <c r="AW26" i="1"/>
  <c r="AW69" i="1"/>
  <c r="F53" i="1"/>
  <c r="R26" i="1"/>
  <c r="R69" i="1"/>
  <c r="F41" i="1"/>
  <c r="O69" i="1"/>
  <c r="O26" i="1"/>
  <c r="AV26" i="1"/>
  <c r="F44" i="1"/>
  <c r="AV69" i="1"/>
  <c r="T18" i="1"/>
  <c r="F120" i="1"/>
  <c r="F109" i="1"/>
  <c r="AQ18" i="1"/>
  <c r="F76" i="1"/>
  <c r="AX22" i="1"/>
  <c r="AX99" i="1"/>
  <c r="E18" i="2"/>
  <c r="CA26" i="1"/>
  <c r="AR39" i="1"/>
  <c r="F80" i="1"/>
  <c r="AZ22" i="1"/>
  <c r="AZ99" i="1"/>
  <c r="F47" i="1"/>
  <c r="AY26" i="1"/>
  <c r="AY69" i="1"/>
  <c r="CD26" i="1"/>
  <c r="AU39" i="1"/>
  <c r="F111" i="1"/>
  <c r="Q18" i="1"/>
  <c r="F123" i="1"/>
  <c r="W18" i="1"/>
  <c r="S22" i="1"/>
  <c r="F84" i="1"/>
  <c r="J16" i="2" s="1"/>
  <c r="J18" i="2" s="1"/>
  <c r="S99" i="1"/>
  <c r="X69" i="1" l="1"/>
  <c r="F65" i="1"/>
  <c r="X26" i="1"/>
  <c r="F66" i="1"/>
  <c r="Y69" i="1"/>
  <c r="Y26" i="1"/>
  <c r="K53" i="5"/>
  <c r="P53" i="5"/>
  <c r="O22" i="1"/>
  <c r="F71" i="1"/>
  <c r="O99" i="1"/>
  <c r="AY22" i="1"/>
  <c r="AY99" i="1"/>
  <c r="F77" i="1"/>
  <c r="F121" i="1"/>
  <c r="U18" i="1"/>
  <c r="F119" i="1"/>
  <c r="BA18" i="1"/>
  <c r="S18" i="1"/>
  <c r="F114" i="1"/>
  <c r="AZ18" i="1"/>
  <c r="F110" i="1"/>
  <c r="R99" i="1"/>
  <c r="R22" i="1"/>
  <c r="F83" i="1"/>
  <c r="V18" i="1"/>
  <c r="F122" i="1"/>
  <c r="F74" i="1"/>
  <c r="AV22" i="1"/>
  <c r="AV99" i="1"/>
  <c r="AU26" i="1"/>
  <c r="F58" i="1"/>
  <c r="AU69" i="1"/>
  <c r="AR26" i="1"/>
  <c r="F67" i="1"/>
  <c r="AR69" i="1"/>
  <c r="AX18" i="1"/>
  <c r="F106" i="1"/>
  <c r="AW22" i="1"/>
  <c r="AW99" i="1"/>
  <c r="F75" i="1"/>
  <c r="P18" i="1"/>
  <c r="F102" i="1"/>
  <c r="I120" i="5" l="1"/>
  <c r="I123" i="5" s="1"/>
  <c r="I124" i="5" s="1"/>
  <c r="I117" i="5"/>
  <c r="Y22" i="1"/>
  <c r="Y99" i="1"/>
  <c r="F96" i="1"/>
  <c r="I23" i="5"/>
  <c r="X22" i="1"/>
  <c r="X99" i="1"/>
  <c r="F95" i="1"/>
  <c r="R18" i="1"/>
  <c r="F113" i="1"/>
  <c r="F107" i="1"/>
  <c r="AY18" i="1"/>
  <c r="O18" i="1"/>
  <c r="F101" i="1"/>
  <c r="AU22" i="1"/>
  <c r="F88" i="1"/>
  <c r="H16" i="2" s="1"/>
  <c r="AU99" i="1"/>
  <c r="F105" i="1"/>
  <c r="AW18" i="1"/>
  <c r="AR22" i="1"/>
  <c r="AR99" i="1"/>
  <c r="F97" i="1"/>
  <c r="AV18" i="1"/>
  <c r="F104" i="1"/>
  <c r="Y18" i="1" l="1"/>
  <c r="F126" i="1"/>
  <c r="X18" i="1"/>
  <c r="F125" i="1"/>
  <c r="F127" i="1"/>
  <c r="I18" i="5" s="1"/>
  <c r="AR18" i="1"/>
  <c r="F118" i="1"/>
  <c r="I22" i="5" s="1"/>
  <c r="AU18" i="1"/>
  <c r="H18" i="2"/>
  <c r="I16" i="2"/>
  <c r="I18" i="2" s="1"/>
</calcChain>
</file>

<file path=xl/sharedStrings.xml><?xml version="1.0" encoding="utf-8"?>
<sst xmlns="http://schemas.openxmlformats.org/spreadsheetml/2006/main" count="1225" uniqueCount="200">
  <si>
    <t>Smeta.RU  (495) 974-1589</t>
  </si>
  <si>
    <t>_PS_</t>
  </si>
  <si>
    <t>Smeta.RU</t>
  </si>
  <si>
    <t/>
  </si>
  <si>
    <t>Благоустройство сквера ЦАК</t>
  </si>
  <si>
    <t>Сметные нормы списания</t>
  </si>
  <si>
    <t>Коды ОКП для СН-2012 - 2021 г.</t>
  </si>
  <si>
    <t>СН-2012 - 2021 г_глава_1-5,7</t>
  </si>
  <si>
    <t>Типовой расчет для СН-2012 - 2021 г</t>
  </si>
  <si>
    <t>СН-2012-2021 г. База данных "Сборник стоимостных нормативов"</t>
  </si>
  <si>
    <t>Поправки для СН-2012-2021 в ценах на 01.10.2020 г И3</t>
  </si>
  <si>
    <t>Новая локальная смета</t>
  </si>
  <si>
    <t>Новый раздел</t>
  </si>
  <si>
    <t>Территория ЦАК</t>
  </si>
  <si>
    <t>1</t>
  </si>
  <si>
    <t>5.4-3104-7-1/1</t>
  </si>
  <si>
    <t>Расчистка площадей от кустарников и мелколесья диаметром до 100 мм вручную с последующей переноской и складированием на расстояние до 50 м при редкой заросли</t>
  </si>
  <si>
    <t>га</t>
  </si>
  <si>
    <t>СН-2012-2021.5. Доп.2. Сб.4-3104-7-1/1</t>
  </si>
  <si>
    <t>СН-2012</t>
  </si>
  <si>
    <t>Подрядные работы, гл. 1-5,7</t>
  </si>
  <si>
    <t>работа</t>
  </si>
  <si>
    <t>2</t>
  </si>
  <si>
    <t>5.4-3103-24-2/1</t>
  </si>
  <si>
    <t>Посадка кустарников с комом земли в живую изгородь - подготовка посадочных мест вручную для однорядной живой изгороди с добавлением растительной земли, добавлять на каждые 25 %</t>
  </si>
  <si>
    <t>10 м</t>
  </si>
  <si>
    <t>СН-2012-2021.5. Доп.2. Сб.4-3103-24-2/1</t>
  </si>
  <si>
    <t>2.1</t>
  </si>
  <si>
    <t>21.4-6-5</t>
  </si>
  <si>
    <t>Земля растительная</t>
  </si>
  <si>
    <t>м3</t>
  </si>
  <si>
    <t>СН-2012-2021.21. Доп.2. Р.4, о.6, поз.5</t>
  </si>
  <si>
    <t>3</t>
  </si>
  <si>
    <t>5.4-3103-25-1/1</t>
  </si>
  <si>
    <t>Посадка кустарников с комом земли в живую изгородь - однорядная (без стоимости кустарников) существующие</t>
  </si>
  <si>
    <t>СН-2012-2021.5. Доп.2. Сб.4-3103-25-1/1</t>
  </si>
  <si>
    <t>4</t>
  </si>
  <si>
    <t>Посадка кустарников с комом земли в живую изгородь - однорядная (без стоимости кустарников)</t>
  </si>
  <si>
    <t>4.1</t>
  </si>
  <si>
    <t>21.4-2-27</t>
  </si>
  <si>
    <t>Кустарники декоративные с закрытой корневой системой: кизильник блестящий, С7</t>
  </si>
  <si>
    <t>шт.</t>
  </si>
  <si>
    <t>СН-2012-2021.21. Доп.2. Р.4, о.2, поз.27</t>
  </si>
  <si>
    <t>5</t>
  </si>
  <si>
    <t>5.4-3103-20-3/1</t>
  </si>
  <si>
    <t>Внесение минеральных удобрений при посадке деревьев и кустарников для стандартных саженцев</t>
  </si>
  <si>
    <t>10 м3 ям</t>
  </si>
  <si>
    <t>СН-2012-2021.5. Доп.2. Сб.4-3103-20-3/1</t>
  </si>
  <si>
    <t>6</t>
  </si>
  <si>
    <t>5.4-3205-1-1/1</t>
  </si>
  <si>
    <t>Погрузка вручную на автотранспорт растительных остатков - стебли и выкопанные растения</t>
  </si>
  <si>
    <t>т</t>
  </si>
  <si>
    <t>СН-2012-2021.5. Доп.2. Сб.4-3205-1-1/1</t>
  </si>
  <si>
    <t>7</t>
  </si>
  <si>
    <t>5.4-3205-2-1/1</t>
  </si>
  <si>
    <t>Перевозка растительных остатков автосамосвалами грузоподъемностью до 15 т на расстояние 1 км - при погрузке вручную</t>
  </si>
  <si>
    <t>СН-2012-2021.5. Доп.2. Сб.4-3205-2-1/1</t>
  </si>
  <si>
    <t>Подрядные работы, гл. 1 перевозка мусора</t>
  </si>
  <si>
    <t>8</t>
  </si>
  <si>
    <t>5.4-3205-2-2/1</t>
  </si>
  <si>
    <t>Перевозка растительных остатков автосамосвалами грузоподъемностью до 15 т - добавляется на каждый последующий 1 км до 100 км</t>
  </si>
  <si>
    <t>СН-2012-2021.5. Доп.2. Сб.4-3205-2-2/1</t>
  </si>
  <si>
    <t>)*51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</si>
  <si>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</si>
  <si>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</si>
  <si>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</si>
  <si>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</si>
  <si>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</si>
  <si>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</si>
  <si>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</si>
  <si>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</si>
  <si>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</si>
  <si>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</si>
  <si>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</si>
  <si>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</si>
  <si>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</si>
  <si>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</si>
  <si>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</si>
  <si>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</si>
  <si>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</si>
  <si>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</si>
  <si>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</si>
  <si>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</si>
  <si>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</si>
  <si>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</si>
  <si>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</si>
  <si>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</si>
  <si>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</si>
  <si>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</si>
  <si>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</si>
  <si>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</si>
  <si>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</si>
  <si>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</si>
  <si>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</si>
  <si>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</si>
  <si>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</si>
  <si>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</si>
  <si>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</si>
  <si>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</si>
  <si>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</si>
  <si>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</si>
  <si>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</si>
  <si>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</si>
  <si>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</si>
  <si>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</si>
  <si>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</si>
  <si>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</si>
  <si>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</si>
  <si>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</si>
  <si>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Перевозка</t>
  </si>
  <si>
    <t>Перевозка грузов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</si>
  <si>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</si>
  <si>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</si>
  <si>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</si>
  <si>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</si>
  <si>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</si>
  <si>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</si>
  <si>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Уровень цен на 01.10.2020 г</t>
  </si>
  <si>
    <t>_OBSM_</t>
  </si>
  <si>
    <t>9999990008</t>
  </si>
  <si>
    <t>Трудозатраты рабочих</t>
  </si>
  <si>
    <t>чел.-ч.</t>
  </si>
  <si>
    <t>21.1-25-13</t>
  </si>
  <si>
    <t>СН-2012-2021.21. Доп.2. Р.1, о.25, поз.13</t>
  </si>
  <si>
    <t>Вода</t>
  </si>
  <si>
    <t>21.4-4-12</t>
  </si>
  <si>
    <t>СН-2012-2021.21. Доп.2. Р.4, о.4, поз.12</t>
  </si>
  <si>
    <t>Селитра аммиачная, марка Б</t>
  </si>
  <si>
    <t>кг</t>
  </si>
  <si>
    <t>21.4-4-18</t>
  </si>
  <si>
    <t>СН-2012-2021.21. Доп.2. Р.4, о.4, поз.18</t>
  </si>
  <si>
    <t>Удобрения органические (средняя стоимость)</t>
  </si>
  <si>
    <t>22.1-18-14</t>
  </si>
  <si>
    <t>СН-2012-2021.22. Доп.2. п.1-18-14 (184003)</t>
  </si>
  <si>
    <t>Автомобили-самосвалы, грузоподъемность до 15 т</t>
  </si>
  <si>
    <t>маш.-ч</t>
  </si>
  <si>
    <t>9797020000</t>
  </si>
  <si>
    <t>Земля растительная или почвогрунт многокомпонентный</t>
  </si>
  <si>
    <t>9796301000</t>
  </si>
  <si>
    <t>Кустарники декоративные с комом земли</t>
  </si>
  <si>
    <t>"СОГЛАСОВАНО"</t>
  </si>
  <si>
    <t>"УТВЕРЖДАЮ"</t>
  </si>
  <si>
    <t>Форма № 1а (глава 1-5)</t>
  </si>
  <si>
    <t>"_____"________________ 2021 г.</t>
  </si>
  <si>
    <t>(локальный сметный расчет)</t>
  </si>
  <si>
    <t>(наименование работ и затрат, наименование объекта)</t>
  </si>
  <si>
    <t>Сметная стоимость</t>
  </si>
  <si>
    <t>тыс.руб</t>
  </si>
  <si>
    <t>Строительные работы</t>
  </si>
  <si>
    <t>Монтажные работы</t>
  </si>
  <si>
    <t>Оборудование</t>
  </si>
  <si>
    <t>Прочие работы</t>
  </si>
  <si>
    <t>Средства на оплату труда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</si>
  <si>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</si>
  <si>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</si>
  <si>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</si>
  <si>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</si>
  <si>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</si>
  <si>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</si>
  <si>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</si>
  <si>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</si>
  <si>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</t>
  </si>
  <si>
    <t>ВСЕГО затрат, руб.</t>
  </si>
  <si>
    <t>Справочно</t>
  </si>
  <si>
    <t>ЗТР, всего чел.-час</t>
  </si>
  <si>
    <t>Ст-ть ед. с начислен.</t>
  </si>
  <si>
    <t>Составлен(а) в уровне текущих (прогнозных) цен октябрь 2020 года</t>
  </si>
  <si>
    <t>ЗП</t>
  </si>
  <si>
    <t>ЭМ</t>
  </si>
  <si>
    <t>в т.ч. ЗПМ</t>
  </si>
  <si>
    <t>МР</t>
  </si>
  <si>
    <t>НР от ЗП</t>
  </si>
  <si>
    <t>%</t>
  </si>
  <si>
    <t>СП от ЗП</t>
  </si>
  <si>
    <t>НР и СП от ЗПМ</t>
  </si>
  <si>
    <t>ЗТР</t>
  </si>
  <si>
    <t>чел-ч</t>
  </si>
  <si>
    <t xml:space="preserve">Составил   </t>
  </si>
  <si>
    <t>[должность,подпись(инициалы,фамилия)]</t>
  </si>
  <si>
    <t xml:space="preserve">Проверил   </t>
  </si>
  <si>
    <t xml:space="preserve">Мы, нижеподписавшиеся, произвели осмотр объекта </t>
  </si>
  <si>
    <t xml:space="preserve">и постановили произвести ремонт объекта в </t>
  </si>
  <si>
    <t>следующем объеме:</t>
  </si>
  <si>
    <t>№ п/п</t>
  </si>
  <si>
    <t>Количество</t>
  </si>
  <si>
    <t>Примечание</t>
  </si>
  <si>
    <t>Комиссия:</t>
  </si>
  <si>
    <t>Главный инженер</t>
  </si>
  <si>
    <t>О. Е. Вепринцева</t>
  </si>
  <si>
    <t>Начальник участка ОЭиР</t>
  </si>
  <si>
    <t>В. В. Пятахин</t>
  </si>
  <si>
    <t>Необходимость выполнения объемов работ подтверждаю. Начальник ОЭиР ______________________В. В. Жданова</t>
  </si>
  <si>
    <t>выполнение работ по посадке кустарников на территории ЦАК   СС и НМП им. А.С. Пучкова</t>
  </si>
  <si>
    <t>Приложение №3 к Техническому заданию</t>
  </si>
  <si>
    <t>Заместитель главного врача 
по хозяйственному обеспечению СС и НМП им. А.С.Пучкова</t>
  </si>
  <si>
    <t>Всего с НДС 20%:</t>
  </si>
  <si>
    <t>НДС 20%:</t>
  </si>
  <si>
    <t>Приложение №2 к Локальной смете</t>
  </si>
  <si>
    <t>___________________________ В.Н.Беденко</t>
  </si>
  <si>
    <t>Приложение №1 к Локальной смете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</si>
</sst>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#,##0.00####;[Red]\-\ #,##0.00####"/>
    <numFmt numFmtId="166" formatCode="#,##0.00;[Red]\-\ #,##0.00"/>
  </numFmts>
  <fonts count="18" x14ac:knownFonts="1">
    <font>
      <sz val="10"/>
      <name val="Arial"/>
      <charset val="204"/>
    </font>
    <font>
      <b/>
      <sz val="10"/>
      <color indexed="12"/>
      <name val="Arial"/>
      <charset val="204"/>
    </font>
    <font>
      <b/>
      <sz val="10"/>
      <color indexed="16"/>
      <name val="Arial"/>
      <charset val="204"/>
    </font>
    <font>
      <b/>
      <sz val="10"/>
      <color indexed="20"/>
      <name val="Arial"/>
      <charset val="204"/>
    </font>
    <font>
      <b/>
      <sz val="10"/>
      <color indexed="17"/>
      <name val="Arial"/>
      <charset val="204"/>
    </font>
    <font>
      <sz val="10"/>
      <color indexed="12"/>
      <name val="Arial"/>
      <charset val="204"/>
    </font>
    <font>
      <sz val="10"/>
      <color indexed="14"/>
      <name val="Arial"/>
      <charset val="204"/>
    </font>
    <font>
      <b/>
      <sz val="10"/>
      <color indexed="14"/>
      <name val="Arial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b/>
      <sz val="14"/>
      <name val="Arial"/>
      <family val="2"/>
      <charset val="204"/>
    </font>
    <font>
      <i/>
      <sz val="11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/>
    <xf numFmtId="0" fontId="8" fillId="0" borderId="0" xfId="0" applyFont="1" applyAlignment="1"/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wrapText="1"/>
    </xf>
    <xf numFmtId="164" fontId="8" fillId="0" borderId="0" xfId="0" applyNumberFormat="1" applyFont="1"/>
    <xf numFmtId="1" fontId="8" fillId="0" borderId="0" xfId="0" applyNumberFormat="1" applyFont="1"/>
    <xf numFmtId="0" fontId="14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15" fillId="0" borderId="0" xfId="0" applyFont="1"/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14" fillId="0" borderId="0" xfId="0" applyFont="1" applyAlignment="1">
      <alignment horizontal="right" wrapText="1"/>
    </xf>
    <xf numFmtId="0" fontId="8" fillId="0" borderId="0" xfId="0" applyFont="1" applyAlignment="1">
      <alignment horizontal="right" wrapText="1"/>
    </xf>
    <xf numFmtId="165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166" fontId="14" fillId="0" borderId="0" xfId="0" applyNumberFormat="1" applyFont="1" applyAlignment="1">
      <alignment horizontal="right"/>
    </xf>
    <xf numFmtId="166" fontId="0" fillId="0" borderId="0" xfId="0" applyNumberFormat="1"/>
    <xf numFmtId="0" fontId="16" fillId="0" borderId="0" xfId="0" applyFont="1" applyAlignment="1">
      <alignment horizontal="right"/>
    </xf>
    <xf numFmtId="0" fontId="0" fillId="0" borderId="6" xfId="0" applyBorder="1"/>
    <xf numFmtId="166" fontId="16" fillId="0" borderId="6" xfId="0" applyNumberFormat="1" applyFont="1" applyBorder="1" applyAlignment="1">
      <alignment horizontal="right"/>
    </xf>
    <xf numFmtId="0" fontId="15" fillId="0" borderId="0" xfId="0" applyFont="1" applyAlignment="1">
      <alignment vertical="top" wrapText="1"/>
    </xf>
    <xf numFmtId="0" fontId="8" fillId="0" borderId="0" xfId="0" quotePrefix="1" applyFont="1" applyAlignment="1">
      <alignment horizontal="right" wrapText="1"/>
    </xf>
    <xf numFmtId="0" fontId="16" fillId="0" borderId="0" xfId="0" applyFont="1"/>
    <xf numFmtId="0" fontId="16" fillId="0" borderId="0" xfId="0" applyFont="1" applyAlignment="1">
      <alignment horizontal="right"/>
    </xf>
    <xf numFmtId="0" fontId="8" fillId="0" borderId="1" xfId="0" applyFont="1" applyBorder="1"/>
    <xf numFmtId="0" fontId="16" fillId="0" borderId="0" xfId="0" applyFont="1" applyBorder="1" applyAlignment="1">
      <alignment horizontal="right"/>
    </xf>
    <xf numFmtId="0" fontId="16" fillId="0" borderId="0" xfId="0" applyFont="1" applyAlignment="1">
      <alignment horizontal="left" vertical="top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right" wrapText="1"/>
    </xf>
    <xf numFmtId="0" fontId="8" fillId="0" borderId="3" xfId="0" applyFont="1" applyBorder="1" applyAlignment="1">
      <alignment horizontal="right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right" wrapText="1"/>
    </xf>
    <xf numFmtId="0" fontId="8" fillId="0" borderId="2" xfId="0" applyFont="1" applyBorder="1" applyAlignment="1">
      <alignment horizontal="right"/>
    </xf>
    <xf numFmtId="0" fontId="17" fillId="0" borderId="0" xfId="0" applyFont="1"/>
    <xf numFmtId="0" fontId="13" fillId="0" borderId="0" xfId="0" applyFont="1" applyAlignment="1">
      <alignment horizontal="center" wrapText="1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right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0" fillId="0" borderId="0" xfId="0" applyAlignment="1"/>
    <xf numFmtId="166" fontId="8" fillId="0" borderId="0" xfId="0" applyNumberFormat="1" applyFont="1" applyAlignment="1">
      <alignment horizontal="right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6" fontId="16" fillId="0" borderId="6" xfId="0" applyNumberFormat="1" applyFont="1" applyBorder="1" applyAlignment="1">
      <alignment horizontal="right"/>
    </xf>
    <xf numFmtId="0" fontId="9" fillId="0" borderId="0" xfId="0" applyFont="1" applyAlignment="1">
      <alignment horizontal="center" wrapText="1"/>
    </xf>
    <xf numFmtId="0" fontId="12" fillId="0" borderId="5" xfId="0" applyFont="1" applyBorder="1" applyAlignment="1">
      <alignment horizontal="center"/>
    </xf>
    <xf numFmtId="0" fontId="16" fillId="0" borderId="0" xfId="0" applyFont="1" applyAlignment="1">
      <alignment horizontal="left"/>
    </xf>
    <xf numFmtId="166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 wrapText="1"/>
    </xf>
    <xf numFmtId="4" fontId="8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right"/>
    </xf>
    <xf numFmtId="0" fontId="8" fillId="0" borderId="0" xfId="0" applyFont="1" applyAlignment="1">
      <alignment horizontal="right" vertical="center"/>
    </xf>
    <xf numFmtId="0" fontId="16" fillId="0" borderId="0" xfId="0" applyFont="1" applyBorder="1" applyAlignment="1">
      <alignment horizontal="right" wrapText="1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Border="1" applyAlignment="1">
      <alignment horizontal="right"/>
    </xf>
    <xf numFmtId="0" fontId="10" fillId="0" borderId="0" xfId="0" applyFont="1" applyAlignment="1">
      <alignment horizontal="center" wrapText="1"/>
    </xf>
    <xf numFmtId="0" fontId="9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31"/>
  <sheetViews>
    <sheetView tabSelected="1" zoomScaleNormal="100" workbookViewId="0">
      <selection activeCell="C122" sqref="C122"/>
    </sheetView>
  </sheetViews>
  <sheetFormatPr defaultRowHeight="12.75" x14ac:dyDescent="0.2"/>
  <cols>
    <col min="1" max="1" width="5.7109375" customWidth="1"/>
    <col min="2" max="2" width="11.7109375" customWidth="1"/>
    <col min="3" max="3" width="40.7109375" customWidth="1"/>
    <col min="4" max="6" width="11.7109375" customWidth="1"/>
    <col min="7" max="7" width="12.7109375" customWidth="1"/>
    <col min="9" max="11" width="12.7109375" customWidth="1"/>
    <col min="15" max="36" width="0" hidden="1" customWidth="1"/>
  </cols>
  <sheetData>
    <row r="1" spans="1:11" ht="14.25" x14ac:dyDescent="0.2">
      <c r="A1" s="59" t="s">
        <v>193</v>
      </c>
      <c r="B1" s="59"/>
      <c r="C1" s="59"/>
      <c r="D1" s="8"/>
      <c r="E1" s="8"/>
      <c r="F1" s="8"/>
      <c r="G1" s="8"/>
      <c r="H1" s="8"/>
      <c r="I1" s="8"/>
      <c r="J1" s="55" t="s">
        <v>142</v>
      </c>
      <c r="K1" s="55"/>
    </row>
    <row r="2" spans="1:11" ht="16.5" x14ac:dyDescent="0.25">
      <c r="A2" s="10"/>
      <c r="B2" s="51" t="s">
        <v>140</v>
      </c>
      <c r="C2" s="51"/>
      <c r="D2" s="51"/>
      <c r="E2" s="51"/>
      <c r="F2" s="9"/>
      <c r="G2" s="51" t="s">
        <v>141</v>
      </c>
      <c r="H2" s="51"/>
      <c r="I2" s="51"/>
      <c r="J2" s="51"/>
      <c r="K2" s="51"/>
    </row>
    <row r="3" spans="1:11" ht="34.5" customHeight="1" x14ac:dyDescent="0.2">
      <c r="A3" s="9"/>
      <c r="B3" s="52"/>
      <c r="C3" s="52"/>
      <c r="D3" s="52"/>
      <c r="E3" s="52"/>
      <c r="F3" s="9"/>
      <c r="G3" s="53" t="s">
        <v>194</v>
      </c>
      <c r="H3" s="52"/>
      <c r="I3" s="52"/>
      <c r="J3" s="52"/>
      <c r="K3" s="52"/>
    </row>
    <row r="4" spans="1:11" ht="14.25" x14ac:dyDescent="0.2">
      <c r="A4" s="11"/>
      <c r="B4" s="11"/>
      <c r="C4" s="12"/>
      <c r="D4" s="12"/>
      <c r="E4" s="12"/>
      <c r="F4" s="9"/>
      <c r="G4" s="13"/>
      <c r="H4" s="12"/>
      <c r="I4" s="12"/>
      <c r="J4" s="12"/>
      <c r="K4" s="13"/>
    </row>
    <row r="5" spans="1:11" ht="14.25" x14ac:dyDescent="0.2">
      <c r="A5" s="13"/>
      <c r="B5" s="52" t="str">
        <f>CONCATENATE("______________________ ", IF(Source!AL12&lt;&gt;"", Source!AL12, ""))</f>
        <v xml:space="preserve">______________________ </v>
      </c>
      <c r="C5" s="52"/>
      <c r="D5" s="52"/>
      <c r="E5" s="52"/>
      <c r="F5" s="9"/>
      <c r="G5" s="52" t="str">
        <f>CONCATENATE("______________________В.Н.Беденко ", IF(Source!AH12&lt;&gt;"", Source!AH12, ""))</f>
        <v xml:space="preserve">______________________В.Н.Беденко </v>
      </c>
      <c r="H5" s="52"/>
      <c r="I5" s="52"/>
      <c r="J5" s="52"/>
      <c r="K5" s="52"/>
    </row>
    <row r="6" spans="1:11" ht="14.25" x14ac:dyDescent="0.2">
      <c r="A6" s="14"/>
      <c r="B6" s="54" t="s">
        <v>143</v>
      </c>
      <c r="C6" s="54"/>
      <c r="D6" s="54"/>
      <c r="E6" s="54"/>
      <c r="F6" s="9"/>
      <c r="G6" s="54" t="s">
        <v>143</v>
      </c>
      <c r="H6" s="54"/>
      <c r="I6" s="54"/>
      <c r="J6" s="54"/>
      <c r="K6" s="54"/>
    </row>
    <row r="8" spans="1:11" ht="14.25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ht="15.75" x14ac:dyDescent="0.25">
      <c r="A9" s="56" t="str">
        <f>CONCATENATE( "ЛОКАЛЬНАЯ СМЕТА",IF(Source!F12&lt;&gt;"Новый объект", Source!F12, ""))</f>
        <v>ЛОКАЛЬНАЯ СМЕТА</v>
      </c>
      <c r="B9" s="57"/>
      <c r="C9" s="57"/>
      <c r="D9" s="57"/>
      <c r="E9" s="57"/>
      <c r="F9" s="57"/>
      <c r="G9" s="57"/>
      <c r="H9" s="57"/>
      <c r="I9" s="57"/>
      <c r="J9" s="57"/>
      <c r="K9" s="57"/>
    </row>
    <row r="10" spans="1:11" x14ac:dyDescent="0.2">
      <c r="A10" s="58" t="s">
        <v>144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</row>
    <row r="11" spans="1:11" ht="14.25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ht="18" hidden="1" x14ac:dyDescent="0.25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</row>
    <row r="13" spans="1:11" ht="14.25" hidden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ht="18" x14ac:dyDescent="0.25">
      <c r="A14" s="60" t="str">
        <f>IF(Source!G12&lt;&gt;"Новый объект", Source!G12, "")</f>
        <v>выполнение работ по посадке кустарников на территории ЦАК   СС и НМП им. А.С. Пучкова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</row>
    <row r="15" spans="1:11" x14ac:dyDescent="0.2">
      <c r="A15" s="58" t="s">
        <v>145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</row>
    <row r="16" spans="1:11" ht="14.25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22" ht="14.25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22" ht="14.25" x14ac:dyDescent="0.2">
      <c r="A18" s="9"/>
      <c r="B18" s="9"/>
      <c r="C18" s="9"/>
      <c r="D18" s="9"/>
      <c r="E18" s="9"/>
      <c r="F18" s="52" t="s">
        <v>146</v>
      </c>
      <c r="G18" s="52"/>
      <c r="H18" s="52"/>
      <c r="I18" s="62">
        <f>(Source!F127/1000)</f>
        <v>200.08996999999999</v>
      </c>
      <c r="J18" s="55"/>
      <c r="K18" s="9" t="s">
        <v>147</v>
      </c>
    </row>
    <row r="19" spans="1:22" ht="14.25" hidden="1" x14ac:dyDescent="0.2">
      <c r="A19" s="9"/>
      <c r="B19" s="9"/>
      <c r="C19" s="9"/>
      <c r="D19" s="9"/>
      <c r="E19" s="9"/>
      <c r="F19" s="52" t="s">
        <v>148</v>
      </c>
      <c r="G19" s="52"/>
      <c r="H19" s="52"/>
      <c r="I19" s="62">
        <f>(Source!F116)/1000</f>
        <v>0</v>
      </c>
      <c r="J19" s="55"/>
      <c r="K19" s="9" t="s">
        <v>147</v>
      </c>
    </row>
    <row r="20" spans="1:22" ht="14.25" hidden="1" x14ac:dyDescent="0.2">
      <c r="A20" s="9"/>
      <c r="B20" s="9"/>
      <c r="C20" s="9"/>
      <c r="D20" s="9"/>
      <c r="E20" s="9"/>
      <c r="F20" s="52" t="s">
        <v>149</v>
      </c>
      <c r="G20" s="52"/>
      <c r="H20" s="52"/>
      <c r="I20" s="62">
        <f>(Source!F117)/1000</f>
        <v>0</v>
      </c>
      <c r="J20" s="55"/>
      <c r="K20" s="9" t="s">
        <v>147</v>
      </c>
    </row>
    <row r="21" spans="1:22" ht="14.25" hidden="1" x14ac:dyDescent="0.2">
      <c r="A21" s="9"/>
      <c r="B21" s="9"/>
      <c r="C21" s="9"/>
      <c r="D21" s="9"/>
      <c r="E21" s="9"/>
      <c r="F21" s="52" t="s">
        <v>150</v>
      </c>
      <c r="G21" s="52"/>
      <c r="H21" s="52"/>
      <c r="I21" s="62">
        <f>(Source!F108)/1000</f>
        <v>0</v>
      </c>
      <c r="J21" s="55"/>
      <c r="K21" s="9" t="s">
        <v>147</v>
      </c>
    </row>
    <row r="22" spans="1:22" ht="14.25" hidden="1" x14ac:dyDescent="0.2">
      <c r="A22" s="9"/>
      <c r="B22" s="9"/>
      <c r="C22" s="9"/>
      <c r="D22" s="9"/>
      <c r="E22" s="9"/>
      <c r="F22" s="52" t="s">
        <v>151</v>
      </c>
      <c r="G22" s="52"/>
      <c r="H22" s="52"/>
      <c r="I22" s="62">
        <f>(Source!F118+Source!F119)/1000</f>
        <v>200.08996999999999</v>
      </c>
      <c r="J22" s="55"/>
      <c r="K22" s="9" t="s">
        <v>147</v>
      </c>
    </row>
    <row r="23" spans="1:22" ht="14.25" x14ac:dyDescent="0.2">
      <c r="A23" s="9"/>
      <c r="B23" s="9"/>
      <c r="C23" s="9"/>
      <c r="D23" s="9"/>
      <c r="E23" s="9"/>
      <c r="F23" s="52" t="s">
        <v>152</v>
      </c>
      <c r="G23" s="52"/>
      <c r="H23" s="52"/>
      <c r="I23" s="62">
        <f>(Source!F114+ Source!F113)/1000</f>
        <v>11.460539999999998</v>
      </c>
      <c r="J23" s="55"/>
      <c r="K23" s="9" t="s">
        <v>147</v>
      </c>
    </row>
    <row r="24" spans="1:22" ht="14.25" x14ac:dyDescent="0.2">
      <c r="A24" s="9" t="s">
        <v>166</v>
      </c>
      <c r="B24" s="9"/>
      <c r="C24" s="9"/>
      <c r="D24" s="15"/>
      <c r="E24" s="16"/>
      <c r="F24" s="9"/>
      <c r="G24" s="9"/>
      <c r="H24" s="9"/>
      <c r="I24" s="9"/>
      <c r="J24" s="9"/>
      <c r="K24" s="9"/>
    </row>
    <row r="25" spans="1:22" ht="14.25" x14ac:dyDescent="0.2">
      <c r="A25" s="63" t="s">
        <v>153</v>
      </c>
      <c r="B25" s="63" t="s">
        <v>154</v>
      </c>
      <c r="C25" s="63" t="s">
        <v>155</v>
      </c>
      <c r="D25" s="63" t="s">
        <v>156</v>
      </c>
      <c r="E25" s="63" t="s">
        <v>157</v>
      </c>
      <c r="F25" s="63" t="s">
        <v>158</v>
      </c>
      <c r="G25" s="63" t="s">
        <v>159</v>
      </c>
      <c r="H25" s="63" t="s">
        <v>160</v>
      </c>
      <c r="I25" s="63" t="s">
        <v>161</v>
      </c>
      <c r="J25" s="63" t="s">
        <v>162</v>
      </c>
      <c r="K25" s="17" t="s">
        <v>163</v>
      </c>
    </row>
    <row r="26" spans="1:22" ht="28.5" x14ac:dyDescent="0.2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18" t="s">
        <v>164</v>
      </c>
    </row>
    <row r="27" spans="1:22" ht="28.5" x14ac:dyDescent="0.2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18" t="s">
        <v>165</v>
      </c>
    </row>
    <row r="28" spans="1:22" ht="14.25" x14ac:dyDescent="0.2">
      <c r="A28" s="18">
        <v>1</v>
      </c>
      <c r="B28" s="18">
        <v>2</v>
      </c>
      <c r="C28" s="18">
        <v>3</v>
      </c>
      <c r="D28" s="18">
        <v>4</v>
      </c>
      <c r="E28" s="18">
        <v>5</v>
      </c>
      <c r="F28" s="18">
        <v>6</v>
      </c>
      <c r="G28" s="18">
        <v>7</v>
      </c>
      <c r="H28" s="18">
        <v>8</v>
      </c>
      <c r="I28" s="18">
        <v>9</v>
      </c>
      <c r="J28" s="18">
        <v>10</v>
      </c>
      <c r="K28" s="18">
        <v>11</v>
      </c>
    </row>
    <row r="31" spans="1:22" ht="16.5" x14ac:dyDescent="0.25">
      <c r="A31" s="66" t="str">
        <f>CONCATENATE("Раздел: ",IF(Source!G24&lt;&gt;"Новый раздел", Source!G24, ""))</f>
        <v>Раздел: Территория ЦАК</v>
      </c>
      <c r="B31" s="66"/>
      <c r="C31" s="66"/>
      <c r="D31" s="66"/>
      <c r="E31" s="66"/>
      <c r="F31" s="66"/>
      <c r="G31" s="66"/>
      <c r="H31" s="66"/>
      <c r="I31" s="66"/>
      <c r="J31" s="66"/>
      <c r="K31" s="66"/>
    </row>
    <row r="32" spans="1:22" ht="71.25" x14ac:dyDescent="0.2">
      <c r="A32" s="20" t="str">
        <f>Source!E28</f>
        <v>1</v>
      </c>
      <c r="B32" s="21" t="str">
        <f>Source!F28</f>
        <v>5.4-3104-7-1/1</v>
      </c>
      <c r="C32" s="21" t="str">
        <f>Source!G28</f>
        <v>Расчистка площадей от кустарников и мелколесья диаметром до 100 мм вручную с последующей переноской и складированием на расстояние до 50 м при редкой заросли</v>
      </c>
      <c r="D32" s="22" t="str">
        <f>Source!H28</f>
        <v>га</v>
      </c>
      <c r="E32" s="8">
        <f>Source!I28</f>
        <v>2E-3</v>
      </c>
      <c r="F32" s="24"/>
      <c r="G32" s="23"/>
      <c r="H32" s="8"/>
      <c r="I32" s="8"/>
      <c r="J32" s="25"/>
      <c r="K32" s="25"/>
      <c r="Q32">
        <f>ROUND((Source!BZ28/100)*ROUND((Source!AF28*Source!AV28)*Source!I28, 2), 2)</f>
        <v>42.08</v>
      </c>
      <c r="R32">
        <f>Source!X28</f>
        <v>42.08</v>
      </c>
      <c r="S32">
        <f>ROUND((Source!CA28/100)*ROUND((Source!AF28*Source!AV28)*Source!I28, 2), 2)</f>
        <v>6.01</v>
      </c>
      <c r="T32">
        <f>Source!Y28</f>
        <v>6.01</v>
      </c>
      <c r="U32">
        <f>ROUND((175/100)*ROUND((Source!AE28*Source!AV28)*Source!I28, 2), 2)</f>
        <v>0</v>
      </c>
      <c r="V32">
        <f>ROUND((108/100)*ROUND(Source!CS28*Source!I28, 2), 2)</f>
        <v>0</v>
      </c>
    </row>
    <row r="33" spans="1:22" ht="14.25" x14ac:dyDescent="0.2">
      <c r="A33" s="20"/>
      <c r="B33" s="21"/>
      <c r="C33" s="21" t="s">
        <v>167</v>
      </c>
      <c r="D33" s="22"/>
      <c r="E33" s="8"/>
      <c r="F33" s="24">
        <f>Source!AO28</f>
        <v>30054.65</v>
      </c>
      <c r="G33" s="23" t="str">
        <f>Source!DG28</f>
        <v/>
      </c>
      <c r="H33" s="8">
        <f>Source!AV28</f>
        <v>1</v>
      </c>
      <c r="I33" s="8">
        <f>IF(Source!BA28&lt;&gt; 0, Source!BA28, 1)</f>
        <v>1</v>
      </c>
      <c r="J33" s="25">
        <f>Source!S28</f>
        <v>60.11</v>
      </c>
      <c r="K33" s="25"/>
    </row>
    <row r="34" spans="1:22" ht="14.25" x14ac:dyDescent="0.2">
      <c r="A34" s="20"/>
      <c r="B34" s="21"/>
      <c r="C34" s="21" t="s">
        <v>168</v>
      </c>
      <c r="D34" s="22"/>
      <c r="E34" s="8"/>
      <c r="F34" s="24">
        <f>Source!AM28</f>
        <v>0</v>
      </c>
      <c r="G34" s="23" t="str">
        <f>Source!DE28</f>
        <v/>
      </c>
      <c r="H34" s="8">
        <f>Source!AV28</f>
        <v>1</v>
      </c>
      <c r="I34" s="8">
        <f>IF(Source!BB28&lt;&gt; 0, Source!BB28, 1)</f>
        <v>1</v>
      </c>
      <c r="J34" s="25">
        <f>Source!Q28</f>
        <v>0</v>
      </c>
      <c r="K34" s="25"/>
    </row>
    <row r="35" spans="1:22" ht="14.25" x14ac:dyDescent="0.2">
      <c r="A35" s="20"/>
      <c r="B35" s="21"/>
      <c r="C35" s="21" t="s">
        <v>169</v>
      </c>
      <c r="D35" s="22"/>
      <c r="E35" s="8"/>
      <c r="F35" s="24">
        <f>Source!AN28</f>
        <v>0</v>
      </c>
      <c r="G35" s="23" t="str">
        <f>Source!DF28</f>
        <v/>
      </c>
      <c r="H35" s="8">
        <f>Source!AV28</f>
        <v>1</v>
      </c>
      <c r="I35" s="8">
        <f>IF(Source!BS28&lt;&gt; 0, Source!BS28, 1)</f>
        <v>1</v>
      </c>
      <c r="J35" s="26">
        <f>Source!R28</f>
        <v>0</v>
      </c>
      <c r="K35" s="25"/>
    </row>
    <row r="36" spans="1:22" ht="14.25" x14ac:dyDescent="0.2">
      <c r="A36" s="20"/>
      <c r="B36" s="21"/>
      <c r="C36" s="21" t="s">
        <v>170</v>
      </c>
      <c r="D36" s="22"/>
      <c r="E36" s="8"/>
      <c r="F36" s="24">
        <f>Source!AL28</f>
        <v>0</v>
      </c>
      <c r="G36" s="23" t="str">
        <f>Source!DD28</f>
        <v/>
      </c>
      <c r="H36" s="8">
        <f>Source!AW28</f>
        <v>1</v>
      </c>
      <c r="I36" s="8">
        <f>IF(Source!BC28&lt;&gt; 0, Source!BC28, 1)</f>
        <v>1</v>
      </c>
      <c r="J36" s="25">
        <f>Source!P28</f>
        <v>0</v>
      </c>
      <c r="K36" s="25"/>
    </row>
    <row r="37" spans="1:22" ht="14.25" x14ac:dyDescent="0.2">
      <c r="A37" s="20"/>
      <c r="B37" s="21"/>
      <c r="C37" s="21" t="s">
        <v>171</v>
      </c>
      <c r="D37" s="22" t="s">
        <v>172</v>
      </c>
      <c r="E37" s="8">
        <f>Source!AT28</f>
        <v>70</v>
      </c>
      <c r="F37" s="24"/>
      <c r="G37" s="23"/>
      <c r="H37" s="8"/>
      <c r="I37" s="8"/>
      <c r="J37" s="25">
        <f>SUM(R32:R36)</f>
        <v>42.08</v>
      </c>
      <c r="K37" s="25"/>
    </row>
    <row r="38" spans="1:22" ht="14.25" x14ac:dyDescent="0.2">
      <c r="A38" s="20"/>
      <c r="B38" s="21"/>
      <c r="C38" s="21" t="s">
        <v>173</v>
      </c>
      <c r="D38" s="22" t="s">
        <v>172</v>
      </c>
      <c r="E38" s="8">
        <f>Source!AU28</f>
        <v>10</v>
      </c>
      <c r="F38" s="24"/>
      <c r="G38" s="23"/>
      <c r="H38" s="8"/>
      <c r="I38" s="8"/>
      <c r="J38" s="25">
        <f>SUM(T32:T37)</f>
        <v>6.01</v>
      </c>
      <c r="K38" s="25"/>
    </row>
    <row r="39" spans="1:22" ht="14.25" x14ac:dyDescent="0.2">
      <c r="A39" s="20"/>
      <c r="B39" s="21"/>
      <c r="C39" s="21" t="s">
        <v>174</v>
      </c>
      <c r="D39" s="22" t="s">
        <v>172</v>
      </c>
      <c r="E39" s="8">
        <f>108</f>
        <v>108</v>
      </c>
      <c r="F39" s="24"/>
      <c r="G39" s="23"/>
      <c r="H39" s="8"/>
      <c r="I39" s="8"/>
      <c r="J39" s="25">
        <f>SUM(V32:V38)</f>
        <v>0</v>
      </c>
      <c r="K39" s="25"/>
    </row>
    <row r="40" spans="1:22" ht="14.25" x14ac:dyDescent="0.2">
      <c r="A40" s="20"/>
      <c r="B40" s="21"/>
      <c r="C40" s="21" t="s">
        <v>175</v>
      </c>
      <c r="D40" s="22" t="s">
        <v>176</v>
      </c>
      <c r="E40" s="8">
        <f>Source!AQ28</f>
        <v>162.44</v>
      </c>
      <c r="F40" s="24"/>
      <c r="G40" s="23" t="str">
        <f>Source!DI28</f>
        <v/>
      </c>
      <c r="H40" s="8">
        <f>Source!AV28</f>
        <v>1</v>
      </c>
      <c r="I40" s="8"/>
      <c r="J40" s="25"/>
      <c r="K40" s="25">
        <f>Source!U28</f>
        <v>0.32488</v>
      </c>
    </row>
    <row r="41" spans="1:22" ht="15" x14ac:dyDescent="0.25">
      <c r="A41" s="29"/>
      <c r="B41" s="29"/>
      <c r="C41" s="29"/>
      <c r="D41" s="29"/>
      <c r="E41" s="29"/>
      <c r="F41" s="29"/>
      <c r="G41" s="29"/>
      <c r="H41" s="29"/>
      <c r="I41" s="65">
        <f>J33+J34+J36+J37+J38+J39</f>
        <v>108.2</v>
      </c>
      <c r="J41" s="65"/>
      <c r="K41" s="30">
        <f>IF(Source!I28&lt;&gt;0, ROUND(I41/Source!I28, 2), 0)</f>
        <v>54100</v>
      </c>
      <c r="P41" s="27">
        <f>I41</f>
        <v>108.2</v>
      </c>
    </row>
    <row r="42" spans="1:22" ht="85.5" x14ac:dyDescent="0.2">
      <c r="A42" s="20" t="str">
        <f>Source!E29</f>
        <v>2</v>
      </c>
      <c r="B42" s="21" t="str">
        <f>Source!F29</f>
        <v>5.4-3103-24-2/1</v>
      </c>
      <c r="C42" s="21" t="str">
        <f>Source!G29</f>
        <v>Посадка кустарников с комом земли в живую изгородь - подготовка посадочных мест вручную для однорядной живой изгороди с добавлением растительной земли, добавлять на каждые 25 %</v>
      </c>
      <c r="D42" s="22" t="str">
        <f>Source!H29</f>
        <v>10 м</v>
      </c>
      <c r="E42" s="8">
        <f>Source!I29</f>
        <v>7.5</v>
      </c>
      <c r="F42" s="24"/>
      <c r="G42" s="23"/>
      <c r="H42" s="8"/>
      <c r="I42" s="8"/>
      <c r="J42" s="25"/>
      <c r="K42" s="25"/>
      <c r="Q42">
        <f>ROUND((Source!BZ29/100)*ROUND((Source!AF29*Source!AV29)*Source!I29, 2), 2)</f>
        <v>1537.2</v>
      </c>
      <c r="R42">
        <f>Source!X29</f>
        <v>1537.2</v>
      </c>
      <c r="S42">
        <f>ROUND((Source!CA29/100)*ROUND((Source!AF29*Source!AV29)*Source!I29, 2), 2)</f>
        <v>219.6</v>
      </c>
      <c r="T42">
        <f>Source!Y29</f>
        <v>219.6</v>
      </c>
      <c r="U42">
        <f>ROUND((175/100)*ROUND((Source!AE29*Source!AV29)*Source!I29, 2), 2)</f>
        <v>0</v>
      </c>
      <c r="V42">
        <f>ROUND((108/100)*ROUND(Source!CS29*Source!I29, 2), 2)</f>
        <v>0</v>
      </c>
    </row>
    <row r="43" spans="1:22" x14ac:dyDescent="0.2">
      <c r="C43" s="31" t="str">
        <f>"Объем: "&amp;Source!I29&amp;"=75/"&amp;"10"</f>
        <v>Объем: 7.5=75/10</v>
      </c>
    </row>
    <row r="44" spans="1:22" ht="14.25" x14ac:dyDescent="0.2">
      <c r="A44" s="20"/>
      <c r="B44" s="21"/>
      <c r="C44" s="21" t="s">
        <v>167</v>
      </c>
      <c r="D44" s="22"/>
      <c r="E44" s="8"/>
      <c r="F44" s="24">
        <f>Source!AO29</f>
        <v>292.8</v>
      </c>
      <c r="G44" s="23" t="str">
        <f>Source!DG29</f>
        <v/>
      </c>
      <c r="H44" s="8">
        <f>Source!AV29</f>
        <v>1</v>
      </c>
      <c r="I44" s="8">
        <f>IF(Source!BA29&lt;&gt; 0, Source!BA29, 1)</f>
        <v>1</v>
      </c>
      <c r="J44" s="25">
        <f>Source!S29</f>
        <v>2196</v>
      </c>
      <c r="K44" s="25"/>
    </row>
    <row r="45" spans="1:22" ht="14.25" x14ac:dyDescent="0.2">
      <c r="A45" s="20"/>
      <c r="B45" s="21"/>
      <c r="C45" s="21" t="s">
        <v>168</v>
      </c>
      <c r="D45" s="22"/>
      <c r="E45" s="8"/>
      <c r="F45" s="24">
        <f>Source!AM29</f>
        <v>0</v>
      </c>
      <c r="G45" s="23" t="str">
        <f>Source!DE29</f>
        <v/>
      </c>
      <c r="H45" s="8">
        <f>Source!AV29</f>
        <v>1</v>
      </c>
      <c r="I45" s="8">
        <f>IF(Source!BB29&lt;&gt; 0, Source!BB29, 1)</f>
        <v>1</v>
      </c>
      <c r="J45" s="25">
        <f>Source!Q29</f>
        <v>0</v>
      </c>
      <c r="K45" s="25"/>
    </row>
    <row r="46" spans="1:22" ht="14.25" x14ac:dyDescent="0.2">
      <c r="A46" s="20"/>
      <c r="B46" s="21"/>
      <c r="C46" s="21" t="s">
        <v>169</v>
      </c>
      <c r="D46" s="22"/>
      <c r="E46" s="8"/>
      <c r="F46" s="24">
        <f>Source!AN29</f>
        <v>0</v>
      </c>
      <c r="G46" s="23" t="str">
        <f>Source!DF29</f>
        <v/>
      </c>
      <c r="H46" s="8">
        <f>Source!AV29</f>
        <v>1</v>
      </c>
      <c r="I46" s="8">
        <f>IF(Source!BS29&lt;&gt; 0, Source!BS29, 1)</f>
        <v>1</v>
      </c>
      <c r="J46" s="26">
        <f>Source!R29</f>
        <v>0</v>
      </c>
      <c r="K46" s="25"/>
    </row>
    <row r="47" spans="1:22" ht="14.25" x14ac:dyDescent="0.2">
      <c r="A47" s="20"/>
      <c r="B47" s="21"/>
      <c r="C47" s="21" t="s">
        <v>170</v>
      </c>
      <c r="D47" s="22"/>
      <c r="E47" s="8"/>
      <c r="F47" s="24">
        <f>Source!AL29</f>
        <v>0</v>
      </c>
      <c r="G47" s="23" t="str">
        <f>Source!DD29</f>
        <v/>
      </c>
      <c r="H47" s="8">
        <f>Source!AW29</f>
        <v>1</v>
      </c>
      <c r="I47" s="8">
        <f>IF(Source!BC29&lt;&gt; 0, Source!BC29, 1)</f>
        <v>1</v>
      </c>
      <c r="J47" s="25">
        <f>Source!P29</f>
        <v>0</v>
      </c>
      <c r="K47" s="25"/>
    </row>
    <row r="48" spans="1:22" ht="14.25" x14ac:dyDescent="0.2">
      <c r="A48" s="20" t="str">
        <f>Source!E30</f>
        <v>2.1</v>
      </c>
      <c r="B48" s="21" t="str">
        <f>Source!F30</f>
        <v>21.4-6-5</v>
      </c>
      <c r="C48" s="21" t="str">
        <f>Source!G30</f>
        <v>Земля растительная</v>
      </c>
      <c r="D48" s="22" t="str">
        <f>Source!H30</f>
        <v>м3</v>
      </c>
      <c r="E48" s="8">
        <f>Source!I30</f>
        <v>4.6875</v>
      </c>
      <c r="F48" s="24">
        <f>Source!AK30</f>
        <v>753.67</v>
      </c>
      <c r="G48" s="32" t="s">
        <v>3</v>
      </c>
      <c r="H48" s="8">
        <f>Source!AW30</f>
        <v>1</v>
      </c>
      <c r="I48" s="8">
        <f>IF(Source!BC30&lt;&gt; 0, Source!BC30, 1)</f>
        <v>1</v>
      </c>
      <c r="J48" s="25">
        <f>Source!O30</f>
        <v>3532.83</v>
      </c>
      <c r="K48" s="25"/>
      <c r="Q48">
        <f>ROUND((Source!BZ30/100)*ROUND((Source!AF30*Source!AV30)*Source!I30, 2), 2)</f>
        <v>0</v>
      </c>
      <c r="R48">
        <f>Source!X30</f>
        <v>0</v>
      </c>
      <c r="S48">
        <f>ROUND((Source!CA30/100)*ROUND((Source!AF30*Source!AV30)*Source!I30, 2), 2)</f>
        <v>0</v>
      </c>
      <c r="T48">
        <f>Source!Y30</f>
        <v>0</v>
      </c>
      <c r="U48">
        <f>ROUND((175/100)*ROUND((Source!AE30*Source!AV30)*Source!I30, 2), 2)</f>
        <v>0</v>
      </c>
      <c r="V48">
        <f>ROUND((108/100)*ROUND(Source!CS30*Source!I30, 2), 2)</f>
        <v>0</v>
      </c>
    </row>
    <row r="49" spans="1:22" ht="14.25" x14ac:dyDescent="0.2">
      <c r="A49" s="20"/>
      <c r="B49" s="21"/>
      <c r="C49" s="21" t="s">
        <v>171</v>
      </c>
      <c r="D49" s="22" t="s">
        <v>172</v>
      </c>
      <c r="E49" s="8">
        <f>Source!AT29</f>
        <v>70</v>
      </c>
      <c r="F49" s="24"/>
      <c r="G49" s="23"/>
      <c r="H49" s="8"/>
      <c r="I49" s="8"/>
      <c r="J49" s="25">
        <f>SUM(R42:R48)</f>
        <v>1537.2</v>
      </c>
      <c r="K49" s="25"/>
    </row>
    <row r="50" spans="1:22" ht="14.25" x14ac:dyDescent="0.2">
      <c r="A50" s="20"/>
      <c r="B50" s="21"/>
      <c r="C50" s="21" t="s">
        <v>173</v>
      </c>
      <c r="D50" s="22" t="s">
        <v>172</v>
      </c>
      <c r="E50" s="8">
        <f>Source!AU29</f>
        <v>10</v>
      </c>
      <c r="F50" s="24"/>
      <c r="G50" s="23"/>
      <c r="H50" s="8"/>
      <c r="I50" s="8"/>
      <c r="J50" s="25">
        <f>SUM(T42:T49)</f>
        <v>219.6</v>
      </c>
      <c r="K50" s="25"/>
    </row>
    <row r="51" spans="1:22" ht="14.25" x14ac:dyDescent="0.2">
      <c r="A51" s="20"/>
      <c r="B51" s="21"/>
      <c r="C51" s="21" t="s">
        <v>174</v>
      </c>
      <c r="D51" s="22" t="s">
        <v>172</v>
      </c>
      <c r="E51" s="8">
        <f>108</f>
        <v>108</v>
      </c>
      <c r="F51" s="24"/>
      <c r="G51" s="23"/>
      <c r="H51" s="8"/>
      <c r="I51" s="8"/>
      <c r="J51" s="25">
        <f>SUM(V42:V50)</f>
        <v>0</v>
      </c>
      <c r="K51" s="25"/>
    </row>
    <row r="52" spans="1:22" ht="14.25" x14ac:dyDescent="0.2">
      <c r="A52" s="20"/>
      <c r="B52" s="21"/>
      <c r="C52" s="21" t="s">
        <v>175</v>
      </c>
      <c r="D52" s="22" t="s">
        <v>176</v>
      </c>
      <c r="E52" s="8">
        <f>Source!AQ29</f>
        <v>1.62</v>
      </c>
      <c r="F52" s="24"/>
      <c r="G52" s="23" t="str">
        <f>Source!DI29</f>
        <v/>
      </c>
      <c r="H52" s="8">
        <f>Source!AV29</f>
        <v>1</v>
      </c>
      <c r="I52" s="8"/>
      <c r="J52" s="25"/>
      <c r="K52" s="25">
        <f>Source!U29</f>
        <v>12.15</v>
      </c>
    </row>
    <row r="53" spans="1:22" ht="15" x14ac:dyDescent="0.25">
      <c r="A53" s="29"/>
      <c r="B53" s="29"/>
      <c r="C53" s="29"/>
      <c r="D53" s="29"/>
      <c r="E53" s="29"/>
      <c r="F53" s="29"/>
      <c r="G53" s="29"/>
      <c r="H53" s="29"/>
      <c r="I53" s="65">
        <f>J44+J45+J47+J49+J50+J51+SUM(J48:J48)</f>
        <v>7485.6299999999992</v>
      </c>
      <c r="J53" s="65"/>
      <c r="K53" s="30">
        <f>IF(Source!I29&lt;&gt;0, ROUND(I53/Source!I29, 2), 0)</f>
        <v>998.08</v>
      </c>
      <c r="P53" s="27">
        <f>I53</f>
        <v>7485.6299999999992</v>
      </c>
    </row>
    <row r="54" spans="1:22" ht="42.75" x14ac:dyDescent="0.2">
      <c r="A54" s="20" t="str">
        <f>Source!E31</f>
        <v>3</v>
      </c>
      <c r="B54" s="21" t="str">
        <f>Source!F31</f>
        <v>5.4-3103-25-1/1</v>
      </c>
      <c r="C54" s="21" t="str">
        <f>Source!G31</f>
        <v>Посадка кустарников с комом земли в живую изгородь - однорядная (без стоимости кустарников) существующие</v>
      </c>
      <c r="D54" s="22" t="str">
        <f>Source!H31</f>
        <v>10 м</v>
      </c>
      <c r="E54" s="8">
        <f>Source!I31</f>
        <v>4</v>
      </c>
      <c r="F54" s="24"/>
      <c r="G54" s="23"/>
      <c r="H54" s="8"/>
      <c r="I54" s="8"/>
      <c r="J54" s="25"/>
      <c r="K54" s="25"/>
      <c r="Q54">
        <f>ROUND((Source!BZ31/100)*ROUND((Source!AF31*Source!AV31)*Source!I31, 2), 2)</f>
        <v>2341.16</v>
      </c>
      <c r="R54">
        <f>Source!X31</f>
        <v>2341.16</v>
      </c>
      <c r="S54">
        <f>ROUND((Source!CA31/100)*ROUND((Source!AF31*Source!AV31)*Source!I31, 2), 2)</f>
        <v>334.45</v>
      </c>
      <c r="T54">
        <f>Source!Y31</f>
        <v>334.45</v>
      </c>
      <c r="U54">
        <f>ROUND((175/100)*ROUND((Source!AE31*Source!AV31)*Source!I31, 2), 2)</f>
        <v>0</v>
      </c>
      <c r="V54">
        <f>ROUND((108/100)*ROUND(Source!CS31*Source!I31, 2), 2)</f>
        <v>0</v>
      </c>
    </row>
    <row r="55" spans="1:22" x14ac:dyDescent="0.2">
      <c r="C55" s="31" t="str">
        <f>"Объем: "&amp;Source!I31&amp;"=40/"&amp;"10"</f>
        <v>Объем: 4=40/10</v>
      </c>
    </row>
    <row r="56" spans="1:22" ht="14.25" x14ac:dyDescent="0.2">
      <c r="A56" s="20"/>
      <c r="B56" s="21"/>
      <c r="C56" s="21" t="s">
        <v>167</v>
      </c>
      <c r="D56" s="22"/>
      <c r="E56" s="8"/>
      <c r="F56" s="24">
        <f>Source!AO31</f>
        <v>836.13</v>
      </c>
      <c r="G56" s="23" t="str">
        <f>Source!DG31</f>
        <v/>
      </c>
      <c r="H56" s="8">
        <f>Source!AV31</f>
        <v>1</v>
      </c>
      <c r="I56" s="8">
        <f>IF(Source!BA31&lt;&gt; 0, Source!BA31, 1)</f>
        <v>1</v>
      </c>
      <c r="J56" s="25">
        <f>Source!S31</f>
        <v>3344.52</v>
      </c>
      <c r="K56" s="25"/>
    </row>
    <row r="57" spans="1:22" ht="14.25" x14ac:dyDescent="0.2">
      <c r="A57" s="20"/>
      <c r="B57" s="21"/>
      <c r="C57" s="21" t="s">
        <v>168</v>
      </c>
      <c r="D57" s="22"/>
      <c r="E57" s="8"/>
      <c r="F57" s="24">
        <f>Source!AM31</f>
        <v>0</v>
      </c>
      <c r="G57" s="23" t="str">
        <f>Source!DE31</f>
        <v/>
      </c>
      <c r="H57" s="8">
        <f>Source!AV31</f>
        <v>1</v>
      </c>
      <c r="I57" s="8">
        <f>IF(Source!BB31&lt;&gt; 0, Source!BB31, 1)</f>
        <v>1</v>
      </c>
      <c r="J57" s="25">
        <f>Source!Q31</f>
        <v>0</v>
      </c>
      <c r="K57" s="25"/>
    </row>
    <row r="58" spans="1:22" ht="14.25" x14ac:dyDescent="0.2">
      <c r="A58" s="20"/>
      <c r="B58" s="21"/>
      <c r="C58" s="21" t="s">
        <v>169</v>
      </c>
      <c r="D58" s="22"/>
      <c r="E58" s="8"/>
      <c r="F58" s="24">
        <f>Source!AN31</f>
        <v>0</v>
      </c>
      <c r="G58" s="23" t="str">
        <f>Source!DF31</f>
        <v/>
      </c>
      <c r="H58" s="8">
        <f>Source!AV31</f>
        <v>1</v>
      </c>
      <c r="I58" s="8">
        <f>IF(Source!BS31&lt;&gt; 0, Source!BS31, 1)</f>
        <v>1</v>
      </c>
      <c r="J58" s="26">
        <f>Source!R31</f>
        <v>0</v>
      </c>
      <c r="K58" s="25"/>
    </row>
    <row r="59" spans="1:22" ht="14.25" x14ac:dyDescent="0.2">
      <c r="A59" s="20"/>
      <c r="B59" s="21"/>
      <c r="C59" s="21" t="s">
        <v>170</v>
      </c>
      <c r="D59" s="22"/>
      <c r="E59" s="8"/>
      <c r="F59" s="24">
        <f>Source!AL31</f>
        <v>22.21</v>
      </c>
      <c r="G59" s="23" t="str">
        <f>Source!DD31</f>
        <v/>
      </c>
      <c r="H59" s="8">
        <f>Source!AW31</f>
        <v>1</v>
      </c>
      <c r="I59" s="8">
        <f>IF(Source!BC31&lt;&gt; 0, Source!BC31, 1)</f>
        <v>1</v>
      </c>
      <c r="J59" s="25">
        <f>Source!P31</f>
        <v>88.84</v>
      </c>
      <c r="K59" s="25"/>
    </row>
    <row r="60" spans="1:22" ht="14.25" x14ac:dyDescent="0.2">
      <c r="A60" s="20"/>
      <c r="B60" s="21"/>
      <c r="C60" s="21" t="s">
        <v>171</v>
      </c>
      <c r="D60" s="22" t="s">
        <v>172</v>
      </c>
      <c r="E60" s="8">
        <f>Source!AT31</f>
        <v>70</v>
      </c>
      <c r="F60" s="24"/>
      <c r="G60" s="23"/>
      <c r="H60" s="8"/>
      <c r="I60" s="8"/>
      <c r="J60" s="25">
        <f>SUM(R54:R59)</f>
        <v>2341.16</v>
      </c>
      <c r="K60" s="25"/>
    </row>
    <row r="61" spans="1:22" ht="14.25" x14ac:dyDescent="0.2">
      <c r="A61" s="20"/>
      <c r="B61" s="21"/>
      <c r="C61" s="21" t="s">
        <v>173</v>
      </c>
      <c r="D61" s="22" t="s">
        <v>172</v>
      </c>
      <c r="E61" s="8">
        <f>Source!AU31</f>
        <v>10</v>
      </c>
      <c r="F61" s="24"/>
      <c r="G61" s="23"/>
      <c r="H61" s="8"/>
      <c r="I61" s="8"/>
      <c r="J61" s="25">
        <f>SUM(T54:T60)</f>
        <v>334.45</v>
      </c>
      <c r="K61" s="25"/>
    </row>
    <row r="62" spans="1:22" ht="14.25" x14ac:dyDescent="0.2">
      <c r="A62" s="20"/>
      <c r="B62" s="21"/>
      <c r="C62" s="21" t="s">
        <v>174</v>
      </c>
      <c r="D62" s="22" t="s">
        <v>172</v>
      </c>
      <c r="E62" s="8">
        <f>108</f>
        <v>108</v>
      </c>
      <c r="F62" s="24"/>
      <c r="G62" s="23"/>
      <c r="H62" s="8"/>
      <c r="I62" s="8"/>
      <c r="J62" s="25">
        <f>SUM(V54:V61)</f>
        <v>0</v>
      </c>
      <c r="K62" s="25"/>
    </row>
    <row r="63" spans="1:22" ht="14.25" x14ac:dyDescent="0.2">
      <c r="A63" s="20"/>
      <c r="B63" s="21"/>
      <c r="C63" s="21" t="s">
        <v>175</v>
      </c>
      <c r="D63" s="22" t="s">
        <v>176</v>
      </c>
      <c r="E63" s="8">
        <f>Source!AQ31</f>
        <v>3.98</v>
      </c>
      <c r="F63" s="24"/>
      <c r="G63" s="23" t="str">
        <f>Source!DI31</f>
        <v/>
      </c>
      <c r="H63" s="8">
        <f>Source!AV31</f>
        <v>1</v>
      </c>
      <c r="I63" s="8"/>
      <c r="J63" s="25"/>
      <c r="K63" s="25">
        <f>Source!U31</f>
        <v>15.92</v>
      </c>
    </row>
    <row r="64" spans="1:22" ht="15" x14ac:dyDescent="0.25">
      <c r="A64" s="29"/>
      <c r="B64" s="29"/>
      <c r="C64" s="29"/>
      <c r="D64" s="29"/>
      <c r="E64" s="29"/>
      <c r="F64" s="29"/>
      <c r="G64" s="29"/>
      <c r="H64" s="29"/>
      <c r="I64" s="65">
        <f>J56+J57+J59+J60+J61+J62</f>
        <v>6108.97</v>
      </c>
      <c r="J64" s="65"/>
      <c r="K64" s="30">
        <f>IF(Source!I31&lt;&gt;0, ROUND(I64/Source!I31, 2), 0)</f>
        <v>1527.24</v>
      </c>
      <c r="P64" s="27">
        <f>I64</f>
        <v>6108.97</v>
      </c>
    </row>
    <row r="65" spans="1:22" ht="42.75" x14ac:dyDescent="0.2">
      <c r="A65" s="20" t="str">
        <f>Source!E32</f>
        <v>4</v>
      </c>
      <c r="B65" s="21" t="str">
        <f>Source!F32</f>
        <v>5.4-3103-25-1/1</v>
      </c>
      <c r="C65" s="21" t="str">
        <f>Source!G32</f>
        <v>Посадка кустарников с комом земли в живую изгородь - однорядная (без стоимости кустарников)</v>
      </c>
      <c r="D65" s="22" t="str">
        <f>Source!H32</f>
        <v>10 м</v>
      </c>
      <c r="E65" s="8">
        <f>Source!I32</f>
        <v>3.5</v>
      </c>
      <c r="F65" s="24"/>
      <c r="G65" s="23"/>
      <c r="H65" s="8"/>
      <c r="I65" s="8"/>
      <c r="J65" s="25"/>
      <c r="K65" s="25"/>
      <c r="Q65">
        <f>ROUND((Source!BZ32/100)*ROUND((Source!AF32*Source!AV32)*Source!I32, 2), 2)</f>
        <v>2048.52</v>
      </c>
      <c r="R65">
        <f>Source!X32</f>
        <v>2048.52</v>
      </c>
      <c r="S65">
        <f>ROUND((Source!CA32/100)*ROUND((Source!AF32*Source!AV32)*Source!I32, 2), 2)</f>
        <v>292.64999999999998</v>
      </c>
      <c r="T65">
        <f>Source!Y32</f>
        <v>292.64999999999998</v>
      </c>
      <c r="U65">
        <f>ROUND((175/100)*ROUND((Source!AE32*Source!AV32)*Source!I32, 2), 2)</f>
        <v>0</v>
      </c>
      <c r="V65">
        <f>ROUND((108/100)*ROUND(Source!CS32*Source!I32, 2), 2)</f>
        <v>0</v>
      </c>
    </row>
    <row r="66" spans="1:22" x14ac:dyDescent="0.2">
      <c r="C66" s="31" t="str">
        <f>"Объем: "&amp;Source!I32&amp;"=35/"&amp;"10"</f>
        <v>Объем: 3.5=35/10</v>
      </c>
    </row>
    <row r="67" spans="1:22" ht="14.25" x14ac:dyDescent="0.2">
      <c r="A67" s="20"/>
      <c r="B67" s="21"/>
      <c r="C67" s="21" t="s">
        <v>167</v>
      </c>
      <c r="D67" s="22"/>
      <c r="E67" s="8"/>
      <c r="F67" s="24">
        <f>Source!AO32</f>
        <v>836.13</v>
      </c>
      <c r="G67" s="23" t="str">
        <f>Source!DG32</f>
        <v/>
      </c>
      <c r="H67" s="8">
        <f>Source!AV32</f>
        <v>1</v>
      </c>
      <c r="I67" s="8">
        <f>IF(Source!BA32&lt;&gt; 0, Source!BA32, 1)</f>
        <v>1</v>
      </c>
      <c r="J67" s="25">
        <f>Source!S32</f>
        <v>2926.46</v>
      </c>
      <c r="K67" s="25"/>
    </row>
    <row r="68" spans="1:22" ht="14.25" x14ac:dyDescent="0.2">
      <c r="A68" s="20"/>
      <c r="B68" s="21"/>
      <c r="C68" s="21" t="s">
        <v>168</v>
      </c>
      <c r="D68" s="22"/>
      <c r="E68" s="8"/>
      <c r="F68" s="24">
        <f>Source!AM32</f>
        <v>0</v>
      </c>
      <c r="G68" s="23" t="str">
        <f>Source!DE32</f>
        <v/>
      </c>
      <c r="H68" s="8">
        <f>Source!AV32</f>
        <v>1</v>
      </c>
      <c r="I68" s="8">
        <f>IF(Source!BB32&lt;&gt; 0, Source!BB32, 1)</f>
        <v>1</v>
      </c>
      <c r="J68" s="25">
        <f>Source!Q32</f>
        <v>0</v>
      </c>
      <c r="K68" s="25"/>
    </row>
    <row r="69" spans="1:22" ht="14.25" x14ac:dyDescent="0.2">
      <c r="A69" s="20"/>
      <c r="B69" s="21"/>
      <c r="C69" s="21" t="s">
        <v>169</v>
      </c>
      <c r="D69" s="22"/>
      <c r="E69" s="8"/>
      <c r="F69" s="24">
        <f>Source!AN32</f>
        <v>0</v>
      </c>
      <c r="G69" s="23" t="str">
        <f>Source!DF32</f>
        <v/>
      </c>
      <c r="H69" s="8">
        <f>Source!AV32</f>
        <v>1</v>
      </c>
      <c r="I69" s="8">
        <f>IF(Source!BS32&lt;&gt; 0, Source!BS32, 1)</f>
        <v>1</v>
      </c>
      <c r="J69" s="26">
        <f>Source!R32</f>
        <v>0</v>
      </c>
      <c r="K69" s="25"/>
    </row>
    <row r="70" spans="1:22" ht="14.25" x14ac:dyDescent="0.2">
      <c r="A70" s="20"/>
      <c r="B70" s="21"/>
      <c r="C70" s="21" t="s">
        <v>170</v>
      </c>
      <c r="D70" s="22"/>
      <c r="E70" s="8"/>
      <c r="F70" s="24">
        <f>Source!AL32</f>
        <v>22.21</v>
      </c>
      <c r="G70" s="23" t="str">
        <f>Source!DD32</f>
        <v/>
      </c>
      <c r="H70" s="8">
        <f>Source!AW32</f>
        <v>1</v>
      </c>
      <c r="I70" s="8">
        <f>IF(Source!BC32&lt;&gt; 0, Source!BC32, 1)</f>
        <v>1</v>
      </c>
      <c r="J70" s="25">
        <f>Source!P32</f>
        <v>77.739999999999995</v>
      </c>
      <c r="K70" s="25"/>
    </row>
    <row r="71" spans="1:22" ht="42.75" x14ac:dyDescent="0.2">
      <c r="A71" s="20" t="str">
        <f>Source!E33</f>
        <v>4.1</v>
      </c>
      <c r="B71" s="21" t="str">
        <f>Source!F33</f>
        <v>21.4-2-27</v>
      </c>
      <c r="C71" s="21" t="str">
        <f>Source!G33</f>
        <v>Кустарники декоративные с закрытой корневой системой: кизильник блестящий, С7</v>
      </c>
      <c r="D71" s="22" t="str">
        <f>Source!H33</f>
        <v>шт.</v>
      </c>
      <c r="E71" s="8">
        <f>Source!I33</f>
        <v>300</v>
      </c>
      <c r="F71" s="24">
        <f>Source!AK33</f>
        <v>574.29999999999995</v>
      </c>
      <c r="G71" s="32" t="s">
        <v>3</v>
      </c>
      <c r="H71" s="8">
        <f>Source!AW33</f>
        <v>1</v>
      </c>
      <c r="I71" s="8">
        <f>IF(Source!BC33&lt;&gt; 0, Source!BC33, 1)</f>
        <v>1</v>
      </c>
      <c r="J71" s="25">
        <f>Source!O33</f>
        <v>172290</v>
      </c>
      <c r="K71" s="25"/>
      <c r="Q71">
        <f>ROUND((Source!BZ33/100)*ROUND((Source!AF33*Source!AV33)*Source!I33, 2), 2)</f>
        <v>0</v>
      </c>
      <c r="R71">
        <f>Source!X33</f>
        <v>0</v>
      </c>
      <c r="S71">
        <f>ROUND((Source!CA33/100)*ROUND((Source!AF33*Source!AV33)*Source!I33, 2), 2)</f>
        <v>0</v>
      </c>
      <c r="T71">
        <f>Source!Y33</f>
        <v>0</v>
      </c>
      <c r="U71">
        <f>ROUND((175/100)*ROUND((Source!AE33*Source!AV33)*Source!I33, 2), 2)</f>
        <v>0</v>
      </c>
      <c r="V71">
        <f>ROUND((108/100)*ROUND(Source!CS33*Source!I33, 2), 2)</f>
        <v>0</v>
      </c>
    </row>
    <row r="72" spans="1:22" ht="14.25" x14ac:dyDescent="0.2">
      <c r="A72" s="20"/>
      <c r="B72" s="21"/>
      <c r="C72" s="21" t="s">
        <v>171</v>
      </c>
      <c r="D72" s="22" t="s">
        <v>172</v>
      </c>
      <c r="E72" s="8">
        <f>Source!AT32</f>
        <v>70</v>
      </c>
      <c r="F72" s="24"/>
      <c r="G72" s="23"/>
      <c r="H72" s="8"/>
      <c r="I72" s="8"/>
      <c r="J72" s="25">
        <f>SUM(R65:R71)</f>
        <v>2048.52</v>
      </c>
      <c r="K72" s="25"/>
    </row>
    <row r="73" spans="1:22" ht="14.25" x14ac:dyDescent="0.2">
      <c r="A73" s="20"/>
      <c r="B73" s="21"/>
      <c r="C73" s="21" t="s">
        <v>173</v>
      </c>
      <c r="D73" s="22" t="s">
        <v>172</v>
      </c>
      <c r="E73" s="8">
        <f>Source!AU32</f>
        <v>10</v>
      </c>
      <c r="F73" s="24"/>
      <c r="G73" s="23"/>
      <c r="H73" s="8"/>
      <c r="I73" s="8"/>
      <c r="J73" s="25">
        <f>SUM(T65:T72)</f>
        <v>292.64999999999998</v>
      </c>
      <c r="K73" s="25"/>
    </row>
    <row r="74" spans="1:22" ht="14.25" x14ac:dyDescent="0.2">
      <c r="A74" s="20"/>
      <c r="B74" s="21"/>
      <c r="C74" s="21" t="s">
        <v>174</v>
      </c>
      <c r="D74" s="22" t="s">
        <v>172</v>
      </c>
      <c r="E74" s="8">
        <f>108</f>
        <v>108</v>
      </c>
      <c r="F74" s="24"/>
      <c r="G74" s="23"/>
      <c r="H74" s="8"/>
      <c r="I74" s="8"/>
      <c r="J74" s="25">
        <f>SUM(V65:V73)</f>
        <v>0</v>
      </c>
      <c r="K74" s="25"/>
    </row>
    <row r="75" spans="1:22" ht="14.25" x14ac:dyDescent="0.2">
      <c r="A75" s="20"/>
      <c r="B75" s="21"/>
      <c r="C75" s="21" t="s">
        <v>175</v>
      </c>
      <c r="D75" s="22" t="s">
        <v>176</v>
      </c>
      <c r="E75" s="8">
        <f>Source!AQ32</f>
        <v>3.98</v>
      </c>
      <c r="F75" s="24"/>
      <c r="G75" s="23" t="str">
        <f>Source!DI32</f>
        <v/>
      </c>
      <c r="H75" s="8">
        <f>Source!AV32</f>
        <v>1</v>
      </c>
      <c r="I75" s="8"/>
      <c r="J75" s="25"/>
      <c r="K75" s="25">
        <f>Source!U32</f>
        <v>13.93</v>
      </c>
    </row>
    <row r="76" spans="1:22" ht="15" x14ac:dyDescent="0.25">
      <c r="A76" s="29"/>
      <c r="B76" s="29"/>
      <c r="C76" s="29"/>
      <c r="D76" s="29"/>
      <c r="E76" s="29"/>
      <c r="F76" s="29"/>
      <c r="G76" s="29"/>
      <c r="H76" s="29"/>
      <c r="I76" s="65">
        <f>J67+J68+J70+J72+J73+J74+SUM(J71:J71)</f>
        <v>177635.37</v>
      </c>
      <c r="J76" s="65"/>
      <c r="K76" s="30">
        <f>IF(Source!I32&lt;&gt;0, ROUND(I76/Source!I32, 2), 0)</f>
        <v>50752.959999999999</v>
      </c>
      <c r="P76" s="27">
        <f>I76</f>
        <v>177635.37</v>
      </c>
    </row>
    <row r="77" spans="1:22" ht="42.75" x14ac:dyDescent="0.2">
      <c r="A77" s="20" t="str">
        <f>Source!E34</f>
        <v>5</v>
      </c>
      <c r="B77" s="21" t="str">
        <f>Source!F34</f>
        <v>5.4-3103-20-3/1</v>
      </c>
      <c r="C77" s="21" t="str">
        <f>Source!G34</f>
        <v>Внесение минеральных удобрений при посадке деревьев и кустарников для стандартных саженцев</v>
      </c>
      <c r="D77" s="22" t="str">
        <f>Source!H34</f>
        <v>10 м3 ям</v>
      </c>
      <c r="E77" s="8">
        <f>Source!I34</f>
        <v>0.8</v>
      </c>
      <c r="F77" s="24"/>
      <c r="G77" s="23"/>
      <c r="H77" s="8"/>
      <c r="I77" s="8"/>
      <c r="J77" s="25"/>
      <c r="K77" s="25"/>
      <c r="Q77">
        <f>ROUND((Source!BZ34/100)*ROUND((Source!AF34*Source!AV34)*Source!I34, 2), 2)</f>
        <v>1911.94</v>
      </c>
      <c r="R77">
        <f>Source!X34</f>
        <v>1911.94</v>
      </c>
      <c r="S77">
        <f>ROUND((Source!CA34/100)*ROUND((Source!AF34*Source!AV34)*Source!I34, 2), 2)</f>
        <v>273.13</v>
      </c>
      <c r="T77">
        <f>Source!Y34</f>
        <v>273.13</v>
      </c>
      <c r="U77">
        <f>ROUND((175/100)*ROUND((Source!AE34*Source!AV34)*Source!I34, 2), 2)</f>
        <v>0</v>
      </c>
      <c r="V77">
        <f>ROUND((108/100)*ROUND(Source!CS34*Source!I34, 2), 2)</f>
        <v>0</v>
      </c>
    </row>
    <row r="78" spans="1:22" x14ac:dyDescent="0.2">
      <c r="C78" s="31" t="str">
        <f>"Объем: "&amp;Source!I34&amp;"=8/"&amp;"10"</f>
        <v>Объем: 0.8=8/10</v>
      </c>
    </row>
    <row r="79" spans="1:22" ht="14.25" x14ac:dyDescent="0.2">
      <c r="A79" s="20"/>
      <c r="B79" s="21"/>
      <c r="C79" s="21" t="s">
        <v>167</v>
      </c>
      <c r="D79" s="22"/>
      <c r="E79" s="8"/>
      <c r="F79" s="24">
        <f>Source!AO34</f>
        <v>3414.18</v>
      </c>
      <c r="G79" s="23" t="str">
        <f>Source!DG34</f>
        <v/>
      </c>
      <c r="H79" s="8">
        <f>Source!AV34</f>
        <v>1</v>
      </c>
      <c r="I79" s="8">
        <f>IF(Source!BA34&lt;&gt; 0, Source!BA34, 1)</f>
        <v>1</v>
      </c>
      <c r="J79" s="25">
        <f>Source!S34</f>
        <v>2731.34</v>
      </c>
      <c r="K79" s="25"/>
    </row>
    <row r="80" spans="1:22" ht="14.25" x14ac:dyDescent="0.2">
      <c r="A80" s="20"/>
      <c r="B80" s="21"/>
      <c r="C80" s="21" t="s">
        <v>168</v>
      </c>
      <c r="D80" s="22"/>
      <c r="E80" s="8"/>
      <c r="F80" s="24">
        <f>Source!AM34</f>
        <v>0</v>
      </c>
      <c r="G80" s="23" t="str">
        <f>Source!DE34</f>
        <v/>
      </c>
      <c r="H80" s="8">
        <f>Source!AV34</f>
        <v>1</v>
      </c>
      <c r="I80" s="8">
        <f>IF(Source!BB34&lt;&gt; 0, Source!BB34, 1)</f>
        <v>1</v>
      </c>
      <c r="J80" s="25">
        <f>Source!Q34</f>
        <v>0</v>
      </c>
      <c r="K80" s="25"/>
    </row>
    <row r="81" spans="1:22" ht="14.25" x14ac:dyDescent="0.2">
      <c r="A81" s="20"/>
      <c r="B81" s="21"/>
      <c r="C81" s="21" t="s">
        <v>169</v>
      </c>
      <c r="D81" s="22"/>
      <c r="E81" s="8"/>
      <c r="F81" s="24">
        <f>Source!AN34</f>
        <v>0</v>
      </c>
      <c r="G81" s="23" t="str">
        <f>Source!DF34</f>
        <v/>
      </c>
      <c r="H81" s="8">
        <f>Source!AV34</f>
        <v>1</v>
      </c>
      <c r="I81" s="8">
        <f>IF(Source!BS34&lt;&gt; 0, Source!BS34, 1)</f>
        <v>1</v>
      </c>
      <c r="J81" s="26">
        <f>Source!R34</f>
        <v>0</v>
      </c>
      <c r="K81" s="25"/>
    </row>
    <row r="82" spans="1:22" ht="14.25" x14ac:dyDescent="0.2">
      <c r="A82" s="20"/>
      <c r="B82" s="21"/>
      <c r="C82" s="21" t="s">
        <v>170</v>
      </c>
      <c r="D82" s="22"/>
      <c r="E82" s="8"/>
      <c r="F82" s="24">
        <f>Source!AL34</f>
        <v>4307.41</v>
      </c>
      <c r="G82" s="23" t="str">
        <f>Source!DD34</f>
        <v/>
      </c>
      <c r="H82" s="8">
        <f>Source!AW34</f>
        <v>1</v>
      </c>
      <c r="I82" s="8">
        <f>IF(Source!BC34&lt;&gt; 0, Source!BC34, 1)</f>
        <v>1</v>
      </c>
      <c r="J82" s="25">
        <f>Source!P34</f>
        <v>3445.93</v>
      </c>
      <c r="K82" s="25"/>
    </row>
    <row r="83" spans="1:22" ht="14.25" x14ac:dyDescent="0.2">
      <c r="A83" s="20"/>
      <c r="B83" s="21"/>
      <c r="C83" s="21" t="s">
        <v>171</v>
      </c>
      <c r="D83" s="22" t="s">
        <v>172</v>
      </c>
      <c r="E83" s="8">
        <f>Source!AT34</f>
        <v>70</v>
      </c>
      <c r="F83" s="24"/>
      <c r="G83" s="23"/>
      <c r="H83" s="8"/>
      <c r="I83" s="8"/>
      <c r="J83" s="25">
        <f>SUM(R77:R82)</f>
        <v>1911.94</v>
      </c>
      <c r="K83" s="25"/>
    </row>
    <row r="84" spans="1:22" ht="14.25" x14ac:dyDescent="0.2">
      <c r="A84" s="20"/>
      <c r="B84" s="21"/>
      <c r="C84" s="21" t="s">
        <v>173</v>
      </c>
      <c r="D84" s="22" t="s">
        <v>172</v>
      </c>
      <c r="E84" s="8">
        <f>Source!AU34</f>
        <v>10</v>
      </c>
      <c r="F84" s="24"/>
      <c r="G84" s="23"/>
      <c r="H84" s="8"/>
      <c r="I84" s="8"/>
      <c r="J84" s="25">
        <f>SUM(T77:T83)</f>
        <v>273.13</v>
      </c>
      <c r="K84" s="25"/>
    </row>
    <row r="85" spans="1:22" ht="14.25" x14ac:dyDescent="0.2">
      <c r="A85" s="20"/>
      <c r="B85" s="21"/>
      <c r="C85" s="21" t="s">
        <v>174</v>
      </c>
      <c r="D85" s="22" t="s">
        <v>172</v>
      </c>
      <c r="E85" s="8">
        <f>108</f>
        <v>108</v>
      </c>
      <c r="F85" s="24"/>
      <c r="G85" s="23"/>
      <c r="H85" s="8"/>
      <c r="I85" s="8"/>
      <c r="J85" s="25">
        <f>SUM(V77:V84)</f>
        <v>0</v>
      </c>
      <c r="K85" s="25"/>
    </row>
    <row r="86" spans="1:22" ht="14.25" x14ac:dyDescent="0.2">
      <c r="A86" s="20"/>
      <c r="B86" s="21"/>
      <c r="C86" s="21" t="s">
        <v>175</v>
      </c>
      <c r="D86" s="22" t="s">
        <v>176</v>
      </c>
      <c r="E86" s="8">
        <f>Source!AQ34</f>
        <v>18.89</v>
      </c>
      <c r="F86" s="24"/>
      <c r="G86" s="23" t="str">
        <f>Source!DI34</f>
        <v/>
      </c>
      <c r="H86" s="8">
        <f>Source!AV34</f>
        <v>1</v>
      </c>
      <c r="I86" s="8"/>
      <c r="J86" s="25"/>
      <c r="K86" s="25">
        <f>Source!U34</f>
        <v>15.112000000000002</v>
      </c>
    </row>
    <row r="87" spans="1:22" ht="15" x14ac:dyDescent="0.25">
      <c r="A87" s="29"/>
      <c r="B87" s="29"/>
      <c r="C87" s="29"/>
      <c r="D87" s="29"/>
      <c r="E87" s="29"/>
      <c r="F87" s="29"/>
      <c r="G87" s="29"/>
      <c r="H87" s="29"/>
      <c r="I87" s="65">
        <f>J79+J80+J82+J83+J84+J85</f>
        <v>8362.34</v>
      </c>
      <c r="J87" s="65"/>
      <c r="K87" s="30">
        <f>IF(Source!I34&lt;&gt;0, ROUND(I87/Source!I34, 2), 0)</f>
        <v>10452.93</v>
      </c>
      <c r="P87" s="27">
        <f>I87</f>
        <v>8362.34</v>
      </c>
    </row>
    <row r="88" spans="1:22" ht="42.75" x14ac:dyDescent="0.2">
      <c r="A88" s="20" t="str">
        <f>Source!E35</f>
        <v>6</v>
      </c>
      <c r="B88" s="21" t="str">
        <f>Source!F35</f>
        <v>5.4-3205-1-1/1</v>
      </c>
      <c r="C88" s="21" t="str">
        <f>Source!G35</f>
        <v>Погрузка вручную на автотранспорт растительных остатков - стебли и выкопанные растения</v>
      </c>
      <c r="D88" s="22" t="str">
        <f>Source!H35</f>
        <v>т</v>
      </c>
      <c r="E88" s="8">
        <f>Source!I35</f>
        <v>0.2</v>
      </c>
      <c r="F88" s="24"/>
      <c r="G88" s="23"/>
      <c r="H88" s="8"/>
      <c r="I88" s="8"/>
      <c r="J88" s="25"/>
      <c r="K88" s="25"/>
      <c r="Q88">
        <f>ROUND((Source!BZ35/100)*ROUND((Source!AF35*Source!AV35)*Source!I35, 2), 2)</f>
        <v>52.07</v>
      </c>
      <c r="R88">
        <f>Source!X35</f>
        <v>52.07</v>
      </c>
      <c r="S88">
        <f>ROUND((Source!CA35/100)*ROUND((Source!AF35*Source!AV35)*Source!I35, 2), 2)</f>
        <v>7.44</v>
      </c>
      <c r="T88">
        <f>Source!Y35</f>
        <v>7.44</v>
      </c>
      <c r="U88">
        <f>ROUND((175/100)*ROUND((Source!AE35*Source!AV35)*Source!I35, 2), 2)</f>
        <v>0</v>
      </c>
      <c r="V88">
        <f>ROUND((108/100)*ROUND(Source!CS35*Source!I35, 2), 2)</f>
        <v>0</v>
      </c>
    </row>
    <row r="89" spans="1:22" ht="14.25" x14ac:dyDescent="0.2">
      <c r="A89" s="20"/>
      <c r="B89" s="21"/>
      <c r="C89" s="21" t="s">
        <v>167</v>
      </c>
      <c r="D89" s="22"/>
      <c r="E89" s="8"/>
      <c r="F89" s="24">
        <f>Source!AO35</f>
        <v>371.97</v>
      </c>
      <c r="G89" s="23" t="str">
        <f>Source!DG35</f>
        <v/>
      </c>
      <c r="H89" s="8">
        <f>Source!AV35</f>
        <v>1</v>
      </c>
      <c r="I89" s="8">
        <f>IF(Source!BA35&lt;&gt; 0, Source!BA35, 1)</f>
        <v>1</v>
      </c>
      <c r="J89" s="25">
        <f>Source!S35</f>
        <v>74.39</v>
      </c>
      <c r="K89" s="25"/>
    </row>
    <row r="90" spans="1:22" ht="14.25" x14ac:dyDescent="0.2">
      <c r="A90" s="20"/>
      <c r="B90" s="21"/>
      <c r="C90" s="21" t="s">
        <v>168</v>
      </c>
      <c r="D90" s="22"/>
      <c r="E90" s="8"/>
      <c r="F90" s="24">
        <f>Source!AM35</f>
        <v>0</v>
      </c>
      <c r="G90" s="23" t="str">
        <f>Source!DE35</f>
        <v/>
      </c>
      <c r="H90" s="8">
        <f>Source!AV35</f>
        <v>1</v>
      </c>
      <c r="I90" s="8">
        <f>IF(Source!BB35&lt;&gt; 0, Source!BB35, 1)</f>
        <v>1</v>
      </c>
      <c r="J90" s="25">
        <f>Source!Q35</f>
        <v>0</v>
      </c>
      <c r="K90" s="25"/>
    </row>
    <row r="91" spans="1:22" ht="14.25" x14ac:dyDescent="0.2">
      <c r="A91" s="20"/>
      <c r="B91" s="21"/>
      <c r="C91" s="21" t="s">
        <v>169</v>
      </c>
      <c r="D91" s="22"/>
      <c r="E91" s="8"/>
      <c r="F91" s="24">
        <f>Source!AN35</f>
        <v>0</v>
      </c>
      <c r="G91" s="23" t="str">
        <f>Source!DF35</f>
        <v/>
      </c>
      <c r="H91" s="8">
        <f>Source!AV35</f>
        <v>1</v>
      </c>
      <c r="I91" s="8">
        <f>IF(Source!BS35&lt;&gt; 0, Source!BS35, 1)</f>
        <v>1</v>
      </c>
      <c r="J91" s="26">
        <f>Source!R35</f>
        <v>0</v>
      </c>
      <c r="K91" s="25"/>
    </row>
    <row r="92" spans="1:22" ht="14.25" x14ac:dyDescent="0.2">
      <c r="A92" s="20"/>
      <c r="B92" s="21"/>
      <c r="C92" s="21" t="s">
        <v>170</v>
      </c>
      <c r="D92" s="22"/>
      <c r="E92" s="8"/>
      <c r="F92" s="24">
        <f>Source!AL35</f>
        <v>0</v>
      </c>
      <c r="G92" s="23" t="str">
        <f>Source!DD35</f>
        <v/>
      </c>
      <c r="H92" s="8">
        <f>Source!AW35</f>
        <v>1</v>
      </c>
      <c r="I92" s="8">
        <f>IF(Source!BC35&lt;&gt; 0, Source!BC35, 1)</f>
        <v>1</v>
      </c>
      <c r="J92" s="25">
        <f>Source!P35</f>
        <v>0</v>
      </c>
      <c r="K92" s="25"/>
    </row>
    <row r="93" spans="1:22" ht="14.25" x14ac:dyDescent="0.2">
      <c r="A93" s="20"/>
      <c r="B93" s="21"/>
      <c r="C93" s="21" t="s">
        <v>171</v>
      </c>
      <c r="D93" s="22" t="s">
        <v>172</v>
      </c>
      <c r="E93" s="8">
        <f>Source!AT35</f>
        <v>70</v>
      </c>
      <c r="F93" s="24"/>
      <c r="G93" s="23"/>
      <c r="H93" s="8"/>
      <c r="I93" s="8"/>
      <c r="J93" s="25">
        <f>SUM(R88:R92)</f>
        <v>52.07</v>
      </c>
      <c r="K93" s="25"/>
    </row>
    <row r="94" spans="1:22" ht="14.25" x14ac:dyDescent="0.2">
      <c r="A94" s="20"/>
      <c r="B94" s="21"/>
      <c r="C94" s="21" t="s">
        <v>173</v>
      </c>
      <c r="D94" s="22" t="s">
        <v>172</v>
      </c>
      <c r="E94" s="8">
        <f>Source!AU35</f>
        <v>10</v>
      </c>
      <c r="F94" s="24"/>
      <c r="G94" s="23"/>
      <c r="H94" s="8"/>
      <c r="I94" s="8"/>
      <c r="J94" s="25">
        <f>SUM(T88:T93)</f>
        <v>7.44</v>
      </c>
      <c r="K94" s="25"/>
    </row>
    <row r="95" spans="1:22" ht="14.25" x14ac:dyDescent="0.2">
      <c r="A95" s="20"/>
      <c r="B95" s="21"/>
      <c r="C95" s="21" t="s">
        <v>174</v>
      </c>
      <c r="D95" s="22" t="s">
        <v>172</v>
      </c>
      <c r="E95" s="8">
        <f>108</f>
        <v>108</v>
      </c>
      <c r="F95" s="24"/>
      <c r="G95" s="23"/>
      <c r="H95" s="8"/>
      <c r="I95" s="8"/>
      <c r="J95" s="25">
        <f>SUM(V88:V94)</f>
        <v>0</v>
      </c>
      <c r="K95" s="25"/>
    </row>
    <row r="96" spans="1:22" ht="14.25" x14ac:dyDescent="0.2">
      <c r="A96" s="20"/>
      <c r="B96" s="21"/>
      <c r="C96" s="21" t="s">
        <v>175</v>
      </c>
      <c r="D96" s="22" t="s">
        <v>176</v>
      </c>
      <c r="E96" s="8">
        <f>Source!AQ35</f>
        <v>1.84</v>
      </c>
      <c r="F96" s="24"/>
      <c r="G96" s="23" t="str">
        <f>Source!DI35</f>
        <v/>
      </c>
      <c r="H96" s="8">
        <f>Source!AV35</f>
        <v>1</v>
      </c>
      <c r="I96" s="8"/>
      <c r="J96" s="25"/>
      <c r="K96" s="25">
        <f>Source!U35</f>
        <v>0.36800000000000005</v>
      </c>
    </row>
    <row r="97" spans="1:22" ht="15" x14ac:dyDescent="0.25">
      <c r="A97" s="29"/>
      <c r="B97" s="29"/>
      <c r="C97" s="29"/>
      <c r="D97" s="29"/>
      <c r="E97" s="29"/>
      <c r="F97" s="29"/>
      <c r="G97" s="29"/>
      <c r="H97" s="29"/>
      <c r="I97" s="65">
        <f>J89+J90+J92+J93+J94+J95</f>
        <v>133.9</v>
      </c>
      <c r="J97" s="65"/>
      <c r="K97" s="30">
        <f>IF(Source!I35&lt;&gt;0, ROUND(I97/Source!I35, 2), 0)</f>
        <v>669.5</v>
      </c>
      <c r="P97" s="27">
        <f>I97</f>
        <v>133.9</v>
      </c>
    </row>
    <row r="98" spans="1:22" ht="57" x14ac:dyDescent="0.2">
      <c r="A98" s="20" t="str">
        <f>Source!E36</f>
        <v>7</v>
      </c>
      <c r="B98" s="21" t="str">
        <f>Source!F36</f>
        <v>5.4-3205-2-1/1</v>
      </c>
      <c r="C98" s="21" t="str">
        <f>Source!G36</f>
        <v>Перевозка растительных остатков автосамосвалами грузоподъемностью до 15 т на расстояние 1 км - при погрузке вручную</v>
      </c>
      <c r="D98" s="22" t="str">
        <f>Source!H36</f>
        <v>т</v>
      </c>
      <c r="E98" s="8">
        <f>Source!I36</f>
        <v>0.2</v>
      </c>
      <c r="F98" s="24"/>
      <c r="G98" s="23"/>
      <c r="H98" s="8"/>
      <c r="I98" s="8"/>
      <c r="J98" s="25"/>
      <c r="K98" s="25"/>
      <c r="Q98">
        <f>ROUND((Source!BZ36/100)*ROUND((Source!AF36*Source!AV36)*Source!I36, 2), 2)</f>
        <v>0</v>
      </c>
      <c r="R98">
        <f>Source!X36</f>
        <v>0</v>
      </c>
      <c r="S98">
        <f>ROUND((Source!CA36/100)*ROUND((Source!AF36*Source!AV36)*Source!I36, 2), 2)</f>
        <v>0</v>
      </c>
      <c r="T98">
        <f>Source!Y36</f>
        <v>0</v>
      </c>
      <c r="U98">
        <f>ROUND((175/100)*ROUND((Source!AE36*Source!AV36)*Source!I36, 2), 2)</f>
        <v>59.12</v>
      </c>
      <c r="V98">
        <f>ROUND((108/100)*ROUND(Source!CS36*Source!I36, 2), 2)</f>
        <v>36.479999999999997</v>
      </c>
    </row>
    <row r="99" spans="1:22" ht="14.25" x14ac:dyDescent="0.2">
      <c r="A99" s="20"/>
      <c r="B99" s="21"/>
      <c r="C99" s="21" t="s">
        <v>167</v>
      </c>
      <c r="D99" s="22"/>
      <c r="E99" s="8"/>
      <c r="F99" s="24">
        <f>Source!AO36</f>
        <v>0</v>
      </c>
      <c r="G99" s="23" t="str">
        <f>Source!DG36</f>
        <v/>
      </c>
      <c r="H99" s="8">
        <f>Source!AV36</f>
        <v>1</v>
      </c>
      <c r="I99" s="8">
        <f>IF(Source!BA36&lt;&gt; 0, Source!BA36, 1)</f>
        <v>1</v>
      </c>
      <c r="J99" s="25">
        <f>Source!S36</f>
        <v>0</v>
      </c>
      <c r="K99" s="25"/>
    </row>
    <row r="100" spans="1:22" ht="14.25" x14ac:dyDescent="0.2">
      <c r="A100" s="20"/>
      <c r="B100" s="21"/>
      <c r="C100" s="21" t="s">
        <v>168</v>
      </c>
      <c r="D100" s="22"/>
      <c r="E100" s="8"/>
      <c r="F100" s="24">
        <f>Source!AM36</f>
        <v>337.85</v>
      </c>
      <c r="G100" s="23" t="str">
        <f>Source!DE36</f>
        <v/>
      </c>
      <c r="H100" s="8">
        <f>Source!AV36</f>
        <v>1</v>
      </c>
      <c r="I100" s="8">
        <f>IF(Source!BB36&lt;&gt; 0, Source!BB36, 1)</f>
        <v>1</v>
      </c>
      <c r="J100" s="25">
        <f>Source!Q36</f>
        <v>67.569999999999993</v>
      </c>
      <c r="K100" s="25"/>
    </row>
    <row r="101" spans="1:22" ht="14.25" x14ac:dyDescent="0.2">
      <c r="A101" s="20"/>
      <c r="B101" s="21"/>
      <c r="C101" s="21" t="s">
        <v>169</v>
      </c>
      <c r="D101" s="22"/>
      <c r="E101" s="8"/>
      <c r="F101" s="24">
        <f>Source!AN36</f>
        <v>168.92</v>
      </c>
      <c r="G101" s="23" t="str">
        <f>Source!DF36</f>
        <v/>
      </c>
      <c r="H101" s="8">
        <f>Source!AV36</f>
        <v>1</v>
      </c>
      <c r="I101" s="8">
        <f>IF(Source!BS36&lt;&gt; 0, Source!BS36, 1)</f>
        <v>1</v>
      </c>
      <c r="J101" s="26">
        <f>Source!R36</f>
        <v>33.78</v>
      </c>
      <c r="K101" s="25"/>
    </row>
    <row r="102" spans="1:22" ht="14.25" x14ac:dyDescent="0.2">
      <c r="A102" s="20"/>
      <c r="B102" s="21"/>
      <c r="C102" s="21" t="s">
        <v>170</v>
      </c>
      <c r="D102" s="22"/>
      <c r="E102" s="8"/>
      <c r="F102" s="24">
        <f>Source!AL36</f>
        <v>0</v>
      </c>
      <c r="G102" s="23" t="str">
        <f>Source!DD36</f>
        <v/>
      </c>
      <c r="H102" s="8">
        <f>Source!AW36</f>
        <v>1</v>
      </c>
      <c r="I102" s="8">
        <f>IF(Source!BC36&lt;&gt; 0, Source!BC36, 1)</f>
        <v>1</v>
      </c>
      <c r="J102" s="25">
        <f>Source!P36</f>
        <v>0</v>
      </c>
      <c r="K102" s="25"/>
    </row>
    <row r="103" spans="1:22" ht="14.25" x14ac:dyDescent="0.2">
      <c r="A103" s="20"/>
      <c r="B103" s="21"/>
      <c r="C103" s="21" t="s">
        <v>171</v>
      </c>
      <c r="D103" s="22" t="s">
        <v>172</v>
      </c>
      <c r="E103" s="8">
        <f>Source!AT36</f>
        <v>0</v>
      </c>
      <c r="F103" s="24"/>
      <c r="G103" s="23"/>
      <c r="H103" s="8"/>
      <c r="I103" s="8"/>
      <c r="J103" s="25">
        <f>SUM(R98:R102)</f>
        <v>0</v>
      </c>
      <c r="K103" s="25"/>
    </row>
    <row r="104" spans="1:22" ht="14.25" x14ac:dyDescent="0.2">
      <c r="A104" s="20"/>
      <c r="B104" s="21"/>
      <c r="C104" s="21" t="s">
        <v>173</v>
      </c>
      <c r="D104" s="22" t="s">
        <v>172</v>
      </c>
      <c r="E104" s="8">
        <f>Source!AU36</f>
        <v>0</v>
      </c>
      <c r="F104" s="24"/>
      <c r="G104" s="23"/>
      <c r="H104" s="8"/>
      <c r="I104" s="8"/>
      <c r="J104" s="25">
        <f>SUM(T98:T103)</f>
        <v>0</v>
      </c>
      <c r="K104" s="25"/>
    </row>
    <row r="105" spans="1:22" ht="14.25" x14ac:dyDescent="0.2">
      <c r="A105" s="20"/>
      <c r="B105" s="21"/>
      <c r="C105" s="21" t="s">
        <v>175</v>
      </c>
      <c r="D105" s="22" t="s">
        <v>176</v>
      </c>
      <c r="E105" s="8">
        <f>Source!AQ36</f>
        <v>0</v>
      </c>
      <c r="F105" s="24"/>
      <c r="G105" s="23" t="str">
        <f>Source!DI36</f>
        <v/>
      </c>
      <c r="H105" s="8">
        <f>Source!AV36</f>
        <v>1</v>
      </c>
      <c r="I105" s="8"/>
      <c r="J105" s="25"/>
      <c r="K105" s="25">
        <f>Source!U36</f>
        <v>0</v>
      </c>
    </row>
    <row r="106" spans="1:22" ht="15" x14ac:dyDescent="0.25">
      <c r="A106" s="29"/>
      <c r="B106" s="29"/>
      <c r="C106" s="29"/>
      <c r="D106" s="29"/>
      <c r="E106" s="29"/>
      <c r="F106" s="29"/>
      <c r="G106" s="29"/>
      <c r="H106" s="29"/>
      <c r="I106" s="65">
        <f>J99+J100+J102+J103+J104</f>
        <v>67.569999999999993</v>
      </c>
      <c r="J106" s="65"/>
      <c r="K106" s="30">
        <f>IF(Source!I36&lt;&gt;0, ROUND(I106/Source!I36, 2), 0)</f>
        <v>337.85</v>
      </c>
      <c r="P106" s="27">
        <f>I106</f>
        <v>67.569999999999993</v>
      </c>
    </row>
    <row r="107" spans="1:22" ht="57" x14ac:dyDescent="0.2">
      <c r="A107" s="20" t="str">
        <f>Source!E37</f>
        <v>8</v>
      </c>
      <c r="B107" s="21" t="str">
        <f>Source!F37</f>
        <v>5.4-3205-2-2/1</v>
      </c>
      <c r="C107" s="21" t="str">
        <f>Source!G37</f>
        <v>Перевозка растительных остатков автосамосвалами грузоподъемностью до 15 т - добавляется на каждый последующий 1 км до 100 км</v>
      </c>
      <c r="D107" s="22" t="str">
        <f>Source!H37</f>
        <v>т</v>
      </c>
      <c r="E107" s="8">
        <f>Source!I37</f>
        <v>0.2</v>
      </c>
      <c r="F107" s="24"/>
      <c r="G107" s="23"/>
      <c r="H107" s="8"/>
      <c r="I107" s="8"/>
      <c r="J107" s="25"/>
      <c r="K107" s="25"/>
      <c r="Q107">
        <f>ROUND((Source!BZ37/100)*ROUND((Source!AF37*Source!AV37)*Source!I37, 2), 2)</f>
        <v>0</v>
      </c>
      <c r="R107">
        <f>Source!X37</f>
        <v>0</v>
      </c>
      <c r="S107">
        <f>ROUND((Source!CA37/100)*ROUND((Source!AF37*Source!AV37)*Source!I37, 2), 2)</f>
        <v>0</v>
      </c>
      <c r="T107">
        <f>Source!Y37</f>
        <v>0</v>
      </c>
      <c r="U107">
        <f>ROUND((175/100)*ROUND((Source!AE37*Source!AV37)*Source!I37, 2), 2)</f>
        <v>164.4</v>
      </c>
      <c r="V107">
        <f>ROUND((108/100)*ROUND(Source!CS37*Source!I37, 2), 2)</f>
        <v>101.46</v>
      </c>
    </row>
    <row r="108" spans="1:22" ht="14.25" x14ac:dyDescent="0.2">
      <c r="A108" s="20"/>
      <c r="B108" s="21"/>
      <c r="C108" s="21" t="s">
        <v>167</v>
      </c>
      <c r="D108" s="22"/>
      <c r="E108" s="8"/>
      <c r="F108" s="24">
        <f>Source!AO37</f>
        <v>0</v>
      </c>
      <c r="G108" s="23" t="str">
        <f>Source!DG37</f>
        <v>)*51</v>
      </c>
      <c r="H108" s="8">
        <f>Source!AV37</f>
        <v>1</v>
      </c>
      <c r="I108" s="8">
        <f>IF(Source!BA37&lt;&gt; 0, Source!BA37, 1)</f>
        <v>1</v>
      </c>
      <c r="J108" s="25">
        <f>Source!S37</f>
        <v>0</v>
      </c>
      <c r="K108" s="25"/>
    </row>
    <row r="109" spans="1:22" ht="14.25" x14ac:dyDescent="0.2">
      <c r="A109" s="20"/>
      <c r="B109" s="21"/>
      <c r="C109" s="21" t="s">
        <v>168</v>
      </c>
      <c r="D109" s="22"/>
      <c r="E109" s="8"/>
      <c r="F109" s="24">
        <f>Source!AM37</f>
        <v>18.43</v>
      </c>
      <c r="G109" s="23" t="str">
        <f>Source!DE37</f>
        <v>)*51</v>
      </c>
      <c r="H109" s="8">
        <f>Source!AV37</f>
        <v>1</v>
      </c>
      <c r="I109" s="8">
        <f>IF(Source!BB37&lt;&gt; 0, Source!BB37, 1)</f>
        <v>1</v>
      </c>
      <c r="J109" s="25">
        <f>Source!Q37</f>
        <v>187.99</v>
      </c>
      <c r="K109" s="25"/>
    </row>
    <row r="110" spans="1:22" ht="14.25" x14ac:dyDescent="0.2">
      <c r="A110" s="20"/>
      <c r="B110" s="21"/>
      <c r="C110" s="21" t="s">
        <v>169</v>
      </c>
      <c r="D110" s="22"/>
      <c r="E110" s="8"/>
      <c r="F110" s="24">
        <f>Source!AN37</f>
        <v>9.2100000000000009</v>
      </c>
      <c r="G110" s="23" t="str">
        <f>Source!DF37</f>
        <v>)*51</v>
      </c>
      <c r="H110" s="8">
        <f>Source!AV37</f>
        <v>1</v>
      </c>
      <c r="I110" s="8">
        <f>IF(Source!BS37&lt;&gt; 0, Source!BS37, 1)</f>
        <v>1</v>
      </c>
      <c r="J110" s="26">
        <f>Source!R37</f>
        <v>93.94</v>
      </c>
      <c r="K110" s="25"/>
    </row>
    <row r="111" spans="1:22" ht="14.25" x14ac:dyDescent="0.2">
      <c r="A111" s="20"/>
      <c r="B111" s="21"/>
      <c r="C111" s="21" t="s">
        <v>170</v>
      </c>
      <c r="D111" s="22"/>
      <c r="E111" s="8"/>
      <c r="F111" s="24">
        <f>Source!AL37</f>
        <v>0</v>
      </c>
      <c r="G111" s="23" t="str">
        <f>Source!DD37</f>
        <v>)*51</v>
      </c>
      <c r="H111" s="8">
        <f>Source!AW37</f>
        <v>1</v>
      </c>
      <c r="I111" s="8">
        <f>IF(Source!BC37&lt;&gt; 0, Source!BC37, 1)</f>
        <v>1</v>
      </c>
      <c r="J111" s="25">
        <f>Source!P37</f>
        <v>0</v>
      </c>
      <c r="K111" s="25"/>
    </row>
    <row r="112" spans="1:22" ht="14.25" x14ac:dyDescent="0.2">
      <c r="A112" s="20"/>
      <c r="B112" s="21"/>
      <c r="C112" s="21" t="s">
        <v>171</v>
      </c>
      <c r="D112" s="22" t="s">
        <v>172</v>
      </c>
      <c r="E112" s="8">
        <f>Source!AT37</f>
        <v>0</v>
      </c>
      <c r="F112" s="24"/>
      <c r="G112" s="23"/>
      <c r="H112" s="8"/>
      <c r="I112" s="8"/>
      <c r="J112" s="25">
        <f>SUM(R107:R111)</f>
        <v>0</v>
      </c>
      <c r="K112" s="25"/>
    </row>
    <row r="113" spans="1:16" ht="14.25" x14ac:dyDescent="0.2">
      <c r="A113" s="20"/>
      <c r="B113" s="21"/>
      <c r="C113" s="21" t="s">
        <v>173</v>
      </c>
      <c r="D113" s="22" t="s">
        <v>172</v>
      </c>
      <c r="E113" s="8">
        <f>Source!AU37</f>
        <v>0</v>
      </c>
      <c r="F113" s="24"/>
      <c r="G113" s="23"/>
      <c r="H113" s="8"/>
      <c r="I113" s="8"/>
      <c r="J113" s="25">
        <f>SUM(T107:T112)</f>
        <v>0</v>
      </c>
      <c r="K113" s="25"/>
    </row>
    <row r="114" spans="1:16" ht="14.25" x14ac:dyDescent="0.2">
      <c r="A114" s="20"/>
      <c r="B114" s="21"/>
      <c r="C114" s="21" t="s">
        <v>175</v>
      </c>
      <c r="D114" s="22" t="s">
        <v>176</v>
      </c>
      <c r="E114" s="8">
        <f>Source!AQ37</f>
        <v>0</v>
      </c>
      <c r="F114" s="24"/>
      <c r="G114" s="23" t="str">
        <f>Source!DI37</f>
        <v>)*51</v>
      </c>
      <c r="H114" s="8">
        <f>Source!AV37</f>
        <v>1</v>
      </c>
      <c r="I114" s="8"/>
      <c r="J114" s="25"/>
      <c r="K114" s="25">
        <f>Source!U37</f>
        <v>0</v>
      </c>
    </row>
    <row r="115" spans="1:16" ht="15" x14ac:dyDescent="0.25">
      <c r="A115" s="29"/>
      <c r="B115" s="29"/>
      <c r="C115" s="29"/>
      <c r="D115" s="29"/>
      <c r="E115" s="29"/>
      <c r="F115" s="29"/>
      <c r="G115" s="29"/>
      <c r="H115" s="29"/>
      <c r="I115" s="65">
        <f>J108+J109+J111+J112+J113</f>
        <v>187.99</v>
      </c>
      <c r="J115" s="65"/>
      <c r="K115" s="30">
        <f>IF(Source!I37&lt;&gt;0, ROUND(I115/Source!I37, 2), 0)</f>
        <v>939.95</v>
      </c>
      <c r="P115" s="27">
        <f>I115</f>
        <v>187.99</v>
      </c>
    </row>
    <row r="117" spans="1:16" ht="15" x14ac:dyDescent="0.25">
      <c r="A117" s="71" t="str">
        <f>CONCATENATE("Итого по разделу: ",IF(Source!G39&lt;&gt;"Новый раздел", Source!G39, ""))</f>
        <v>Итого по разделу: Территория ЦАК</v>
      </c>
      <c r="B117" s="71"/>
      <c r="C117" s="71"/>
      <c r="D117" s="71"/>
      <c r="E117" s="71"/>
      <c r="F117" s="71"/>
      <c r="G117" s="71"/>
      <c r="H117" s="71"/>
      <c r="I117" s="69">
        <f>SUM(P31:P116)</f>
        <v>200089.96999999997</v>
      </c>
      <c r="J117" s="70"/>
      <c r="K117" s="33"/>
    </row>
    <row r="120" spans="1:16" ht="15" x14ac:dyDescent="0.25">
      <c r="A120" s="71" t="str">
        <f>CONCATENATE("Итого по локальной смете: ",IF(Source!G69&lt;&gt;"Новая локальная смета", Source!G69, ""))</f>
        <v xml:space="preserve">Итого по локальной смете: </v>
      </c>
      <c r="B120" s="71"/>
      <c r="C120" s="71"/>
      <c r="D120" s="71"/>
      <c r="E120" s="71"/>
      <c r="F120" s="71"/>
      <c r="G120" s="71"/>
      <c r="H120" s="71"/>
      <c r="I120" s="69">
        <f>SUM(P30:P119)</f>
        <v>200089.96999999997</v>
      </c>
      <c r="J120" s="70"/>
      <c r="K120" s="33"/>
    </row>
    <row r="123" spans="1:16" ht="14.25" x14ac:dyDescent="0.2">
      <c r="A123" s="52" t="s">
        <v>196</v>
      </c>
      <c r="B123" s="52"/>
      <c r="C123" s="13"/>
      <c r="I123" s="72">
        <f>I120*0.2</f>
        <v>40017.993999999999</v>
      </c>
      <c r="J123" s="72"/>
    </row>
    <row r="124" spans="1:16" s="49" customFormat="1" ht="15" x14ac:dyDescent="0.25">
      <c r="A124" s="68" t="s">
        <v>195</v>
      </c>
      <c r="B124" s="68"/>
      <c r="C124" s="68"/>
      <c r="I124" s="73">
        <f>I120+I123</f>
        <v>240107.96399999998</v>
      </c>
      <c r="J124" s="73"/>
    </row>
    <row r="125" spans="1:16" ht="14.25" x14ac:dyDescent="0.2">
      <c r="A125" s="13"/>
      <c r="B125" s="13"/>
      <c r="C125" s="13"/>
    </row>
    <row r="126" spans="1:16" ht="14.25" x14ac:dyDescent="0.2">
      <c r="A126" s="13"/>
      <c r="B126" s="13"/>
      <c r="C126" s="13"/>
    </row>
    <row r="127" spans="1:16" ht="14.25" x14ac:dyDescent="0.2">
      <c r="A127" s="74" t="s">
        <v>177</v>
      </c>
      <c r="B127" s="74"/>
      <c r="C127" s="35" t="str">
        <f>IF(Source!AC12&lt;&gt;"", Source!AC12," ")</f>
        <v xml:space="preserve"> </v>
      </c>
      <c r="D127" s="35"/>
      <c r="E127" s="35"/>
      <c r="F127" s="35"/>
      <c r="G127" s="35"/>
      <c r="H127" s="9" t="str">
        <f>IF(Source!AB12&lt;&gt;"", Source!AB12," ")</f>
        <v xml:space="preserve"> </v>
      </c>
      <c r="I127" s="9"/>
      <c r="J127" s="9"/>
      <c r="K127" s="9"/>
    </row>
    <row r="128" spans="1:16" ht="14.25" x14ac:dyDescent="0.2">
      <c r="A128" s="9"/>
      <c r="B128" s="9"/>
      <c r="C128" s="67" t="s">
        <v>178</v>
      </c>
      <c r="D128" s="67"/>
      <c r="E128" s="67"/>
      <c r="F128" s="67"/>
      <c r="G128" s="67"/>
      <c r="H128" s="9"/>
      <c r="I128" s="9"/>
      <c r="J128" s="9"/>
      <c r="K128" s="9"/>
    </row>
    <row r="129" spans="1:11" ht="14.25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spans="1:11" ht="14.25" x14ac:dyDescent="0.2">
      <c r="A130" s="74" t="s">
        <v>179</v>
      </c>
      <c r="B130" s="74"/>
      <c r="C130" s="35" t="str">
        <f>IF(Source!AE12&lt;&gt;"", Source!AE12," ")</f>
        <v xml:space="preserve"> </v>
      </c>
      <c r="D130" s="35"/>
      <c r="E130" s="35"/>
      <c r="F130" s="35"/>
      <c r="G130" s="35"/>
      <c r="H130" s="9" t="str">
        <f>IF(Source!AD12&lt;&gt;"", Source!AD12," ")</f>
        <v xml:space="preserve"> </v>
      </c>
      <c r="I130" s="9"/>
      <c r="J130" s="9"/>
      <c r="K130" s="9"/>
    </row>
    <row r="131" spans="1:11" ht="14.25" x14ac:dyDescent="0.2">
      <c r="A131" s="9"/>
      <c r="B131" s="9"/>
      <c r="C131" s="67" t="s">
        <v>178</v>
      </c>
      <c r="D131" s="67"/>
      <c r="E131" s="67"/>
      <c r="F131" s="67"/>
      <c r="G131" s="67"/>
      <c r="H131" s="9"/>
      <c r="I131" s="9"/>
      <c r="J131" s="9"/>
      <c r="K131" s="9"/>
    </row>
  </sheetData>
  <mergeCells count="58">
    <mergeCell ref="C131:G131"/>
    <mergeCell ref="A123:B123"/>
    <mergeCell ref="A124:C124"/>
    <mergeCell ref="I117:J117"/>
    <mergeCell ref="A117:H117"/>
    <mergeCell ref="I120:J120"/>
    <mergeCell ref="A120:H120"/>
    <mergeCell ref="I123:J123"/>
    <mergeCell ref="I124:J124"/>
    <mergeCell ref="A127:B127"/>
    <mergeCell ref="C128:G128"/>
    <mergeCell ref="A130:B130"/>
    <mergeCell ref="I115:J115"/>
    <mergeCell ref="I25:I27"/>
    <mergeCell ref="J25:J27"/>
    <mergeCell ref="A31:K31"/>
    <mergeCell ref="I41:J41"/>
    <mergeCell ref="I53:J53"/>
    <mergeCell ref="I64:J64"/>
    <mergeCell ref="I76:J76"/>
    <mergeCell ref="I87:J87"/>
    <mergeCell ref="I97:J97"/>
    <mergeCell ref="I106:J106"/>
    <mergeCell ref="F23:H23"/>
    <mergeCell ref="I23:J23"/>
    <mergeCell ref="A25:A27"/>
    <mergeCell ref="B25:B27"/>
    <mergeCell ref="C25:C27"/>
    <mergeCell ref="D25:D27"/>
    <mergeCell ref="E25:E27"/>
    <mergeCell ref="F25:F27"/>
    <mergeCell ref="G25:G27"/>
    <mergeCell ref="H25:H27"/>
    <mergeCell ref="F20:H20"/>
    <mergeCell ref="I20:J20"/>
    <mergeCell ref="F21:H21"/>
    <mergeCell ref="I21:J21"/>
    <mergeCell ref="F22:H22"/>
    <mergeCell ref="I22:J22"/>
    <mergeCell ref="A15:K15"/>
    <mergeCell ref="F18:H18"/>
    <mergeCell ref="I18:J18"/>
    <mergeCell ref="F19:H19"/>
    <mergeCell ref="I19:J19"/>
    <mergeCell ref="J1:K1"/>
    <mergeCell ref="A9:K9"/>
    <mergeCell ref="A10:K10"/>
    <mergeCell ref="A1:C1"/>
    <mergeCell ref="A14:K14"/>
    <mergeCell ref="A12:K12"/>
    <mergeCell ref="B2:E2"/>
    <mergeCell ref="G2:K2"/>
    <mergeCell ref="B3:E3"/>
    <mergeCell ref="G3:K3"/>
    <mergeCell ref="B5:E5"/>
    <mergeCell ref="G5:K5"/>
    <mergeCell ref="B6:E6"/>
    <mergeCell ref="G6:K6"/>
  </mergeCells>
  <pageMargins left="0.4" right="0.2" top="0.2" bottom="0.4" header="0.2" footer="0.2"/>
  <pageSetup paperSize="9" scale="65" fitToHeight="0" orientation="portrait" verticalDpi="0" r:id="rId1"/>
  <headerFooter>
    <oddHeader>&amp;L&amp;8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4"/>
  <sheetViews>
    <sheetView zoomScaleNormal="100" workbookViewId="0">
      <selection activeCell="B5" sqref="B5"/>
    </sheetView>
  </sheetViews>
  <sheetFormatPr defaultRowHeight="12.75" x14ac:dyDescent="0.2"/>
  <cols>
    <col min="1" max="1" width="6.7109375" customWidth="1"/>
    <col min="2" max="2" width="75.7109375" customWidth="1"/>
    <col min="3" max="5" width="15.7109375" customWidth="1"/>
    <col min="30" max="31" width="0" hidden="1" customWidth="1"/>
  </cols>
  <sheetData>
    <row r="1" spans="1:5" ht="14.25" x14ac:dyDescent="0.2">
      <c r="B1" s="19" t="s">
        <v>197</v>
      </c>
      <c r="C1" s="9"/>
      <c r="D1" s="9"/>
    </row>
    <row r="2" spans="1:5" ht="15" x14ac:dyDescent="0.25">
      <c r="C2" s="9"/>
      <c r="D2" s="28" t="s">
        <v>141</v>
      </c>
    </row>
    <row r="3" spans="1:5" ht="15" x14ac:dyDescent="0.25">
      <c r="C3" s="28"/>
      <c r="D3" s="28"/>
    </row>
    <row r="4" spans="1:5" ht="30" customHeight="1" x14ac:dyDescent="0.25">
      <c r="B4" s="75" t="s">
        <v>194</v>
      </c>
      <c r="C4" s="75"/>
      <c r="D4" s="75"/>
      <c r="E4" s="75"/>
    </row>
    <row r="5" spans="1:5" ht="15" x14ac:dyDescent="0.25">
      <c r="C5" s="36"/>
      <c r="D5" s="36"/>
    </row>
    <row r="6" spans="1:5" ht="15" x14ac:dyDescent="0.25">
      <c r="C6" s="78" t="s">
        <v>198</v>
      </c>
      <c r="D6" s="78"/>
    </row>
    <row r="7" spans="1:5" ht="15" x14ac:dyDescent="0.25">
      <c r="C7" s="36"/>
      <c r="D7" s="36"/>
    </row>
    <row r="8" spans="1:5" ht="15" x14ac:dyDescent="0.25">
      <c r="C8" s="28"/>
      <c r="D8" s="9"/>
    </row>
    <row r="9" spans="1:5" ht="14.25" x14ac:dyDescent="0.2">
      <c r="A9" s="9"/>
      <c r="B9" s="9"/>
      <c r="C9" s="9"/>
      <c r="D9" s="9"/>
      <c r="E9" s="9"/>
    </row>
    <row r="10" spans="1:5" ht="15.75" x14ac:dyDescent="0.25">
      <c r="A10" s="79" t="str">
        <f>CONCATENATE("Дефектный акт ", IF(Source!AN15&lt;&gt;"", Source!AN15," "))</f>
        <v xml:space="preserve">Дефектный акт  </v>
      </c>
      <c r="B10" s="79"/>
      <c r="C10" s="79"/>
      <c r="D10" s="79"/>
      <c r="E10" s="9"/>
    </row>
    <row r="11" spans="1:5" ht="15" x14ac:dyDescent="0.25">
      <c r="A11" s="9"/>
      <c r="B11" s="33" t="str">
        <f>Source!G12</f>
        <v>выполнение работ по посадке кустарников на территории ЦАК   СС и НМП им. А.С. Пучкова</v>
      </c>
      <c r="C11" s="9"/>
      <c r="D11" s="9"/>
      <c r="E11" s="9"/>
    </row>
    <row r="12" spans="1:5" ht="15" x14ac:dyDescent="0.2">
      <c r="A12" s="9"/>
      <c r="B12" s="37" t="s">
        <v>180</v>
      </c>
      <c r="C12" s="9"/>
      <c r="D12" s="9"/>
      <c r="E12" s="9"/>
    </row>
    <row r="13" spans="1:5" ht="15" x14ac:dyDescent="0.2">
      <c r="A13" s="9"/>
      <c r="B13" s="37" t="s">
        <v>181</v>
      </c>
      <c r="C13" s="9"/>
      <c r="D13" s="9"/>
      <c r="E13" s="9"/>
    </row>
    <row r="14" spans="1:5" ht="15" x14ac:dyDescent="0.2">
      <c r="A14" s="9"/>
      <c r="B14" s="37" t="s">
        <v>182</v>
      </c>
      <c r="C14" s="9"/>
      <c r="D14" s="9"/>
      <c r="E14" s="9"/>
    </row>
    <row r="15" spans="1:5" ht="28.5" x14ac:dyDescent="0.2">
      <c r="A15" s="18" t="s">
        <v>183</v>
      </c>
      <c r="B15" s="18" t="s">
        <v>155</v>
      </c>
      <c r="C15" s="18" t="s">
        <v>156</v>
      </c>
      <c r="D15" s="18" t="s">
        <v>184</v>
      </c>
      <c r="E15" s="38" t="s">
        <v>185</v>
      </c>
    </row>
    <row r="16" spans="1:5" ht="14.25" x14ac:dyDescent="0.2">
      <c r="A16" s="39">
        <v>1</v>
      </c>
      <c r="B16" s="39">
        <v>2</v>
      </c>
      <c r="C16" s="39">
        <v>3</v>
      </c>
      <c r="D16" s="39">
        <v>4</v>
      </c>
      <c r="E16" s="40">
        <v>5</v>
      </c>
    </row>
    <row r="17" spans="1:5" ht="16.5" x14ac:dyDescent="0.25">
      <c r="A17" s="80" t="str">
        <f>CONCATENATE("Раздел: ", Source!G24)</f>
        <v>Раздел: Территория ЦАК</v>
      </c>
      <c r="B17" s="80"/>
      <c r="C17" s="80"/>
      <c r="D17" s="80"/>
      <c r="E17" s="80"/>
    </row>
    <row r="18" spans="1:5" ht="42.75" x14ac:dyDescent="0.2">
      <c r="A18" s="45" t="str">
        <f>Source!E28</f>
        <v>1</v>
      </c>
      <c r="B18" s="46" t="str">
        <f>Source!G28</f>
        <v>Расчистка площадей от кустарников и мелколесья диаметром до 100 мм вручную с последующей переноской и складированием на расстояние до 50 м при редкой заросли</v>
      </c>
      <c r="C18" s="47" t="str">
        <f>Source!H28</f>
        <v>га</v>
      </c>
      <c r="D18" s="48">
        <f>Source!I28</f>
        <v>2E-3</v>
      </c>
      <c r="E18" s="46"/>
    </row>
    <row r="19" spans="1:5" ht="42.75" x14ac:dyDescent="0.2">
      <c r="A19" s="45" t="str">
        <f>Source!E29</f>
        <v>2</v>
      </c>
      <c r="B19" s="46" t="str">
        <f>Source!G29</f>
        <v>Посадка кустарников с комом земли в живую изгородь - подготовка посадочных мест вручную для однорядной живой изгороди с добавлением растительной земли, добавлять на каждые 25 %</v>
      </c>
      <c r="C19" s="47" t="str">
        <f>Source!H29</f>
        <v>10 м</v>
      </c>
      <c r="D19" s="48">
        <f>Source!I29</f>
        <v>7.5</v>
      </c>
      <c r="E19" s="46"/>
    </row>
    <row r="20" spans="1:5" ht="14.25" x14ac:dyDescent="0.2">
      <c r="A20" s="45" t="str">
        <f>Source!E30</f>
        <v>2.1</v>
      </c>
      <c r="B20" s="46" t="str">
        <f>Source!G30</f>
        <v>Земля растительная</v>
      </c>
      <c r="C20" s="47" t="str">
        <f>Source!H30</f>
        <v>м3</v>
      </c>
      <c r="D20" s="48">
        <f>Source!I30</f>
        <v>4.6875</v>
      </c>
      <c r="E20" s="46"/>
    </row>
    <row r="21" spans="1:5" ht="28.5" x14ac:dyDescent="0.2">
      <c r="A21" s="45" t="str">
        <f>Source!E31</f>
        <v>3</v>
      </c>
      <c r="B21" s="46" t="str">
        <f>Source!G31</f>
        <v>Посадка кустарников с комом земли в живую изгородь - однорядная (без стоимости кустарников) существующие</v>
      </c>
      <c r="C21" s="47" t="str">
        <f>Source!H31</f>
        <v>10 м</v>
      </c>
      <c r="D21" s="48">
        <f>Source!I31</f>
        <v>4</v>
      </c>
      <c r="E21" s="46"/>
    </row>
    <row r="22" spans="1:5" ht="28.5" x14ac:dyDescent="0.2">
      <c r="A22" s="45" t="str">
        <f>Source!E32</f>
        <v>4</v>
      </c>
      <c r="B22" s="46" t="str">
        <f>Source!G32</f>
        <v>Посадка кустарников с комом земли в живую изгородь - однорядная (без стоимости кустарников)</v>
      </c>
      <c r="C22" s="47" t="str">
        <f>Source!H32</f>
        <v>10 м</v>
      </c>
      <c r="D22" s="48">
        <f>Source!I32</f>
        <v>3.5</v>
      </c>
      <c r="E22" s="46"/>
    </row>
    <row r="23" spans="1:5" ht="28.5" x14ac:dyDescent="0.2">
      <c r="A23" s="45" t="str">
        <f>Source!E33</f>
        <v>4.1</v>
      </c>
      <c r="B23" s="46" t="str">
        <f>Source!G33</f>
        <v>Кустарники декоративные с закрытой корневой системой: кизильник блестящий, С7</v>
      </c>
      <c r="C23" s="47" t="str">
        <f>Source!H33</f>
        <v>шт.</v>
      </c>
      <c r="D23" s="48">
        <f>Source!I33</f>
        <v>300</v>
      </c>
      <c r="E23" s="46"/>
    </row>
    <row r="24" spans="1:5" ht="28.5" x14ac:dyDescent="0.2">
      <c r="A24" s="45" t="str">
        <f>Source!E34</f>
        <v>5</v>
      </c>
      <c r="B24" s="46" t="str">
        <f>Source!G34</f>
        <v>Внесение минеральных удобрений при посадке деревьев и кустарников для стандартных саженцев</v>
      </c>
      <c r="C24" s="47" t="str">
        <f>Source!H34</f>
        <v>10 м3 ям</v>
      </c>
      <c r="D24" s="48">
        <f>Source!I34</f>
        <v>0.8</v>
      </c>
      <c r="E24" s="46"/>
    </row>
    <row r="25" spans="1:5" ht="28.5" x14ac:dyDescent="0.2">
      <c r="A25" s="45" t="str">
        <f>Source!E35</f>
        <v>6</v>
      </c>
      <c r="B25" s="46" t="str">
        <f>Source!G35</f>
        <v>Погрузка вручную на автотранспорт растительных остатков - стебли и выкопанные растения</v>
      </c>
      <c r="C25" s="47" t="str">
        <f>Source!H35</f>
        <v>т</v>
      </c>
      <c r="D25" s="48">
        <f>Source!I35</f>
        <v>0.2</v>
      </c>
      <c r="E25" s="46"/>
    </row>
    <row r="26" spans="1:5" ht="28.5" x14ac:dyDescent="0.2">
      <c r="A26" s="45" t="str">
        <f>Source!E36</f>
        <v>7</v>
      </c>
      <c r="B26" s="46" t="str">
        <f>Source!G36</f>
        <v>Перевозка растительных остатков автосамосвалами грузоподъемностью до 15 т на расстояние 1 км - при погрузке вручную</v>
      </c>
      <c r="C26" s="47" t="str">
        <f>Source!H36</f>
        <v>т</v>
      </c>
      <c r="D26" s="48">
        <f>Source!I36</f>
        <v>0.2</v>
      </c>
      <c r="E26" s="46"/>
    </row>
    <row r="27" spans="1:5" ht="28.5" x14ac:dyDescent="0.2">
      <c r="A27" s="41" t="str">
        <f>Source!E37</f>
        <v>8</v>
      </c>
      <c r="B27" s="42" t="str">
        <f>Source!G37</f>
        <v>Перевозка растительных остатков автосамосвалами грузоподъемностью до 15 т - добавляется на каждый последующий 1 км до 100 км</v>
      </c>
      <c r="C27" s="43" t="str">
        <f>Source!H37</f>
        <v>т</v>
      </c>
      <c r="D27" s="44">
        <f>Source!I37</f>
        <v>0.2</v>
      </c>
      <c r="E27" s="42"/>
    </row>
    <row r="30" spans="1:5" x14ac:dyDescent="0.2">
      <c r="B30" s="19" t="s">
        <v>186</v>
      </c>
    </row>
    <row r="32" spans="1:5" x14ac:dyDescent="0.2">
      <c r="B32" s="19" t="s">
        <v>187</v>
      </c>
      <c r="C32" s="76" t="s">
        <v>188</v>
      </c>
      <c r="D32" s="77"/>
    </row>
    <row r="34" spans="2:4" x14ac:dyDescent="0.2">
      <c r="B34" s="19" t="s">
        <v>189</v>
      </c>
      <c r="C34" s="76" t="s">
        <v>190</v>
      </c>
      <c r="D34" s="77"/>
    </row>
  </sheetData>
  <mergeCells count="6">
    <mergeCell ref="B4:E4"/>
    <mergeCell ref="C32:D32"/>
    <mergeCell ref="C34:D34"/>
    <mergeCell ref="C6:D6"/>
    <mergeCell ref="A10:D10"/>
    <mergeCell ref="A17:E17"/>
  </mergeCells>
  <pageMargins left="0.4" right="0.2" top="0.2" bottom="0.4" header="0.2" footer="0.2"/>
  <pageSetup paperSize="9" scale="77" fitToHeight="0" orientation="portrait" verticalDpi="0" r:id="rId1"/>
  <headerFooter>
    <oddHeader>&amp;L&amp;8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25"/>
  <sheetViews>
    <sheetView zoomScaleNormal="100" workbookViewId="0">
      <selection activeCell="B7" sqref="B7"/>
    </sheetView>
  </sheetViews>
  <sheetFormatPr defaultRowHeight="12.75" x14ac:dyDescent="0.2"/>
  <cols>
    <col min="1" max="1" width="6.7109375" customWidth="1"/>
    <col min="2" max="2" width="75.7109375" customWidth="1"/>
    <col min="3" max="5" width="15.7109375" customWidth="1"/>
    <col min="30" max="31" width="0" hidden="1" customWidth="1"/>
  </cols>
  <sheetData>
    <row r="1" spans="1:5" ht="14.25" x14ac:dyDescent="0.2">
      <c r="B1" s="19" t="s">
        <v>199</v>
      </c>
      <c r="C1" s="9"/>
      <c r="D1" s="9"/>
    </row>
    <row r="2" spans="1:5" ht="15" x14ac:dyDescent="0.25">
      <c r="C2" s="9"/>
      <c r="D2" s="34" t="s">
        <v>141</v>
      </c>
    </row>
    <row r="3" spans="1:5" ht="15" x14ac:dyDescent="0.25">
      <c r="C3" s="34"/>
      <c r="D3" s="34"/>
    </row>
    <row r="4" spans="1:5" ht="30" customHeight="1" x14ac:dyDescent="0.25">
      <c r="B4" s="75" t="s">
        <v>194</v>
      </c>
      <c r="C4" s="75"/>
      <c r="D4" s="75"/>
      <c r="E4" s="75"/>
    </row>
    <row r="5" spans="1:5" ht="15" x14ac:dyDescent="0.25">
      <c r="C5" s="36"/>
      <c r="D5" s="36"/>
    </row>
    <row r="6" spans="1:5" ht="15" x14ac:dyDescent="0.25">
      <c r="C6" s="78" t="s">
        <v>198</v>
      </c>
      <c r="D6" s="78"/>
    </row>
    <row r="7" spans="1:5" ht="14.25" x14ac:dyDescent="0.2">
      <c r="A7" s="9"/>
      <c r="B7" s="9"/>
      <c r="C7" s="9"/>
      <c r="D7" s="9"/>
      <c r="E7" s="9"/>
    </row>
    <row r="8" spans="1:5" ht="15.75" x14ac:dyDescent="0.25">
      <c r="A8" s="79" t="str">
        <f>CONCATENATE("Ведомость объемов работ ", IF(Source!AN15&lt;&gt;"", Source!AN15," "))</f>
        <v xml:space="preserve">Ведомость объемов работ  </v>
      </c>
      <c r="B8" s="79"/>
      <c r="C8" s="79"/>
      <c r="D8" s="79"/>
      <c r="E8" s="9"/>
    </row>
    <row r="9" spans="1:5" s="49" customFormat="1" ht="15" x14ac:dyDescent="0.25">
      <c r="A9" s="33"/>
      <c r="B9" s="33" t="str">
        <f>Source!G12</f>
        <v>выполнение работ по посадке кустарников на территории ЦАК   СС и НМП им. А.С. Пучкова</v>
      </c>
      <c r="C9" s="33"/>
      <c r="D9" s="33"/>
      <c r="E9" s="33"/>
    </row>
    <row r="10" spans="1:5" ht="28.5" x14ac:dyDescent="0.2">
      <c r="A10" s="18" t="s">
        <v>183</v>
      </c>
      <c r="B10" s="18" t="s">
        <v>155</v>
      </c>
      <c r="C10" s="18" t="s">
        <v>156</v>
      </c>
      <c r="D10" s="18" t="s">
        <v>184</v>
      </c>
      <c r="E10" s="38" t="s">
        <v>185</v>
      </c>
    </row>
    <row r="11" spans="1:5" ht="14.25" x14ac:dyDescent="0.2">
      <c r="A11" s="39">
        <v>1</v>
      </c>
      <c r="B11" s="39">
        <v>2</v>
      </c>
      <c r="C11" s="39">
        <v>3</v>
      </c>
      <c r="D11" s="39">
        <v>4</v>
      </c>
      <c r="E11" s="40">
        <v>5</v>
      </c>
    </row>
    <row r="12" spans="1:5" ht="16.5" x14ac:dyDescent="0.25">
      <c r="A12" s="80" t="str">
        <f>CONCATENATE("Раздел: ", Source!G24)</f>
        <v>Раздел: Территория ЦАК</v>
      </c>
      <c r="B12" s="80"/>
      <c r="C12" s="80"/>
      <c r="D12" s="80"/>
      <c r="E12" s="80"/>
    </row>
    <row r="13" spans="1:5" ht="42.75" x14ac:dyDescent="0.2">
      <c r="A13" s="45" t="str">
        <f>Source!E28</f>
        <v>1</v>
      </c>
      <c r="B13" s="46" t="str">
        <f>Source!G28</f>
        <v>Расчистка площадей от кустарников и мелколесья диаметром до 100 мм вручную с последующей переноской и складированием на расстояние до 50 м при редкой заросли</v>
      </c>
      <c r="C13" s="47" t="str">
        <f>Source!H28</f>
        <v>га</v>
      </c>
      <c r="D13" s="48">
        <f>Source!I28</f>
        <v>2E-3</v>
      </c>
      <c r="E13" s="46"/>
    </row>
    <row r="14" spans="1:5" ht="42.75" x14ac:dyDescent="0.2">
      <c r="A14" s="45" t="str">
        <f>Source!E29</f>
        <v>2</v>
      </c>
      <c r="B14" s="46" t="str">
        <f>Source!G29</f>
        <v>Посадка кустарников с комом земли в живую изгородь - подготовка посадочных мест вручную для однорядной живой изгороди с добавлением растительной земли, добавлять на каждые 25 %</v>
      </c>
      <c r="C14" s="47" t="str">
        <f>Source!H29</f>
        <v>10 м</v>
      </c>
      <c r="D14" s="48">
        <f>Source!I29</f>
        <v>7.5</v>
      </c>
      <c r="E14" s="46"/>
    </row>
    <row r="15" spans="1:5" ht="14.25" x14ac:dyDescent="0.2">
      <c r="A15" s="45" t="str">
        <f>Source!E30</f>
        <v>2.1</v>
      </c>
      <c r="B15" s="46" t="str">
        <f>Source!G30</f>
        <v>Земля растительная</v>
      </c>
      <c r="C15" s="47" t="str">
        <f>Source!H30</f>
        <v>м3</v>
      </c>
      <c r="D15" s="48">
        <f>Source!I30</f>
        <v>4.6875</v>
      </c>
      <c r="E15" s="46"/>
    </row>
    <row r="16" spans="1:5" ht="28.5" x14ac:dyDescent="0.2">
      <c r="A16" s="45" t="str">
        <f>Source!E31</f>
        <v>3</v>
      </c>
      <c r="B16" s="46" t="str">
        <f>Source!G31</f>
        <v>Посадка кустарников с комом земли в живую изгородь - однорядная (без стоимости кустарников) существующие</v>
      </c>
      <c r="C16" s="47" t="str">
        <f>Source!H31</f>
        <v>10 м</v>
      </c>
      <c r="D16" s="48">
        <f>Source!I31</f>
        <v>4</v>
      </c>
      <c r="E16" s="46"/>
    </row>
    <row r="17" spans="1:5" ht="28.5" x14ac:dyDescent="0.2">
      <c r="A17" s="45" t="str">
        <f>Source!E32</f>
        <v>4</v>
      </c>
      <c r="B17" s="46" t="str">
        <f>Source!G32</f>
        <v>Посадка кустарников с комом земли в живую изгородь - однорядная (без стоимости кустарников)</v>
      </c>
      <c r="C17" s="47" t="str">
        <f>Source!H32</f>
        <v>10 м</v>
      </c>
      <c r="D17" s="48">
        <f>Source!I32</f>
        <v>3.5</v>
      </c>
      <c r="E17" s="46"/>
    </row>
    <row r="18" spans="1:5" ht="28.5" x14ac:dyDescent="0.2">
      <c r="A18" s="45" t="str">
        <f>Source!E33</f>
        <v>4.1</v>
      </c>
      <c r="B18" s="46" t="str">
        <f>Source!G33</f>
        <v>Кустарники декоративные с закрытой корневой системой: кизильник блестящий, С7</v>
      </c>
      <c r="C18" s="47" t="str">
        <f>Source!H33</f>
        <v>шт.</v>
      </c>
      <c r="D18" s="48">
        <f>Source!I33</f>
        <v>300</v>
      </c>
      <c r="E18" s="46"/>
    </row>
    <row r="19" spans="1:5" ht="28.5" x14ac:dyDescent="0.2">
      <c r="A19" s="45" t="str">
        <f>Source!E34</f>
        <v>5</v>
      </c>
      <c r="B19" s="46" t="str">
        <f>Source!G34</f>
        <v>Внесение минеральных удобрений при посадке деревьев и кустарников для стандартных саженцев</v>
      </c>
      <c r="C19" s="47" t="str">
        <f>Source!H34</f>
        <v>10 м3 ям</v>
      </c>
      <c r="D19" s="48">
        <f>Source!I34</f>
        <v>0.8</v>
      </c>
      <c r="E19" s="46"/>
    </row>
    <row r="20" spans="1:5" ht="28.5" x14ac:dyDescent="0.2">
      <c r="A20" s="45" t="str">
        <f>Source!E35</f>
        <v>6</v>
      </c>
      <c r="B20" s="46" t="str">
        <f>Source!G35</f>
        <v>Погрузка вручную на автотранспорт растительных остатков - стебли и выкопанные растения</v>
      </c>
      <c r="C20" s="47" t="str">
        <f>Source!H35</f>
        <v>т</v>
      </c>
      <c r="D20" s="48">
        <f>Source!I35</f>
        <v>0.2</v>
      </c>
      <c r="E20" s="46"/>
    </row>
    <row r="21" spans="1:5" ht="28.5" x14ac:dyDescent="0.2">
      <c r="A21" s="45" t="str">
        <f>Source!E36</f>
        <v>7</v>
      </c>
      <c r="B21" s="46" t="str">
        <f>Source!G36</f>
        <v>Перевозка растительных остатков автосамосвалами грузоподъемностью до 15 т на расстояние 1 км - при погрузке вручную</v>
      </c>
      <c r="C21" s="47" t="str">
        <f>Source!H36</f>
        <v>т</v>
      </c>
      <c r="D21" s="48">
        <f>Source!I36</f>
        <v>0.2</v>
      </c>
      <c r="E21" s="46"/>
    </row>
    <row r="22" spans="1:5" ht="28.5" x14ac:dyDescent="0.2">
      <c r="A22" s="41" t="str">
        <f>Source!E37</f>
        <v>8</v>
      </c>
      <c r="B22" s="42" t="str">
        <f>Source!G37</f>
        <v>Перевозка растительных остатков автосамосвалами грузоподъемностью до 15 т - добавляется на каждый последующий 1 км до 100 км</v>
      </c>
      <c r="C22" s="43" t="str">
        <f>Source!H37</f>
        <v>т</v>
      </c>
      <c r="D22" s="44">
        <f>Source!I37</f>
        <v>0.2</v>
      </c>
      <c r="E22" s="42"/>
    </row>
    <row r="25" spans="1:5" x14ac:dyDescent="0.2">
      <c r="A25" s="76" t="s">
        <v>191</v>
      </c>
      <c r="B25" s="77"/>
      <c r="C25" s="77"/>
      <c r="D25" s="77"/>
      <c r="E25" s="77"/>
    </row>
  </sheetData>
  <mergeCells count="5">
    <mergeCell ref="B4:E4"/>
    <mergeCell ref="C6:D6"/>
    <mergeCell ref="A25:E25"/>
    <mergeCell ref="A8:D8"/>
    <mergeCell ref="A12:E12"/>
  </mergeCells>
  <pageMargins left="0.4" right="0.2" top="0.2" bottom="0.4" header="0.2" footer="0.2"/>
  <pageSetup paperSize="9" scale="77" fitToHeight="0" orientation="portrait" verticalDpi="0" r:id="rId1"/>
  <headerFooter>
    <oddHeader>&amp;L&amp;8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K136"/>
  <sheetViews>
    <sheetView workbookViewId="0">
      <selection activeCell="G13" sqref="G13"/>
    </sheetView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58634</v>
      </c>
      <c r="M1">
        <v>10</v>
      </c>
      <c r="N1">
        <v>11</v>
      </c>
      <c r="O1">
        <v>3</v>
      </c>
      <c r="P1">
        <v>0</v>
      </c>
      <c r="Q1">
        <v>0</v>
      </c>
    </row>
    <row r="12" spans="1:133" x14ac:dyDescent="0.2">
      <c r="A12" s="1">
        <v>1</v>
      </c>
      <c r="B12" s="1">
        <v>132</v>
      </c>
      <c r="C12" s="1">
        <v>0</v>
      </c>
      <c r="D12" s="1">
        <f>ROW(A99)</f>
        <v>99</v>
      </c>
      <c r="E12" s="1">
        <v>0</v>
      </c>
      <c r="F12" s="1" t="s">
        <v>3</v>
      </c>
      <c r="G12" s="1" t="s">
        <v>192</v>
      </c>
      <c r="H12" s="1" t="s">
        <v>3</v>
      </c>
      <c r="I12" s="1">
        <v>0</v>
      </c>
      <c r="J12" s="1" t="s">
        <v>3</v>
      </c>
      <c r="K12" s="1">
        <v>0</v>
      </c>
      <c r="L12" s="1">
        <v>0</v>
      </c>
      <c r="M12" s="1">
        <v>2</v>
      </c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>
        <v>1</v>
      </c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>
        <v>0</v>
      </c>
      <c r="BC12" s="1"/>
      <c r="BD12" s="1"/>
      <c r="BE12" s="1"/>
      <c r="BF12" s="1"/>
      <c r="BG12" s="1"/>
      <c r="BH12" s="1" t="s">
        <v>5</v>
      </c>
      <c r="BI12" s="1" t="s">
        <v>6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7</v>
      </c>
      <c r="BZ12" s="1" t="s">
        <v>8</v>
      </c>
      <c r="CA12" s="1" t="s">
        <v>9</v>
      </c>
      <c r="CB12" s="1" t="s">
        <v>9</v>
      </c>
      <c r="CC12" s="1" t="s">
        <v>9</v>
      </c>
      <c r="CD12" s="1" t="s">
        <v>9</v>
      </c>
      <c r="CE12" s="1" t="s">
        <v>10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3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 x14ac:dyDescent="0.2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45" x14ac:dyDescent="0.2">
      <c r="A18" s="2">
        <v>52</v>
      </c>
      <c r="B18" s="2">
        <f t="shared" ref="B18:G18" si="0">B99</f>
        <v>132</v>
      </c>
      <c r="C18" s="2">
        <f t="shared" si="0"/>
        <v>1</v>
      </c>
      <c r="D18" s="2">
        <f t="shared" si="0"/>
        <v>12</v>
      </c>
      <c r="E18" s="2">
        <f t="shared" si="0"/>
        <v>0</v>
      </c>
      <c r="F18" s="2" t="str">
        <f t="shared" si="0"/>
        <v/>
      </c>
      <c r="G18" s="2" t="str">
        <f t="shared" si="0"/>
        <v>выполнение работ по посадке кустарников на территории ЦАК   СС и НМП им. А.С. Пучкова</v>
      </c>
      <c r="H18" s="2"/>
      <c r="I18" s="2"/>
      <c r="J18" s="2"/>
      <c r="K18" s="2"/>
      <c r="L18" s="2"/>
      <c r="M18" s="2"/>
      <c r="N18" s="2"/>
      <c r="O18" s="2">
        <f t="shared" ref="O18:AT18" si="1">O99</f>
        <v>191023.72</v>
      </c>
      <c r="P18" s="2">
        <f t="shared" si="1"/>
        <v>179435.34</v>
      </c>
      <c r="Q18" s="2">
        <f t="shared" si="1"/>
        <v>255.56</v>
      </c>
      <c r="R18" s="2">
        <f t="shared" si="1"/>
        <v>127.72</v>
      </c>
      <c r="S18" s="2">
        <f t="shared" si="1"/>
        <v>11332.82</v>
      </c>
      <c r="T18" s="2">
        <f t="shared" si="1"/>
        <v>0</v>
      </c>
      <c r="U18" s="2">
        <f t="shared" si="1"/>
        <v>57.804880000000004</v>
      </c>
      <c r="V18" s="2">
        <f t="shared" si="1"/>
        <v>0</v>
      </c>
      <c r="W18" s="2">
        <f t="shared" si="1"/>
        <v>0</v>
      </c>
      <c r="X18" s="2">
        <f t="shared" si="1"/>
        <v>7932.97</v>
      </c>
      <c r="Y18" s="2">
        <f t="shared" si="1"/>
        <v>1133.28</v>
      </c>
      <c r="Z18" s="2">
        <f t="shared" si="1"/>
        <v>0</v>
      </c>
      <c r="AA18" s="2">
        <f t="shared" si="1"/>
        <v>0</v>
      </c>
      <c r="AB18" s="2">
        <f t="shared" si="1"/>
        <v>0</v>
      </c>
      <c r="AC18" s="2">
        <f t="shared" si="1"/>
        <v>0</v>
      </c>
      <c r="AD18" s="2">
        <f t="shared" si="1"/>
        <v>0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0</v>
      </c>
      <c r="AI18" s="2">
        <f t="shared" si="1"/>
        <v>0</v>
      </c>
      <c r="AJ18" s="2">
        <f t="shared" si="1"/>
        <v>0</v>
      </c>
      <c r="AK18" s="2">
        <f t="shared" si="1"/>
        <v>0</v>
      </c>
      <c r="AL18" s="2">
        <f t="shared" si="1"/>
        <v>0</v>
      </c>
      <c r="AM18" s="2">
        <f t="shared" si="1"/>
        <v>0</v>
      </c>
      <c r="AN18" s="2">
        <f t="shared" si="1"/>
        <v>0</v>
      </c>
      <c r="AO18" s="2">
        <f t="shared" si="1"/>
        <v>0</v>
      </c>
      <c r="AP18" s="2">
        <f t="shared" si="1"/>
        <v>0</v>
      </c>
      <c r="AQ18" s="2">
        <f t="shared" si="1"/>
        <v>0</v>
      </c>
      <c r="AR18" s="2">
        <f t="shared" si="1"/>
        <v>200089.97</v>
      </c>
      <c r="AS18" s="2">
        <f t="shared" si="1"/>
        <v>0</v>
      </c>
      <c r="AT18" s="2">
        <f t="shared" si="1"/>
        <v>0</v>
      </c>
      <c r="AU18" s="2">
        <f t="shared" ref="AU18:BZ18" si="2">AU99</f>
        <v>200089.97</v>
      </c>
      <c r="AV18" s="2">
        <f t="shared" si="2"/>
        <v>179435.34</v>
      </c>
      <c r="AW18" s="2">
        <f t="shared" si="2"/>
        <v>179435.34</v>
      </c>
      <c r="AX18" s="2">
        <f t="shared" si="2"/>
        <v>0</v>
      </c>
      <c r="AY18" s="2">
        <f t="shared" si="2"/>
        <v>179435.34</v>
      </c>
      <c r="AZ18" s="2">
        <f t="shared" si="2"/>
        <v>0</v>
      </c>
      <c r="BA18" s="2">
        <f t="shared" si="2"/>
        <v>0</v>
      </c>
      <c r="BB18" s="2">
        <f t="shared" si="2"/>
        <v>0</v>
      </c>
      <c r="BC18" s="2">
        <f t="shared" si="2"/>
        <v>0</v>
      </c>
      <c r="BD18" s="2">
        <f t="shared" si="2"/>
        <v>0</v>
      </c>
      <c r="BE18" s="2">
        <f t="shared" si="2"/>
        <v>0</v>
      </c>
      <c r="BF18" s="2">
        <f t="shared" si="2"/>
        <v>0</v>
      </c>
      <c r="BG18" s="2">
        <f t="shared" si="2"/>
        <v>0</v>
      </c>
      <c r="BH18" s="2">
        <f t="shared" si="2"/>
        <v>0</v>
      </c>
      <c r="BI18" s="2">
        <f t="shared" si="2"/>
        <v>0</v>
      </c>
      <c r="BJ18" s="2">
        <f t="shared" si="2"/>
        <v>0</v>
      </c>
      <c r="BK18" s="2">
        <f t="shared" si="2"/>
        <v>0</v>
      </c>
      <c r="BL18" s="2">
        <f t="shared" si="2"/>
        <v>0</v>
      </c>
      <c r="BM18" s="2">
        <f t="shared" si="2"/>
        <v>0</v>
      </c>
      <c r="BN18" s="2">
        <f t="shared" si="2"/>
        <v>0</v>
      </c>
      <c r="BO18" s="2">
        <f t="shared" si="2"/>
        <v>0</v>
      </c>
      <c r="BP18" s="2">
        <f t="shared" si="2"/>
        <v>0</v>
      </c>
      <c r="BQ18" s="2">
        <f t="shared" si="2"/>
        <v>0</v>
      </c>
      <c r="BR18" s="2">
        <f t="shared" si="2"/>
        <v>0</v>
      </c>
      <c r="BS18" s="2">
        <f t="shared" si="2"/>
        <v>0</v>
      </c>
      <c r="BT18" s="2">
        <f t="shared" si="2"/>
        <v>0</v>
      </c>
      <c r="BU18" s="2">
        <f t="shared" si="2"/>
        <v>0</v>
      </c>
      <c r="BV18" s="2">
        <f t="shared" si="2"/>
        <v>0</v>
      </c>
      <c r="BW18" s="2">
        <f t="shared" si="2"/>
        <v>0</v>
      </c>
      <c r="BX18" s="2">
        <f t="shared" si="2"/>
        <v>0</v>
      </c>
      <c r="BY18" s="2">
        <f t="shared" si="2"/>
        <v>0</v>
      </c>
      <c r="BZ18" s="2">
        <f t="shared" si="2"/>
        <v>0</v>
      </c>
      <c r="CA18" s="2">
        <f t="shared" ref="CA18:DF18" si="3">CA99</f>
        <v>0</v>
      </c>
      <c r="CB18" s="2">
        <f t="shared" si="3"/>
        <v>0</v>
      </c>
      <c r="CC18" s="2">
        <f t="shared" si="3"/>
        <v>0</v>
      </c>
      <c r="CD18" s="2">
        <f t="shared" si="3"/>
        <v>0</v>
      </c>
      <c r="CE18" s="2">
        <f t="shared" si="3"/>
        <v>0</v>
      </c>
      <c r="CF18" s="2">
        <f t="shared" si="3"/>
        <v>0</v>
      </c>
      <c r="CG18" s="2">
        <f t="shared" si="3"/>
        <v>0</v>
      </c>
      <c r="CH18" s="2">
        <f t="shared" si="3"/>
        <v>0</v>
      </c>
      <c r="CI18" s="2">
        <f t="shared" si="3"/>
        <v>0</v>
      </c>
      <c r="CJ18" s="2">
        <f t="shared" si="3"/>
        <v>0</v>
      </c>
      <c r="CK18" s="2">
        <f t="shared" si="3"/>
        <v>0</v>
      </c>
      <c r="CL18" s="2">
        <f t="shared" si="3"/>
        <v>0</v>
      </c>
      <c r="CM18" s="2">
        <f t="shared" si="3"/>
        <v>0</v>
      </c>
      <c r="CN18" s="2">
        <f t="shared" si="3"/>
        <v>0</v>
      </c>
      <c r="CO18" s="2">
        <f t="shared" si="3"/>
        <v>0</v>
      </c>
      <c r="CP18" s="2">
        <f t="shared" si="3"/>
        <v>0</v>
      </c>
      <c r="CQ18" s="2">
        <f t="shared" si="3"/>
        <v>0</v>
      </c>
      <c r="CR18" s="2">
        <f t="shared" si="3"/>
        <v>0</v>
      </c>
      <c r="CS18" s="2">
        <f t="shared" si="3"/>
        <v>0</v>
      </c>
      <c r="CT18" s="2">
        <f t="shared" si="3"/>
        <v>0</v>
      </c>
      <c r="CU18" s="2">
        <f t="shared" si="3"/>
        <v>0</v>
      </c>
      <c r="CV18" s="2">
        <f t="shared" si="3"/>
        <v>0</v>
      </c>
      <c r="CW18" s="2">
        <f t="shared" si="3"/>
        <v>0</v>
      </c>
      <c r="CX18" s="2">
        <f t="shared" si="3"/>
        <v>0</v>
      </c>
      <c r="CY18" s="2">
        <f t="shared" si="3"/>
        <v>0</v>
      </c>
      <c r="CZ18" s="2">
        <f t="shared" si="3"/>
        <v>0</v>
      </c>
      <c r="DA18" s="2">
        <f t="shared" si="3"/>
        <v>0</v>
      </c>
      <c r="DB18" s="2">
        <f t="shared" si="3"/>
        <v>0</v>
      </c>
      <c r="DC18" s="2">
        <f t="shared" si="3"/>
        <v>0</v>
      </c>
      <c r="DD18" s="2">
        <f t="shared" si="3"/>
        <v>0</v>
      </c>
      <c r="DE18" s="2">
        <f t="shared" si="3"/>
        <v>0</v>
      </c>
      <c r="DF18" s="2">
        <f t="shared" si="3"/>
        <v>0</v>
      </c>
      <c r="DG18" s="3">
        <f t="shared" ref="DG18:EL18" si="4">DG99</f>
        <v>0</v>
      </c>
      <c r="DH18" s="3">
        <f t="shared" si="4"/>
        <v>0</v>
      </c>
      <c r="DI18" s="3">
        <f t="shared" si="4"/>
        <v>0</v>
      </c>
      <c r="DJ18" s="3">
        <f t="shared" si="4"/>
        <v>0</v>
      </c>
      <c r="DK18" s="3">
        <f t="shared" si="4"/>
        <v>0</v>
      </c>
      <c r="DL18" s="3">
        <f t="shared" si="4"/>
        <v>0</v>
      </c>
      <c r="DM18" s="3">
        <f t="shared" si="4"/>
        <v>0</v>
      </c>
      <c r="DN18" s="3">
        <f t="shared" si="4"/>
        <v>0</v>
      </c>
      <c r="DO18" s="3">
        <f t="shared" si="4"/>
        <v>0</v>
      </c>
      <c r="DP18" s="3">
        <f t="shared" si="4"/>
        <v>0</v>
      </c>
      <c r="DQ18" s="3">
        <f t="shared" si="4"/>
        <v>0</v>
      </c>
      <c r="DR18" s="3">
        <f t="shared" si="4"/>
        <v>0</v>
      </c>
      <c r="DS18" s="3">
        <f t="shared" si="4"/>
        <v>0</v>
      </c>
      <c r="DT18" s="3">
        <f t="shared" si="4"/>
        <v>0</v>
      </c>
      <c r="DU18" s="3">
        <f t="shared" si="4"/>
        <v>0</v>
      </c>
      <c r="DV18" s="3">
        <f t="shared" si="4"/>
        <v>0</v>
      </c>
      <c r="DW18" s="3">
        <f t="shared" si="4"/>
        <v>0</v>
      </c>
      <c r="DX18" s="3">
        <f t="shared" si="4"/>
        <v>0</v>
      </c>
      <c r="DY18" s="3">
        <f t="shared" si="4"/>
        <v>0</v>
      </c>
      <c r="DZ18" s="3">
        <f t="shared" si="4"/>
        <v>0</v>
      </c>
      <c r="EA18" s="3">
        <f t="shared" si="4"/>
        <v>0</v>
      </c>
      <c r="EB18" s="3">
        <f t="shared" si="4"/>
        <v>0</v>
      </c>
      <c r="EC18" s="3">
        <f t="shared" si="4"/>
        <v>0</v>
      </c>
      <c r="ED18" s="3">
        <f t="shared" si="4"/>
        <v>0</v>
      </c>
      <c r="EE18" s="3">
        <f t="shared" si="4"/>
        <v>0</v>
      </c>
      <c r="EF18" s="3">
        <f t="shared" si="4"/>
        <v>0</v>
      </c>
      <c r="EG18" s="3">
        <f t="shared" si="4"/>
        <v>0</v>
      </c>
      <c r="EH18" s="3">
        <f t="shared" si="4"/>
        <v>0</v>
      </c>
      <c r="EI18" s="3">
        <f t="shared" si="4"/>
        <v>0</v>
      </c>
      <c r="EJ18" s="3">
        <f t="shared" si="4"/>
        <v>0</v>
      </c>
      <c r="EK18" s="3">
        <f t="shared" si="4"/>
        <v>0</v>
      </c>
      <c r="EL18" s="3">
        <f t="shared" si="4"/>
        <v>0</v>
      </c>
      <c r="EM18" s="3">
        <f t="shared" ref="EM18:FR18" si="5">EM99</f>
        <v>0</v>
      </c>
      <c r="EN18" s="3">
        <f t="shared" si="5"/>
        <v>0</v>
      </c>
      <c r="EO18" s="3">
        <f t="shared" si="5"/>
        <v>0</v>
      </c>
      <c r="EP18" s="3">
        <f t="shared" si="5"/>
        <v>0</v>
      </c>
      <c r="EQ18" s="3">
        <f t="shared" si="5"/>
        <v>0</v>
      </c>
      <c r="ER18" s="3">
        <f t="shared" si="5"/>
        <v>0</v>
      </c>
      <c r="ES18" s="3">
        <f t="shared" si="5"/>
        <v>0</v>
      </c>
      <c r="ET18" s="3">
        <f t="shared" si="5"/>
        <v>0</v>
      </c>
      <c r="EU18" s="3">
        <f t="shared" si="5"/>
        <v>0</v>
      </c>
      <c r="EV18" s="3">
        <f t="shared" si="5"/>
        <v>0</v>
      </c>
      <c r="EW18" s="3">
        <f t="shared" si="5"/>
        <v>0</v>
      </c>
      <c r="EX18" s="3">
        <f t="shared" si="5"/>
        <v>0</v>
      </c>
      <c r="EY18" s="3">
        <f t="shared" si="5"/>
        <v>0</v>
      </c>
      <c r="EZ18" s="3">
        <f t="shared" si="5"/>
        <v>0</v>
      </c>
      <c r="FA18" s="3">
        <f t="shared" si="5"/>
        <v>0</v>
      </c>
      <c r="FB18" s="3">
        <f t="shared" si="5"/>
        <v>0</v>
      </c>
      <c r="FC18" s="3">
        <f t="shared" si="5"/>
        <v>0</v>
      </c>
      <c r="FD18" s="3">
        <f t="shared" si="5"/>
        <v>0</v>
      </c>
      <c r="FE18" s="3">
        <f t="shared" si="5"/>
        <v>0</v>
      </c>
      <c r="FF18" s="3">
        <f t="shared" si="5"/>
        <v>0</v>
      </c>
      <c r="FG18" s="3">
        <f t="shared" si="5"/>
        <v>0</v>
      </c>
      <c r="FH18" s="3">
        <f t="shared" si="5"/>
        <v>0</v>
      </c>
      <c r="FI18" s="3">
        <f t="shared" si="5"/>
        <v>0</v>
      </c>
      <c r="FJ18" s="3">
        <f t="shared" si="5"/>
        <v>0</v>
      </c>
      <c r="FK18" s="3">
        <f t="shared" si="5"/>
        <v>0</v>
      </c>
      <c r="FL18" s="3">
        <f t="shared" si="5"/>
        <v>0</v>
      </c>
      <c r="FM18" s="3">
        <f t="shared" si="5"/>
        <v>0</v>
      </c>
      <c r="FN18" s="3">
        <f t="shared" si="5"/>
        <v>0</v>
      </c>
      <c r="FO18" s="3">
        <f t="shared" si="5"/>
        <v>0</v>
      </c>
      <c r="FP18" s="3">
        <f t="shared" si="5"/>
        <v>0</v>
      </c>
      <c r="FQ18" s="3">
        <f t="shared" si="5"/>
        <v>0</v>
      </c>
      <c r="FR18" s="3">
        <f t="shared" si="5"/>
        <v>0</v>
      </c>
      <c r="FS18" s="3">
        <f t="shared" ref="FS18:GX18" si="6">FS99</f>
        <v>0</v>
      </c>
      <c r="FT18" s="3">
        <f t="shared" si="6"/>
        <v>0</v>
      </c>
      <c r="FU18" s="3">
        <f t="shared" si="6"/>
        <v>0</v>
      </c>
      <c r="FV18" s="3">
        <f t="shared" si="6"/>
        <v>0</v>
      </c>
      <c r="FW18" s="3">
        <f t="shared" si="6"/>
        <v>0</v>
      </c>
      <c r="FX18" s="3">
        <f t="shared" si="6"/>
        <v>0</v>
      </c>
      <c r="FY18" s="3">
        <f t="shared" si="6"/>
        <v>0</v>
      </c>
      <c r="FZ18" s="3">
        <f t="shared" si="6"/>
        <v>0</v>
      </c>
      <c r="GA18" s="3">
        <f t="shared" si="6"/>
        <v>0</v>
      </c>
      <c r="GB18" s="3">
        <f t="shared" si="6"/>
        <v>0</v>
      </c>
      <c r="GC18" s="3">
        <f t="shared" si="6"/>
        <v>0</v>
      </c>
      <c r="GD18" s="3">
        <f t="shared" si="6"/>
        <v>0</v>
      </c>
      <c r="GE18" s="3">
        <f t="shared" si="6"/>
        <v>0</v>
      </c>
      <c r="GF18" s="3">
        <f t="shared" si="6"/>
        <v>0</v>
      </c>
      <c r="GG18" s="3">
        <f t="shared" si="6"/>
        <v>0</v>
      </c>
      <c r="GH18" s="3">
        <f t="shared" si="6"/>
        <v>0</v>
      </c>
      <c r="GI18" s="3">
        <f t="shared" si="6"/>
        <v>0</v>
      </c>
      <c r="GJ18" s="3">
        <f t="shared" si="6"/>
        <v>0</v>
      </c>
      <c r="GK18" s="3">
        <f t="shared" si="6"/>
        <v>0</v>
      </c>
      <c r="GL18" s="3">
        <f t="shared" si="6"/>
        <v>0</v>
      </c>
      <c r="GM18" s="3">
        <f t="shared" si="6"/>
        <v>0</v>
      </c>
      <c r="GN18" s="3">
        <f t="shared" si="6"/>
        <v>0</v>
      </c>
      <c r="GO18" s="3">
        <f t="shared" si="6"/>
        <v>0</v>
      </c>
      <c r="GP18" s="3">
        <f t="shared" si="6"/>
        <v>0</v>
      </c>
      <c r="GQ18" s="3">
        <f t="shared" si="6"/>
        <v>0</v>
      </c>
      <c r="GR18" s="3">
        <f t="shared" si="6"/>
        <v>0</v>
      </c>
      <c r="GS18" s="3">
        <f t="shared" si="6"/>
        <v>0</v>
      </c>
      <c r="GT18" s="3">
        <f t="shared" si="6"/>
        <v>0</v>
      </c>
      <c r="GU18" s="3">
        <f t="shared" si="6"/>
        <v>0</v>
      </c>
      <c r="GV18" s="3">
        <f t="shared" si="6"/>
        <v>0</v>
      </c>
      <c r="GW18" s="3">
        <f t="shared" si="6"/>
        <v>0</v>
      </c>
      <c r="GX18" s="3">
        <f t="shared" si="6"/>
        <v>0</v>
      </c>
    </row>
    <row r="20" spans="1:245" x14ac:dyDescent="0.2">
      <c r="A20" s="1">
        <v>3</v>
      </c>
      <c r="B20" s="1">
        <v>1</v>
      </c>
      <c r="C20" s="1"/>
      <c r="D20" s="1">
        <f>ROW(A69)</f>
        <v>69</v>
      </c>
      <c r="E20" s="1"/>
      <c r="F20" s="1" t="s">
        <v>11</v>
      </c>
      <c r="G20" s="1" t="s">
        <v>11</v>
      </c>
      <c r="H20" s="1" t="s">
        <v>3</v>
      </c>
      <c r="I20" s="1">
        <v>0</v>
      </c>
      <c r="J20" s="1" t="s">
        <v>3</v>
      </c>
      <c r="K20" s="1">
        <v>0</v>
      </c>
      <c r="L20" s="1" t="s">
        <v>3</v>
      </c>
      <c r="M20" s="1" t="s">
        <v>3</v>
      </c>
      <c r="N20" s="1"/>
      <c r="O20" s="1"/>
      <c r="P20" s="1"/>
      <c r="Q20" s="1"/>
      <c r="R20" s="1"/>
      <c r="S20" s="1">
        <v>0</v>
      </c>
      <c r="T20" s="1"/>
      <c r="U20" s="1" t="s">
        <v>3</v>
      </c>
      <c r="V20" s="1">
        <v>0</v>
      </c>
      <c r="W20" s="1"/>
      <c r="X20" s="1"/>
      <c r="Y20" s="1"/>
      <c r="Z20" s="1"/>
      <c r="AA20" s="1"/>
      <c r="AB20" s="1" t="s">
        <v>3</v>
      </c>
      <c r="AC20" s="1" t="s">
        <v>3</v>
      </c>
      <c r="AD20" s="1" t="s">
        <v>3</v>
      </c>
      <c r="AE20" s="1" t="s">
        <v>3</v>
      </c>
      <c r="AF20" s="1" t="s">
        <v>3</v>
      </c>
      <c r="AG20" s="1" t="s">
        <v>3</v>
      </c>
      <c r="AH20" s="1"/>
      <c r="AI20" s="1"/>
      <c r="AJ20" s="1"/>
      <c r="AK20" s="1"/>
      <c r="AL20" s="1"/>
      <c r="AM20" s="1"/>
      <c r="AN20" s="1"/>
      <c r="AO20" s="1"/>
      <c r="AP20" s="1" t="s">
        <v>3</v>
      </c>
      <c r="AQ20" s="1" t="s">
        <v>3</v>
      </c>
      <c r="AR20" s="1" t="s">
        <v>3</v>
      </c>
      <c r="AS20" s="1"/>
      <c r="AT20" s="1"/>
      <c r="AU20" s="1"/>
      <c r="AV20" s="1"/>
      <c r="AW20" s="1"/>
      <c r="AX20" s="1"/>
      <c r="AY20" s="1"/>
      <c r="AZ20" s="1" t="s">
        <v>3</v>
      </c>
      <c r="BA20" s="1"/>
      <c r="BB20" s="1" t="s">
        <v>3</v>
      </c>
      <c r="BC20" s="1" t="s">
        <v>3</v>
      </c>
      <c r="BD20" s="1" t="s">
        <v>3</v>
      </c>
      <c r="BE20" s="1" t="s">
        <v>3</v>
      </c>
      <c r="BF20" s="1" t="s">
        <v>3</v>
      </c>
      <c r="BG20" s="1" t="s">
        <v>3</v>
      </c>
      <c r="BH20" s="1" t="s">
        <v>3</v>
      </c>
      <c r="BI20" s="1" t="s">
        <v>3</v>
      </c>
      <c r="BJ20" s="1" t="s">
        <v>3</v>
      </c>
      <c r="BK20" s="1" t="s">
        <v>3</v>
      </c>
      <c r="BL20" s="1" t="s">
        <v>3</v>
      </c>
      <c r="BM20" s="1" t="s">
        <v>3</v>
      </c>
      <c r="BN20" s="1" t="s">
        <v>3</v>
      </c>
      <c r="BO20" s="1" t="s">
        <v>3</v>
      </c>
      <c r="BP20" s="1" t="s">
        <v>3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3</v>
      </c>
      <c r="CJ20" s="1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  <c r="CQ20" t="s">
        <v>3</v>
      </c>
    </row>
    <row r="22" spans="1:245" x14ac:dyDescent="0.2">
      <c r="A22" s="2">
        <v>52</v>
      </c>
      <c r="B22" s="2">
        <f t="shared" ref="B22:G22" si="7">B69</f>
        <v>1</v>
      </c>
      <c r="C22" s="2">
        <f t="shared" si="7"/>
        <v>3</v>
      </c>
      <c r="D22" s="2">
        <f t="shared" si="7"/>
        <v>20</v>
      </c>
      <c r="E22" s="2">
        <f t="shared" si="7"/>
        <v>0</v>
      </c>
      <c r="F22" s="2" t="str">
        <f t="shared" si="7"/>
        <v>Новая локальная смета</v>
      </c>
      <c r="G22" s="2" t="str">
        <f t="shared" si="7"/>
        <v>Новая локальная смета</v>
      </c>
      <c r="H22" s="2"/>
      <c r="I22" s="2"/>
      <c r="J22" s="2"/>
      <c r="K22" s="2"/>
      <c r="L22" s="2"/>
      <c r="M22" s="2"/>
      <c r="N22" s="2"/>
      <c r="O22" s="2">
        <f t="shared" ref="O22:AT22" si="8">O69</f>
        <v>191023.72</v>
      </c>
      <c r="P22" s="2">
        <f t="shared" si="8"/>
        <v>179435.34</v>
      </c>
      <c r="Q22" s="2">
        <f t="shared" si="8"/>
        <v>255.56</v>
      </c>
      <c r="R22" s="2">
        <f t="shared" si="8"/>
        <v>127.72</v>
      </c>
      <c r="S22" s="2">
        <f t="shared" si="8"/>
        <v>11332.82</v>
      </c>
      <c r="T22" s="2">
        <f t="shared" si="8"/>
        <v>0</v>
      </c>
      <c r="U22" s="2">
        <f t="shared" si="8"/>
        <v>57.804880000000004</v>
      </c>
      <c r="V22" s="2">
        <f t="shared" si="8"/>
        <v>0</v>
      </c>
      <c r="W22" s="2">
        <f t="shared" si="8"/>
        <v>0</v>
      </c>
      <c r="X22" s="2">
        <f t="shared" si="8"/>
        <v>7932.97</v>
      </c>
      <c r="Y22" s="2">
        <f t="shared" si="8"/>
        <v>1133.28</v>
      </c>
      <c r="Z22" s="2">
        <f t="shared" si="8"/>
        <v>0</v>
      </c>
      <c r="AA22" s="2">
        <f t="shared" si="8"/>
        <v>0</v>
      </c>
      <c r="AB22" s="2">
        <f t="shared" si="8"/>
        <v>0</v>
      </c>
      <c r="AC22" s="2">
        <f t="shared" si="8"/>
        <v>0</v>
      </c>
      <c r="AD22" s="2">
        <f t="shared" si="8"/>
        <v>0</v>
      </c>
      <c r="AE22" s="2">
        <f t="shared" si="8"/>
        <v>0</v>
      </c>
      <c r="AF22" s="2">
        <f t="shared" si="8"/>
        <v>0</v>
      </c>
      <c r="AG22" s="2">
        <f t="shared" si="8"/>
        <v>0</v>
      </c>
      <c r="AH22" s="2">
        <f t="shared" si="8"/>
        <v>0</v>
      </c>
      <c r="AI22" s="2">
        <f t="shared" si="8"/>
        <v>0</v>
      </c>
      <c r="AJ22" s="2">
        <f t="shared" si="8"/>
        <v>0</v>
      </c>
      <c r="AK22" s="2">
        <f t="shared" si="8"/>
        <v>0</v>
      </c>
      <c r="AL22" s="2">
        <f t="shared" si="8"/>
        <v>0</v>
      </c>
      <c r="AM22" s="2">
        <f t="shared" si="8"/>
        <v>0</v>
      </c>
      <c r="AN22" s="2">
        <f t="shared" si="8"/>
        <v>0</v>
      </c>
      <c r="AO22" s="2">
        <f t="shared" si="8"/>
        <v>0</v>
      </c>
      <c r="AP22" s="2">
        <f t="shared" si="8"/>
        <v>0</v>
      </c>
      <c r="AQ22" s="2">
        <f t="shared" si="8"/>
        <v>0</v>
      </c>
      <c r="AR22" s="2">
        <f t="shared" si="8"/>
        <v>200089.97</v>
      </c>
      <c r="AS22" s="2">
        <f t="shared" si="8"/>
        <v>0</v>
      </c>
      <c r="AT22" s="2">
        <f t="shared" si="8"/>
        <v>0</v>
      </c>
      <c r="AU22" s="2">
        <f t="shared" ref="AU22:BZ22" si="9">AU69</f>
        <v>200089.97</v>
      </c>
      <c r="AV22" s="2">
        <f t="shared" si="9"/>
        <v>179435.34</v>
      </c>
      <c r="AW22" s="2">
        <f t="shared" si="9"/>
        <v>179435.34</v>
      </c>
      <c r="AX22" s="2">
        <f t="shared" si="9"/>
        <v>0</v>
      </c>
      <c r="AY22" s="2">
        <f t="shared" si="9"/>
        <v>179435.34</v>
      </c>
      <c r="AZ22" s="2">
        <f t="shared" si="9"/>
        <v>0</v>
      </c>
      <c r="BA22" s="2">
        <f t="shared" si="9"/>
        <v>0</v>
      </c>
      <c r="BB22" s="2">
        <f t="shared" si="9"/>
        <v>0</v>
      </c>
      <c r="BC22" s="2">
        <f t="shared" si="9"/>
        <v>0</v>
      </c>
      <c r="BD22" s="2">
        <f t="shared" si="9"/>
        <v>0</v>
      </c>
      <c r="BE22" s="2">
        <f t="shared" si="9"/>
        <v>0</v>
      </c>
      <c r="BF22" s="2">
        <f t="shared" si="9"/>
        <v>0</v>
      </c>
      <c r="BG22" s="2">
        <f t="shared" si="9"/>
        <v>0</v>
      </c>
      <c r="BH22" s="2">
        <f t="shared" si="9"/>
        <v>0</v>
      </c>
      <c r="BI22" s="2">
        <f t="shared" si="9"/>
        <v>0</v>
      </c>
      <c r="BJ22" s="2">
        <f t="shared" si="9"/>
        <v>0</v>
      </c>
      <c r="BK22" s="2">
        <f t="shared" si="9"/>
        <v>0</v>
      </c>
      <c r="BL22" s="2">
        <f t="shared" si="9"/>
        <v>0</v>
      </c>
      <c r="BM22" s="2">
        <f t="shared" si="9"/>
        <v>0</v>
      </c>
      <c r="BN22" s="2">
        <f t="shared" si="9"/>
        <v>0</v>
      </c>
      <c r="BO22" s="2">
        <f t="shared" si="9"/>
        <v>0</v>
      </c>
      <c r="BP22" s="2">
        <f t="shared" si="9"/>
        <v>0</v>
      </c>
      <c r="BQ22" s="2">
        <f t="shared" si="9"/>
        <v>0</v>
      </c>
      <c r="BR22" s="2">
        <f t="shared" si="9"/>
        <v>0</v>
      </c>
      <c r="BS22" s="2">
        <f t="shared" si="9"/>
        <v>0</v>
      </c>
      <c r="BT22" s="2">
        <f t="shared" si="9"/>
        <v>0</v>
      </c>
      <c r="BU22" s="2">
        <f t="shared" si="9"/>
        <v>0</v>
      </c>
      <c r="BV22" s="2">
        <f t="shared" si="9"/>
        <v>0</v>
      </c>
      <c r="BW22" s="2">
        <f t="shared" si="9"/>
        <v>0</v>
      </c>
      <c r="BX22" s="2">
        <f t="shared" si="9"/>
        <v>0</v>
      </c>
      <c r="BY22" s="2">
        <f t="shared" si="9"/>
        <v>0</v>
      </c>
      <c r="BZ22" s="2">
        <f t="shared" si="9"/>
        <v>0</v>
      </c>
      <c r="CA22" s="2">
        <f t="shared" ref="CA22:DF22" si="10">CA69</f>
        <v>0</v>
      </c>
      <c r="CB22" s="2">
        <f t="shared" si="10"/>
        <v>0</v>
      </c>
      <c r="CC22" s="2">
        <f t="shared" si="10"/>
        <v>0</v>
      </c>
      <c r="CD22" s="2">
        <f t="shared" si="10"/>
        <v>0</v>
      </c>
      <c r="CE22" s="2">
        <f t="shared" si="10"/>
        <v>0</v>
      </c>
      <c r="CF22" s="2">
        <f t="shared" si="10"/>
        <v>0</v>
      </c>
      <c r="CG22" s="2">
        <f t="shared" si="10"/>
        <v>0</v>
      </c>
      <c r="CH22" s="2">
        <f t="shared" si="10"/>
        <v>0</v>
      </c>
      <c r="CI22" s="2">
        <f t="shared" si="10"/>
        <v>0</v>
      </c>
      <c r="CJ22" s="2">
        <f t="shared" si="10"/>
        <v>0</v>
      </c>
      <c r="CK22" s="2">
        <f t="shared" si="10"/>
        <v>0</v>
      </c>
      <c r="CL22" s="2">
        <f t="shared" si="10"/>
        <v>0</v>
      </c>
      <c r="CM22" s="2">
        <f t="shared" si="10"/>
        <v>0</v>
      </c>
      <c r="CN22" s="2">
        <f t="shared" si="10"/>
        <v>0</v>
      </c>
      <c r="CO22" s="2">
        <f t="shared" si="10"/>
        <v>0</v>
      </c>
      <c r="CP22" s="2">
        <f t="shared" si="10"/>
        <v>0</v>
      </c>
      <c r="CQ22" s="2">
        <f t="shared" si="10"/>
        <v>0</v>
      </c>
      <c r="CR22" s="2">
        <f t="shared" si="10"/>
        <v>0</v>
      </c>
      <c r="CS22" s="2">
        <f t="shared" si="10"/>
        <v>0</v>
      </c>
      <c r="CT22" s="2">
        <f t="shared" si="10"/>
        <v>0</v>
      </c>
      <c r="CU22" s="2">
        <f t="shared" si="10"/>
        <v>0</v>
      </c>
      <c r="CV22" s="2">
        <f t="shared" si="10"/>
        <v>0</v>
      </c>
      <c r="CW22" s="2">
        <f t="shared" si="10"/>
        <v>0</v>
      </c>
      <c r="CX22" s="2">
        <f t="shared" si="10"/>
        <v>0</v>
      </c>
      <c r="CY22" s="2">
        <f t="shared" si="10"/>
        <v>0</v>
      </c>
      <c r="CZ22" s="2">
        <f t="shared" si="10"/>
        <v>0</v>
      </c>
      <c r="DA22" s="2">
        <f t="shared" si="10"/>
        <v>0</v>
      </c>
      <c r="DB22" s="2">
        <f t="shared" si="10"/>
        <v>0</v>
      </c>
      <c r="DC22" s="2">
        <f t="shared" si="10"/>
        <v>0</v>
      </c>
      <c r="DD22" s="2">
        <f t="shared" si="10"/>
        <v>0</v>
      </c>
      <c r="DE22" s="2">
        <f t="shared" si="10"/>
        <v>0</v>
      </c>
      <c r="DF22" s="2">
        <f t="shared" si="10"/>
        <v>0</v>
      </c>
      <c r="DG22" s="3">
        <f t="shared" ref="DG22:EL22" si="11">DG69</f>
        <v>0</v>
      </c>
      <c r="DH22" s="3">
        <f t="shared" si="11"/>
        <v>0</v>
      </c>
      <c r="DI22" s="3">
        <f t="shared" si="11"/>
        <v>0</v>
      </c>
      <c r="DJ22" s="3">
        <f t="shared" si="11"/>
        <v>0</v>
      </c>
      <c r="DK22" s="3">
        <f t="shared" si="11"/>
        <v>0</v>
      </c>
      <c r="DL22" s="3">
        <f t="shared" si="11"/>
        <v>0</v>
      </c>
      <c r="DM22" s="3">
        <f t="shared" si="11"/>
        <v>0</v>
      </c>
      <c r="DN22" s="3">
        <f t="shared" si="11"/>
        <v>0</v>
      </c>
      <c r="DO22" s="3">
        <f t="shared" si="11"/>
        <v>0</v>
      </c>
      <c r="DP22" s="3">
        <f t="shared" si="11"/>
        <v>0</v>
      </c>
      <c r="DQ22" s="3">
        <f t="shared" si="11"/>
        <v>0</v>
      </c>
      <c r="DR22" s="3">
        <f t="shared" si="11"/>
        <v>0</v>
      </c>
      <c r="DS22" s="3">
        <f t="shared" si="11"/>
        <v>0</v>
      </c>
      <c r="DT22" s="3">
        <f t="shared" si="11"/>
        <v>0</v>
      </c>
      <c r="DU22" s="3">
        <f t="shared" si="11"/>
        <v>0</v>
      </c>
      <c r="DV22" s="3">
        <f t="shared" si="11"/>
        <v>0</v>
      </c>
      <c r="DW22" s="3">
        <f t="shared" si="11"/>
        <v>0</v>
      </c>
      <c r="DX22" s="3">
        <f t="shared" si="11"/>
        <v>0</v>
      </c>
      <c r="DY22" s="3">
        <f t="shared" si="11"/>
        <v>0</v>
      </c>
      <c r="DZ22" s="3">
        <f t="shared" si="11"/>
        <v>0</v>
      </c>
      <c r="EA22" s="3">
        <f t="shared" si="11"/>
        <v>0</v>
      </c>
      <c r="EB22" s="3">
        <f t="shared" si="11"/>
        <v>0</v>
      </c>
      <c r="EC22" s="3">
        <f t="shared" si="11"/>
        <v>0</v>
      </c>
      <c r="ED22" s="3">
        <f t="shared" si="11"/>
        <v>0</v>
      </c>
      <c r="EE22" s="3">
        <f t="shared" si="11"/>
        <v>0</v>
      </c>
      <c r="EF22" s="3">
        <f t="shared" si="11"/>
        <v>0</v>
      </c>
      <c r="EG22" s="3">
        <f t="shared" si="11"/>
        <v>0</v>
      </c>
      <c r="EH22" s="3">
        <f t="shared" si="11"/>
        <v>0</v>
      </c>
      <c r="EI22" s="3">
        <f t="shared" si="11"/>
        <v>0</v>
      </c>
      <c r="EJ22" s="3">
        <f t="shared" si="11"/>
        <v>0</v>
      </c>
      <c r="EK22" s="3">
        <f t="shared" si="11"/>
        <v>0</v>
      </c>
      <c r="EL22" s="3">
        <f t="shared" si="11"/>
        <v>0</v>
      </c>
      <c r="EM22" s="3">
        <f t="shared" ref="EM22:FR22" si="12">EM69</f>
        <v>0</v>
      </c>
      <c r="EN22" s="3">
        <f t="shared" si="12"/>
        <v>0</v>
      </c>
      <c r="EO22" s="3">
        <f t="shared" si="12"/>
        <v>0</v>
      </c>
      <c r="EP22" s="3">
        <f t="shared" si="12"/>
        <v>0</v>
      </c>
      <c r="EQ22" s="3">
        <f t="shared" si="12"/>
        <v>0</v>
      </c>
      <c r="ER22" s="3">
        <f t="shared" si="12"/>
        <v>0</v>
      </c>
      <c r="ES22" s="3">
        <f t="shared" si="12"/>
        <v>0</v>
      </c>
      <c r="ET22" s="3">
        <f t="shared" si="12"/>
        <v>0</v>
      </c>
      <c r="EU22" s="3">
        <f t="shared" si="12"/>
        <v>0</v>
      </c>
      <c r="EV22" s="3">
        <f t="shared" si="12"/>
        <v>0</v>
      </c>
      <c r="EW22" s="3">
        <f t="shared" si="12"/>
        <v>0</v>
      </c>
      <c r="EX22" s="3">
        <f t="shared" si="12"/>
        <v>0</v>
      </c>
      <c r="EY22" s="3">
        <f t="shared" si="12"/>
        <v>0</v>
      </c>
      <c r="EZ22" s="3">
        <f t="shared" si="12"/>
        <v>0</v>
      </c>
      <c r="FA22" s="3">
        <f t="shared" si="12"/>
        <v>0</v>
      </c>
      <c r="FB22" s="3">
        <f t="shared" si="12"/>
        <v>0</v>
      </c>
      <c r="FC22" s="3">
        <f t="shared" si="12"/>
        <v>0</v>
      </c>
      <c r="FD22" s="3">
        <f t="shared" si="12"/>
        <v>0</v>
      </c>
      <c r="FE22" s="3">
        <f t="shared" si="12"/>
        <v>0</v>
      </c>
      <c r="FF22" s="3">
        <f t="shared" si="12"/>
        <v>0</v>
      </c>
      <c r="FG22" s="3">
        <f t="shared" si="12"/>
        <v>0</v>
      </c>
      <c r="FH22" s="3">
        <f t="shared" si="12"/>
        <v>0</v>
      </c>
      <c r="FI22" s="3">
        <f t="shared" si="12"/>
        <v>0</v>
      </c>
      <c r="FJ22" s="3">
        <f t="shared" si="12"/>
        <v>0</v>
      </c>
      <c r="FK22" s="3">
        <f t="shared" si="12"/>
        <v>0</v>
      </c>
      <c r="FL22" s="3">
        <f t="shared" si="12"/>
        <v>0</v>
      </c>
      <c r="FM22" s="3">
        <f t="shared" si="12"/>
        <v>0</v>
      </c>
      <c r="FN22" s="3">
        <f t="shared" si="12"/>
        <v>0</v>
      </c>
      <c r="FO22" s="3">
        <f t="shared" si="12"/>
        <v>0</v>
      </c>
      <c r="FP22" s="3">
        <f t="shared" si="12"/>
        <v>0</v>
      </c>
      <c r="FQ22" s="3">
        <f t="shared" si="12"/>
        <v>0</v>
      </c>
      <c r="FR22" s="3">
        <f t="shared" si="12"/>
        <v>0</v>
      </c>
      <c r="FS22" s="3">
        <f t="shared" ref="FS22:GX22" si="13">FS69</f>
        <v>0</v>
      </c>
      <c r="FT22" s="3">
        <f t="shared" si="13"/>
        <v>0</v>
      </c>
      <c r="FU22" s="3">
        <f t="shared" si="13"/>
        <v>0</v>
      </c>
      <c r="FV22" s="3">
        <f t="shared" si="13"/>
        <v>0</v>
      </c>
      <c r="FW22" s="3">
        <f t="shared" si="13"/>
        <v>0</v>
      </c>
      <c r="FX22" s="3">
        <f t="shared" si="13"/>
        <v>0</v>
      </c>
      <c r="FY22" s="3">
        <f t="shared" si="13"/>
        <v>0</v>
      </c>
      <c r="FZ22" s="3">
        <f t="shared" si="13"/>
        <v>0</v>
      </c>
      <c r="GA22" s="3">
        <f t="shared" si="13"/>
        <v>0</v>
      </c>
      <c r="GB22" s="3">
        <f t="shared" si="13"/>
        <v>0</v>
      </c>
      <c r="GC22" s="3">
        <f t="shared" si="13"/>
        <v>0</v>
      </c>
      <c r="GD22" s="3">
        <f t="shared" si="13"/>
        <v>0</v>
      </c>
      <c r="GE22" s="3">
        <f t="shared" si="13"/>
        <v>0</v>
      </c>
      <c r="GF22" s="3">
        <f t="shared" si="13"/>
        <v>0</v>
      </c>
      <c r="GG22" s="3">
        <f t="shared" si="13"/>
        <v>0</v>
      </c>
      <c r="GH22" s="3">
        <f t="shared" si="13"/>
        <v>0</v>
      </c>
      <c r="GI22" s="3">
        <f t="shared" si="13"/>
        <v>0</v>
      </c>
      <c r="GJ22" s="3">
        <f t="shared" si="13"/>
        <v>0</v>
      </c>
      <c r="GK22" s="3">
        <f t="shared" si="13"/>
        <v>0</v>
      </c>
      <c r="GL22" s="3">
        <f t="shared" si="13"/>
        <v>0</v>
      </c>
      <c r="GM22" s="3">
        <f t="shared" si="13"/>
        <v>0</v>
      </c>
      <c r="GN22" s="3">
        <f t="shared" si="13"/>
        <v>0</v>
      </c>
      <c r="GO22" s="3">
        <f t="shared" si="13"/>
        <v>0</v>
      </c>
      <c r="GP22" s="3">
        <f t="shared" si="13"/>
        <v>0</v>
      </c>
      <c r="GQ22" s="3">
        <f t="shared" si="13"/>
        <v>0</v>
      </c>
      <c r="GR22" s="3">
        <f t="shared" si="13"/>
        <v>0</v>
      </c>
      <c r="GS22" s="3">
        <f t="shared" si="13"/>
        <v>0</v>
      </c>
      <c r="GT22" s="3">
        <f t="shared" si="13"/>
        <v>0</v>
      </c>
      <c r="GU22" s="3">
        <f t="shared" si="13"/>
        <v>0</v>
      </c>
      <c r="GV22" s="3">
        <f t="shared" si="13"/>
        <v>0</v>
      </c>
      <c r="GW22" s="3">
        <f t="shared" si="13"/>
        <v>0</v>
      </c>
      <c r="GX22" s="3">
        <f t="shared" si="13"/>
        <v>0</v>
      </c>
    </row>
    <row r="24" spans="1:245" x14ac:dyDescent="0.2">
      <c r="A24" s="1">
        <v>4</v>
      </c>
      <c r="B24" s="1">
        <v>1</v>
      </c>
      <c r="C24" s="1"/>
      <c r="D24" s="1">
        <f>ROW(A39)</f>
        <v>39</v>
      </c>
      <c r="E24" s="1"/>
      <c r="F24" s="1" t="s">
        <v>12</v>
      </c>
      <c r="G24" s="1" t="s">
        <v>13</v>
      </c>
      <c r="H24" s="1" t="s">
        <v>3</v>
      </c>
      <c r="I24" s="1">
        <v>0</v>
      </c>
      <c r="J24" s="1"/>
      <c r="K24" s="1">
        <v>0</v>
      </c>
      <c r="L24" s="1"/>
      <c r="M24" s="1" t="s">
        <v>3</v>
      </c>
      <c r="N24" s="1"/>
      <c r="O24" s="1"/>
      <c r="P24" s="1"/>
      <c r="Q24" s="1"/>
      <c r="R24" s="1"/>
      <c r="S24" s="1">
        <v>0</v>
      </c>
      <c r="T24" s="1"/>
      <c r="U24" s="1" t="s">
        <v>3</v>
      </c>
      <c r="V24" s="1">
        <v>0</v>
      </c>
      <c r="W24" s="1"/>
      <c r="X24" s="1"/>
      <c r="Y24" s="1"/>
      <c r="Z24" s="1"/>
      <c r="AA24" s="1"/>
      <c r="AB24" s="1" t="s">
        <v>3</v>
      </c>
      <c r="AC24" s="1" t="s">
        <v>3</v>
      </c>
      <c r="AD24" s="1" t="s">
        <v>3</v>
      </c>
      <c r="AE24" s="1" t="s">
        <v>3</v>
      </c>
      <c r="AF24" s="1" t="s">
        <v>3</v>
      </c>
      <c r="AG24" s="1" t="s">
        <v>3</v>
      </c>
      <c r="AH24" s="1"/>
      <c r="AI24" s="1"/>
      <c r="AJ24" s="1"/>
      <c r="AK24" s="1"/>
      <c r="AL24" s="1"/>
      <c r="AM24" s="1"/>
      <c r="AN24" s="1"/>
      <c r="AO24" s="1"/>
      <c r="AP24" s="1" t="s">
        <v>3</v>
      </c>
      <c r="AQ24" s="1" t="s">
        <v>3</v>
      </c>
      <c r="AR24" s="1" t="s">
        <v>3</v>
      </c>
      <c r="AS24" s="1"/>
      <c r="AT24" s="1"/>
      <c r="AU24" s="1"/>
      <c r="AV24" s="1"/>
      <c r="AW24" s="1"/>
      <c r="AX24" s="1"/>
      <c r="AY24" s="1"/>
      <c r="AZ24" s="1" t="s">
        <v>3</v>
      </c>
      <c r="BA24" s="1"/>
      <c r="BB24" s="1" t="s">
        <v>3</v>
      </c>
      <c r="BC24" s="1" t="s">
        <v>3</v>
      </c>
      <c r="BD24" s="1" t="s">
        <v>3</v>
      </c>
      <c r="BE24" s="1" t="s">
        <v>3</v>
      </c>
      <c r="BF24" s="1" t="s">
        <v>3</v>
      </c>
      <c r="BG24" s="1" t="s">
        <v>3</v>
      </c>
      <c r="BH24" s="1" t="s">
        <v>3</v>
      </c>
      <c r="BI24" s="1" t="s">
        <v>3</v>
      </c>
      <c r="BJ24" s="1" t="s">
        <v>3</v>
      </c>
      <c r="BK24" s="1" t="s">
        <v>3</v>
      </c>
      <c r="BL24" s="1" t="s">
        <v>3</v>
      </c>
      <c r="BM24" s="1" t="s">
        <v>3</v>
      </c>
      <c r="BN24" s="1" t="s">
        <v>3</v>
      </c>
      <c r="BO24" s="1" t="s">
        <v>3</v>
      </c>
      <c r="BP24" s="1" t="s">
        <v>3</v>
      </c>
      <c r="BQ24" s="1"/>
      <c r="BR24" s="1"/>
      <c r="BS24" s="1"/>
      <c r="BT24" s="1"/>
      <c r="BU24" s="1"/>
      <c r="BV24" s="1"/>
      <c r="BW24" s="1"/>
      <c r="BX24" s="1">
        <v>0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>
        <v>0</v>
      </c>
    </row>
    <row r="26" spans="1:245" x14ac:dyDescent="0.2">
      <c r="A26" s="2">
        <v>52</v>
      </c>
      <c r="B26" s="2">
        <f t="shared" ref="B26:G26" si="14">B39</f>
        <v>1</v>
      </c>
      <c r="C26" s="2">
        <f t="shared" si="14"/>
        <v>4</v>
      </c>
      <c r="D26" s="2">
        <f t="shared" si="14"/>
        <v>24</v>
      </c>
      <c r="E26" s="2">
        <f t="shared" si="14"/>
        <v>0</v>
      </c>
      <c r="F26" s="2" t="str">
        <f t="shared" si="14"/>
        <v>Новый раздел</v>
      </c>
      <c r="G26" s="2" t="str">
        <f t="shared" si="14"/>
        <v>Территория ЦАК</v>
      </c>
      <c r="H26" s="2"/>
      <c r="I26" s="2"/>
      <c r="J26" s="2"/>
      <c r="K26" s="2"/>
      <c r="L26" s="2"/>
      <c r="M26" s="2"/>
      <c r="N26" s="2"/>
      <c r="O26" s="2">
        <f t="shared" ref="O26:AT26" si="15">O39</f>
        <v>191023.72</v>
      </c>
      <c r="P26" s="2">
        <f t="shared" si="15"/>
        <v>179435.34</v>
      </c>
      <c r="Q26" s="2">
        <f t="shared" si="15"/>
        <v>255.56</v>
      </c>
      <c r="R26" s="2">
        <f t="shared" si="15"/>
        <v>127.72</v>
      </c>
      <c r="S26" s="2">
        <f t="shared" si="15"/>
        <v>11332.82</v>
      </c>
      <c r="T26" s="2">
        <f t="shared" si="15"/>
        <v>0</v>
      </c>
      <c r="U26" s="2">
        <f t="shared" si="15"/>
        <v>57.804880000000004</v>
      </c>
      <c r="V26" s="2">
        <f t="shared" si="15"/>
        <v>0</v>
      </c>
      <c r="W26" s="2">
        <f t="shared" si="15"/>
        <v>0</v>
      </c>
      <c r="X26" s="2">
        <f t="shared" si="15"/>
        <v>7932.97</v>
      </c>
      <c r="Y26" s="2">
        <f t="shared" si="15"/>
        <v>1133.28</v>
      </c>
      <c r="Z26" s="2">
        <f t="shared" si="15"/>
        <v>0</v>
      </c>
      <c r="AA26" s="2">
        <f t="shared" si="15"/>
        <v>0</v>
      </c>
      <c r="AB26" s="2">
        <f t="shared" si="15"/>
        <v>191023.72</v>
      </c>
      <c r="AC26" s="2">
        <f t="shared" si="15"/>
        <v>179435.34</v>
      </c>
      <c r="AD26" s="2">
        <f t="shared" si="15"/>
        <v>255.56</v>
      </c>
      <c r="AE26" s="2">
        <f t="shared" si="15"/>
        <v>127.72</v>
      </c>
      <c r="AF26" s="2">
        <f t="shared" si="15"/>
        <v>11332.82</v>
      </c>
      <c r="AG26" s="2">
        <f t="shared" si="15"/>
        <v>0</v>
      </c>
      <c r="AH26" s="2">
        <f t="shared" si="15"/>
        <v>57.804880000000004</v>
      </c>
      <c r="AI26" s="2">
        <f t="shared" si="15"/>
        <v>0</v>
      </c>
      <c r="AJ26" s="2">
        <f t="shared" si="15"/>
        <v>0</v>
      </c>
      <c r="AK26" s="2">
        <f t="shared" si="15"/>
        <v>7932.97</v>
      </c>
      <c r="AL26" s="2">
        <f t="shared" si="15"/>
        <v>1133.28</v>
      </c>
      <c r="AM26" s="2">
        <f t="shared" si="15"/>
        <v>0</v>
      </c>
      <c r="AN26" s="2">
        <f t="shared" si="15"/>
        <v>0</v>
      </c>
      <c r="AO26" s="2">
        <f t="shared" si="15"/>
        <v>0</v>
      </c>
      <c r="AP26" s="2">
        <f t="shared" si="15"/>
        <v>0</v>
      </c>
      <c r="AQ26" s="2">
        <f t="shared" si="15"/>
        <v>0</v>
      </c>
      <c r="AR26" s="2">
        <f t="shared" si="15"/>
        <v>200089.97</v>
      </c>
      <c r="AS26" s="2">
        <f t="shared" si="15"/>
        <v>0</v>
      </c>
      <c r="AT26" s="2">
        <f t="shared" si="15"/>
        <v>0</v>
      </c>
      <c r="AU26" s="2">
        <f t="shared" ref="AU26:BZ26" si="16">AU39</f>
        <v>200089.97</v>
      </c>
      <c r="AV26" s="2">
        <f t="shared" si="16"/>
        <v>179435.34</v>
      </c>
      <c r="AW26" s="2">
        <f t="shared" si="16"/>
        <v>179435.34</v>
      </c>
      <c r="AX26" s="2">
        <f t="shared" si="16"/>
        <v>0</v>
      </c>
      <c r="AY26" s="2">
        <f t="shared" si="16"/>
        <v>179435.34</v>
      </c>
      <c r="AZ26" s="2">
        <f t="shared" si="16"/>
        <v>0</v>
      </c>
      <c r="BA26" s="2">
        <f t="shared" si="16"/>
        <v>0</v>
      </c>
      <c r="BB26" s="2">
        <f t="shared" si="16"/>
        <v>0</v>
      </c>
      <c r="BC26" s="2">
        <f t="shared" si="16"/>
        <v>0</v>
      </c>
      <c r="BD26" s="2">
        <f t="shared" si="16"/>
        <v>0</v>
      </c>
      <c r="BE26" s="2">
        <f t="shared" si="16"/>
        <v>0</v>
      </c>
      <c r="BF26" s="2">
        <f t="shared" si="16"/>
        <v>0</v>
      </c>
      <c r="BG26" s="2">
        <f t="shared" si="16"/>
        <v>0</v>
      </c>
      <c r="BH26" s="2">
        <f t="shared" si="16"/>
        <v>0</v>
      </c>
      <c r="BI26" s="2">
        <f t="shared" si="16"/>
        <v>0</v>
      </c>
      <c r="BJ26" s="2">
        <f t="shared" si="16"/>
        <v>0</v>
      </c>
      <c r="BK26" s="2">
        <f t="shared" si="16"/>
        <v>0</v>
      </c>
      <c r="BL26" s="2">
        <f t="shared" si="16"/>
        <v>0</v>
      </c>
      <c r="BM26" s="2">
        <f t="shared" si="16"/>
        <v>0</v>
      </c>
      <c r="BN26" s="2">
        <f t="shared" si="16"/>
        <v>0</v>
      </c>
      <c r="BO26" s="2">
        <f t="shared" si="16"/>
        <v>0</v>
      </c>
      <c r="BP26" s="2">
        <f t="shared" si="16"/>
        <v>0</v>
      </c>
      <c r="BQ26" s="2">
        <f t="shared" si="16"/>
        <v>0</v>
      </c>
      <c r="BR26" s="2">
        <f t="shared" si="16"/>
        <v>0</v>
      </c>
      <c r="BS26" s="2">
        <f t="shared" si="16"/>
        <v>0</v>
      </c>
      <c r="BT26" s="2">
        <f t="shared" si="16"/>
        <v>0</v>
      </c>
      <c r="BU26" s="2">
        <f t="shared" si="16"/>
        <v>0</v>
      </c>
      <c r="BV26" s="2">
        <f t="shared" si="16"/>
        <v>0</v>
      </c>
      <c r="BW26" s="2">
        <f t="shared" si="16"/>
        <v>0</v>
      </c>
      <c r="BX26" s="2">
        <f t="shared" si="16"/>
        <v>0</v>
      </c>
      <c r="BY26" s="2">
        <f t="shared" si="16"/>
        <v>0</v>
      </c>
      <c r="BZ26" s="2">
        <f t="shared" si="16"/>
        <v>0</v>
      </c>
      <c r="CA26" s="2">
        <f t="shared" ref="CA26:DF26" si="17">CA39</f>
        <v>200089.97</v>
      </c>
      <c r="CB26" s="2">
        <f t="shared" si="17"/>
        <v>0</v>
      </c>
      <c r="CC26" s="2">
        <f t="shared" si="17"/>
        <v>0</v>
      </c>
      <c r="CD26" s="2">
        <f t="shared" si="17"/>
        <v>200089.97</v>
      </c>
      <c r="CE26" s="2">
        <f t="shared" si="17"/>
        <v>179435.34</v>
      </c>
      <c r="CF26" s="2">
        <f t="shared" si="17"/>
        <v>179435.34</v>
      </c>
      <c r="CG26" s="2">
        <f t="shared" si="17"/>
        <v>0</v>
      </c>
      <c r="CH26" s="2">
        <f t="shared" si="17"/>
        <v>179435.34</v>
      </c>
      <c r="CI26" s="2">
        <f t="shared" si="17"/>
        <v>0</v>
      </c>
      <c r="CJ26" s="2">
        <f t="shared" si="17"/>
        <v>0</v>
      </c>
      <c r="CK26" s="2">
        <f t="shared" si="17"/>
        <v>0</v>
      </c>
      <c r="CL26" s="2">
        <f t="shared" si="17"/>
        <v>0</v>
      </c>
      <c r="CM26" s="2">
        <f t="shared" si="17"/>
        <v>0</v>
      </c>
      <c r="CN26" s="2">
        <f t="shared" si="17"/>
        <v>0</v>
      </c>
      <c r="CO26" s="2">
        <f t="shared" si="17"/>
        <v>0</v>
      </c>
      <c r="CP26" s="2">
        <f t="shared" si="17"/>
        <v>0</v>
      </c>
      <c r="CQ26" s="2">
        <f t="shared" si="17"/>
        <v>0</v>
      </c>
      <c r="CR26" s="2">
        <f t="shared" si="17"/>
        <v>0</v>
      </c>
      <c r="CS26" s="2">
        <f t="shared" si="17"/>
        <v>0</v>
      </c>
      <c r="CT26" s="2">
        <f t="shared" si="17"/>
        <v>0</v>
      </c>
      <c r="CU26" s="2">
        <f t="shared" si="17"/>
        <v>0</v>
      </c>
      <c r="CV26" s="2">
        <f t="shared" si="17"/>
        <v>0</v>
      </c>
      <c r="CW26" s="2">
        <f t="shared" si="17"/>
        <v>0</v>
      </c>
      <c r="CX26" s="2">
        <f t="shared" si="17"/>
        <v>0</v>
      </c>
      <c r="CY26" s="2">
        <f t="shared" si="17"/>
        <v>0</v>
      </c>
      <c r="CZ26" s="2">
        <f t="shared" si="17"/>
        <v>0</v>
      </c>
      <c r="DA26" s="2">
        <f t="shared" si="17"/>
        <v>0</v>
      </c>
      <c r="DB26" s="2">
        <f t="shared" si="17"/>
        <v>0</v>
      </c>
      <c r="DC26" s="2">
        <f t="shared" si="17"/>
        <v>0</v>
      </c>
      <c r="DD26" s="2">
        <f t="shared" si="17"/>
        <v>0</v>
      </c>
      <c r="DE26" s="2">
        <f t="shared" si="17"/>
        <v>0</v>
      </c>
      <c r="DF26" s="2">
        <f t="shared" si="17"/>
        <v>0</v>
      </c>
      <c r="DG26" s="3">
        <f t="shared" ref="DG26:EL26" si="18">DG39</f>
        <v>0</v>
      </c>
      <c r="DH26" s="3">
        <f t="shared" si="18"/>
        <v>0</v>
      </c>
      <c r="DI26" s="3">
        <f t="shared" si="18"/>
        <v>0</v>
      </c>
      <c r="DJ26" s="3">
        <f t="shared" si="18"/>
        <v>0</v>
      </c>
      <c r="DK26" s="3">
        <f t="shared" si="18"/>
        <v>0</v>
      </c>
      <c r="DL26" s="3">
        <f t="shared" si="18"/>
        <v>0</v>
      </c>
      <c r="DM26" s="3">
        <f t="shared" si="18"/>
        <v>0</v>
      </c>
      <c r="DN26" s="3">
        <f t="shared" si="18"/>
        <v>0</v>
      </c>
      <c r="DO26" s="3">
        <f t="shared" si="18"/>
        <v>0</v>
      </c>
      <c r="DP26" s="3">
        <f t="shared" si="18"/>
        <v>0</v>
      </c>
      <c r="DQ26" s="3">
        <f t="shared" si="18"/>
        <v>0</v>
      </c>
      <c r="DR26" s="3">
        <f t="shared" si="18"/>
        <v>0</v>
      </c>
      <c r="DS26" s="3">
        <f t="shared" si="18"/>
        <v>0</v>
      </c>
      <c r="DT26" s="3">
        <f t="shared" si="18"/>
        <v>0</v>
      </c>
      <c r="DU26" s="3">
        <f t="shared" si="18"/>
        <v>0</v>
      </c>
      <c r="DV26" s="3">
        <f t="shared" si="18"/>
        <v>0</v>
      </c>
      <c r="DW26" s="3">
        <f t="shared" si="18"/>
        <v>0</v>
      </c>
      <c r="DX26" s="3">
        <f t="shared" si="18"/>
        <v>0</v>
      </c>
      <c r="DY26" s="3">
        <f t="shared" si="18"/>
        <v>0</v>
      </c>
      <c r="DZ26" s="3">
        <f t="shared" si="18"/>
        <v>0</v>
      </c>
      <c r="EA26" s="3">
        <f t="shared" si="18"/>
        <v>0</v>
      </c>
      <c r="EB26" s="3">
        <f t="shared" si="18"/>
        <v>0</v>
      </c>
      <c r="EC26" s="3">
        <f t="shared" si="18"/>
        <v>0</v>
      </c>
      <c r="ED26" s="3">
        <f t="shared" si="18"/>
        <v>0</v>
      </c>
      <c r="EE26" s="3">
        <f t="shared" si="18"/>
        <v>0</v>
      </c>
      <c r="EF26" s="3">
        <f t="shared" si="18"/>
        <v>0</v>
      </c>
      <c r="EG26" s="3">
        <f t="shared" si="18"/>
        <v>0</v>
      </c>
      <c r="EH26" s="3">
        <f t="shared" si="18"/>
        <v>0</v>
      </c>
      <c r="EI26" s="3">
        <f t="shared" si="18"/>
        <v>0</v>
      </c>
      <c r="EJ26" s="3">
        <f t="shared" si="18"/>
        <v>0</v>
      </c>
      <c r="EK26" s="3">
        <f t="shared" si="18"/>
        <v>0</v>
      </c>
      <c r="EL26" s="3">
        <f t="shared" si="18"/>
        <v>0</v>
      </c>
      <c r="EM26" s="3">
        <f t="shared" ref="EM26:FR26" si="19">EM39</f>
        <v>0</v>
      </c>
      <c r="EN26" s="3">
        <f t="shared" si="19"/>
        <v>0</v>
      </c>
      <c r="EO26" s="3">
        <f t="shared" si="19"/>
        <v>0</v>
      </c>
      <c r="EP26" s="3">
        <f t="shared" si="19"/>
        <v>0</v>
      </c>
      <c r="EQ26" s="3">
        <f t="shared" si="19"/>
        <v>0</v>
      </c>
      <c r="ER26" s="3">
        <f t="shared" si="19"/>
        <v>0</v>
      </c>
      <c r="ES26" s="3">
        <f t="shared" si="19"/>
        <v>0</v>
      </c>
      <c r="ET26" s="3">
        <f t="shared" si="19"/>
        <v>0</v>
      </c>
      <c r="EU26" s="3">
        <f t="shared" si="19"/>
        <v>0</v>
      </c>
      <c r="EV26" s="3">
        <f t="shared" si="19"/>
        <v>0</v>
      </c>
      <c r="EW26" s="3">
        <f t="shared" si="19"/>
        <v>0</v>
      </c>
      <c r="EX26" s="3">
        <f t="shared" si="19"/>
        <v>0</v>
      </c>
      <c r="EY26" s="3">
        <f t="shared" si="19"/>
        <v>0</v>
      </c>
      <c r="EZ26" s="3">
        <f t="shared" si="19"/>
        <v>0</v>
      </c>
      <c r="FA26" s="3">
        <f t="shared" si="19"/>
        <v>0</v>
      </c>
      <c r="FB26" s="3">
        <f t="shared" si="19"/>
        <v>0</v>
      </c>
      <c r="FC26" s="3">
        <f t="shared" si="19"/>
        <v>0</v>
      </c>
      <c r="FD26" s="3">
        <f t="shared" si="19"/>
        <v>0</v>
      </c>
      <c r="FE26" s="3">
        <f t="shared" si="19"/>
        <v>0</v>
      </c>
      <c r="FF26" s="3">
        <f t="shared" si="19"/>
        <v>0</v>
      </c>
      <c r="FG26" s="3">
        <f t="shared" si="19"/>
        <v>0</v>
      </c>
      <c r="FH26" s="3">
        <f t="shared" si="19"/>
        <v>0</v>
      </c>
      <c r="FI26" s="3">
        <f t="shared" si="19"/>
        <v>0</v>
      </c>
      <c r="FJ26" s="3">
        <f t="shared" si="19"/>
        <v>0</v>
      </c>
      <c r="FK26" s="3">
        <f t="shared" si="19"/>
        <v>0</v>
      </c>
      <c r="FL26" s="3">
        <f t="shared" si="19"/>
        <v>0</v>
      </c>
      <c r="FM26" s="3">
        <f t="shared" si="19"/>
        <v>0</v>
      </c>
      <c r="FN26" s="3">
        <f t="shared" si="19"/>
        <v>0</v>
      </c>
      <c r="FO26" s="3">
        <f t="shared" si="19"/>
        <v>0</v>
      </c>
      <c r="FP26" s="3">
        <f t="shared" si="19"/>
        <v>0</v>
      </c>
      <c r="FQ26" s="3">
        <f t="shared" si="19"/>
        <v>0</v>
      </c>
      <c r="FR26" s="3">
        <f t="shared" si="19"/>
        <v>0</v>
      </c>
      <c r="FS26" s="3">
        <f t="shared" ref="FS26:GX26" si="20">FS39</f>
        <v>0</v>
      </c>
      <c r="FT26" s="3">
        <f t="shared" si="20"/>
        <v>0</v>
      </c>
      <c r="FU26" s="3">
        <f t="shared" si="20"/>
        <v>0</v>
      </c>
      <c r="FV26" s="3">
        <f t="shared" si="20"/>
        <v>0</v>
      </c>
      <c r="FW26" s="3">
        <f t="shared" si="20"/>
        <v>0</v>
      </c>
      <c r="FX26" s="3">
        <f t="shared" si="20"/>
        <v>0</v>
      </c>
      <c r="FY26" s="3">
        <f t="shared" si="20"/>
        <v>0</v>
      </c>
      <c r="FZ26" s="3">
        <f t="shared" si="20"/>
        <v>0</v>
      </c>
      <c r="GA26" s="3">
        <f t="shared" si="20"/>
        <v>0</v>
      </c>
      <c r="GB26" s="3">
        <f t="shared" si="20"/>
        <v>0</v>
      </c>
      <c r="GC26" s="3">
        <f t="shared" si="20"/>
        <v>0</v>
      </c>
      <c r="GD26" s="3">
        <f t="shared" si="20"/>
        <v>0</v>
      </c>
      <c r="GE26" s="3">
        <f t="shared" si="20"/>
        <v>0</v>
      </c>
      <c r="GF26" s="3">
        <f t="shared" si="20"/>
        <v>0</v>
      </c>
      <c r="GG26" s="3">
        <f t="shared" si="20"/>
        <v>0</v>
      </c>
      <c r="GH26" s="3">
        <f t="shared" si="20"/>
        <v>0</v>
      </c>
      <c r="GI26" s="3">
        <f t="shared" si="20"/>
        <v>0</v>
      </c>
      <c r="GJ26" s="3">
        <f t="shared" si="20"/>
        <v>0</v>
      </c>
      <c r="GK26" s="3">
        <f t="shared" si="20"/>
        <v>0</v>
      </c>
      <c r="GL26" s="3">
        <f t="shared" si="20"/>
        <v>0</v>
      </c>
      <c r="GM26" s="3">
        <f t="shared" si="20"/>
        <v>0</v>
      </c>
      <c r="GN26" s="3">
        <f t="shared" si="20"/>
        <v>0</v>
      </c>
      <c r="GO26" s="3">
        <f t="shared" si="20"/>
        <v>0</v>
      </c>
      <c r="GP26" s="3">
        <f t="shared" si="20"/>
        <v>0</v>
      </c>
      <c r="GQ26" s="3">
        <f t="shared" si="20"/>
        <v>0</v>
      </c>
      <c r="GR26" s="3">
        <f t="shared" si="20"/>
        <v>0</v>
      </c>
      <c r="GS26" s="3">
        <f t="shared" si="20"/>
        <v>0</v>
      </c>
      <c r="GT26" s="3">
        <f t="shared" si="20"/>
        <v>0</v>
      </c>
      <c r="GU26" s="3">
        <f t="shared" si="20"/>
        <v>0</v>
      </c>
      <c r="GV26" s="3">
        <f t="shared" si="20"/>
        <v>0</v>
      </c>
      <c r="GW26" s="3">
        <f t="shared" si="20"/>
        <v>0</v>
      </c>
      <c r="GX26" s="3">
        <f t="shared" si="20"/>
        <v>0</v>
      </c>
    </row>
    <row r="28" spans="1:245" x14ac:dyDescent="0.2">
      <c r="A28">
        <v>17</v>
      </c>
      <c r="B28">
        <v>1</v>
      </c>
      <c r="C28">
        <f>ROW(SmtRes!A1)</f>
        <v>1</v>
      </c>
      <c r="D28">
        <f>ROW(EtalonRes!A1)</f>
        <v>1</v>
      </c>
      <c r="E28" t="s">
        <v>14</v>
      </c>
      <c r="F28" t="s">
        <v>15</v>
      </c>
      <c r="G28" t="s">
        <v>16</v>
      </c>
      <c r="H28" t="s">
        <v>17</v>
      </c>
      <c r="I28">
        <v>2E-3</v>
      </c>
      <c r="J28">
        <v>0</v>
      </c>
      <c r="O28">
        <f t="shared" ref="O28:O37" si="21">ROUND(CP28,2)</f>
        <v>60.11</v>
      </c>
      <c r="P28">
        <f t="shared" ref="P28:P37" si="22">ROUND(CQ28*I28,2)</f>
        <v>0</v>
      </c>
      <c r="Q28">
        <f t="shared" ref="Q28:Q37" si="23">ROUND(CR28*I28,2)</f>
        <v>0</v>
      </c>
      <c r="R28">
        <f t="shared" ref="R28:R37" si="24">ROUND(CS28*I28,2)</f>
        <v>0</v>
      </c>
      <c r="S28">
        <f t="shared" ref="S28:S37" si="25">ROUND(CT28*I28,2)</f>
        <v>60.11</v>
      </c>
      <c r="T28">
        <f t="shared" ref="T28:T37" si="26">ROUND(CU28*I28,2)</f>
        <v>0</v>
      </c>
      <c r="U28">
        <f t="shared" ref="U28:U37" si="27">CV28*I28</f>
        <v>0.32488</v>
      </c>
      <c r="V28">
        <f t="shared" ref="V28:V37" si="28">CW28*I28</f>
        <v>0</v>
      </c>
      <c r="W28">
        <f t="shared" ref="W28:W37" si="29">ROUND(CX28*I28,2)</f>
        <v>0</v>
      </c>
      <c r="X28">
        <f t="shared" ref="X28:X37" si="30">ROUND(CY28,2)</f>
        <v>42.08</v>
      </c>
      <c r="Y28">
        <f t="shared" ref="Y28:Y37" si="31">ROUND(CZ28,2)</f>
        <v>6.01</v>
      </c>
      <c r="AA28">
        <v>38449393</v>
      </c>
      <c r="AB28">
        <f t="shared" ref="AB28:AB37" si="32">ROUND((AC28+AD28+AF28),6)</f>
        <v>30054.65</v>
      </c>
      <c r="AC28">
        <f t="shared" ref="AC28:AC36" si="33">ROUND((ES28),6)</f>
        <v>0</v>
      </c>
      <c r="AD28">
        <f t="shared" ref="AD28:AD36" si="34">ROUND((((ET28)-(EU28))+AE28),6)</f>
        <v>0</v>
      </c>
      <c r="AE28">
        <f t="shared" ref="AE28:AE36" si="35">ROUND((EU28),6)</f>
        <v>0</v>
      </c>
      <c r="AF28">
        <f t="shared" ref="AF28:AF36" si="36">ROUND((EV28),6)</f>
        <v>30054.65</v>
      </c>
      <c r="AG28">
        <f t="shared" ref="AG28:AG37" si="37">ROUND((AP28),6)</f>
        <v>0</v>
      </c>
      <c r="AH28">
        <f t="shared" ref="AH28:AH36" si="38">(EW28)</f>
        <v>162.44</v>
      </c>
      <c r="AI28">
        <f t="shared" ref="AI28:AI36" si="39">(EX28)</f>
        <v>0</v>
      </c>
      <c r="AJ28">
        <f t="shared" ref="AJ28:AJ37" si="40">(AS28)</f>
        <v>0</v>
      </c>
      <c r="AK28">
        <v>30054.65</v>
      </c>
      <c r="AL28">
        <v>0</v>
      </c>
      <c r="AM28">
        <v>0</v>
      </c>
      <c r="AN28">
        <v>0</v>
      </c>
      <c r="AO28">
        <v>30054.65</v>
      </c>
      <c r="AP28">
        <v>0</v>
      </c>
      <c r="AQ28">
        <v>162.44</v>
      </c>
      <c r="AR28">
        <v>0</v>
      </c>
      <c r="AS28">
        <v>0</v>
      </c>
      <c r="AT28">
        <v>70</v>
      </c>
      <c r="AU28">
        <v>10</v>
      </c>
      <c r="AV28">
        <v>1</v>
      </c>
      <c r="AW28">
        <v>1</v>
      </c>
      <c r="AZ28">
        <v>1</v>
      </c>
      <c r="BA28">
        <v>1</v>
      </c>
      <c r="BB28">
        <v>1</v>
      </c>
      <c r="BC28">
        <v>1</v>
      </c>
      <c r="BD28" t="s">
        <v>3</v>
      </c>
      <c r="BE28" t="s">
        <v>3</v>
      </c>
      <c r="BF28" t="s">
        <v>3</v>
      </c>
      <c r="BG28" t="s">
        <v>3</v>
      </c>
      <c r="BH28">
        <v>0</v>
      </c>
      <c r="BI28">
        <v>4</v>
      </c>
      <c r="BJ28" t="s">
        <v>18</v>
      </c>
      <c r="BM28">
        <v>0</v>
      </c>
      <c r="BN28">
        <v>0</v>
      </c>
      <c r="BO28" t="s">
        <v>3</v>
      </c>
      <c r="BP28">
        <v>0</v>
      </c>
      <c r="BQ28">
        <v>1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 t="s">
        <v>3</v>
      </c>
      <c r="BZ28">
        <v>70</v>
      </c>
      <c r="CA28">
        <v>10</v>
      </c>
      <c r="CE28">
        <v>0</v>
      </c>
      <c r="CF28">
        <v>0</v>
      </c>
      <c r="CG28">
        <v>0</v>
      </c>
      <c r="CM28">
        <v>0</v>
      </c>
      <c r="CN28" t="s">
        <v>3</v>
      </c>
      <c r="CO28">
        <v>0</v>
      </c>
      <c r="CP28">
        <f t="shared" ref="CP28:CP37" si="41">(P28+Q28+S28)</f>
        <v>60.11</v>
      </c>
      <c r="CQ28">
        <f t="shared" ref="CQ28:CQ37" si="42">(AC28*BC28*AW28)</f>
        <v>0</v>
      </c>
      <c r="CR28">
        <f t="shared" ref="CR28:CR36" si="43">((((ET28)*BB28-(EU28)*BS28)+AE28*BS28)*AV28)</f>
        <v>0</v>
      </c>
      <c r="CS28">
        <f t="shared" ref="CS28:CS37" si="44">(AE28*BS28*AV28)</f>
        <v>0</v>
      </c>
      <c r="CT28">
        <f t="shared" ref="CT28:CT37" si="45">(AF28*BA28*AV28)</f>
        <v>30054.65</v>
      </c>
      <c r="CU28">
        <f t="shared" ref="CU28:CU37" si="46">AG28</f>
        <v>0</v>
      </c>
      <c r="CV28">
        <f t="shared" ref="CV28:CV37" si="47">(AH28*AV28)</f>
        <v>162.44</v>
      </c>
      <c r="CW28">
        <f t="shared" ref="CW28:CW37" si="48">AI28</f>
        <v>0</v>
      </c>
      <c r="CX28">
        <f t="shared" ref="CX28:CX37" si="49">AJ28</f>
        <v>0</v>
      </c>
      <c r="CY28">
        <f t="shared" ref="CY28:CY37" si="50">((S28*BZ28)/100)</f>
        <v>42.076999999999998</v>
      </c>
      <c r="CZ28">
        <f t="shared" ref="CZ28:CZ37" si="51">((S28*CA28)/100)</f>
        <v>6.0110000000000001</v>
      </c>
      <c r="DC28" t="s">
        <v>3</v>
      </c>
      <c r="DD28" t="s">
        <v>3</v>
      </c>
      <c r="DE28" t="s">
        <v>3</v>
      </c>
      <c r="DF28" t="s">
        <v>3</v>
      </c>
      <c r="DG28" t="s">
        <v>3</v>
      </c>
      <c r="DH28" t="s">
        <v>3</v>
      </c>
      <c r="DI28" t="s">
        <v>3</v>
      </c>
      <c r="DJ28" t="s">
        <v>3</v>
      </c>
      <c r="DK28" t="s">
        <v>3</v>
      </c>
      <c r="DL28" t="s">
        <v>3</v>
      </c>
      <c r="DM28" t="s">
        <v>3</v>
      </c>
      <c r="DN28">
        <v>0</v>
      </c>
      <c r="DO28">
        <v>0</v>
      </c>
      <c r="DP28">
        <v>1</v>
      </c>
      <c r="DQ28">
        <v>1</v>
      </c>
      <c r="DU28">
        <v>1005</v>
      </c>
      <c r="DV28" t="s">
        <v>17</v>
      </c>
      <c r="DW28" t="s">
        <v>17</v>
      </c>
      <c r="DX28">
        <v>1</v>
      </c>
      <c r="DZ28" t="s">
        <v>3</v>
      </c>
      <c r="EA28" t="s">
        <v>3</v>
      </c>
      <c r="EB28" t="s">
        <v>3</v>
      </c>
      <c r="EC28" t="s">
        <v>3</v>
      </c>
      <c r="EE28">
        <v>38720082</v>
      </c>
      <c r="EF28">
        <v>1</v>
      </c>
      <c r="EG28" t="s">
        <v>19</v>
      </c>
      <c r="EH28">
        <v>0</v>
      </c>
      <c r="EI28" t="s">
        <v>3</v>
      </c>
      <c r="EJ28">
        <v>4</v>
      </c>
      <c r="EK28">
        <v>0</v>
      </c>
      <c r="EL28" t="s">
        <v>20</v>
      </c>
      <c r="EM28" t="s">
        <v>21</v>
      </c>
      <c r="EO28" t="s">
        <v>3</v>
      </c>
      <c r="EQ28">
        <v>0</v>
      </c>
      <c r="ER28">
        <v>30054.65</v>
      </c>
      <c r="ES28">
        <v>0</v>
      </c>
      <c r="ET28">
        <v>0</v>
      </c>
      <c r="EU28">
        <v>0</v>
      </c>
      <c r="EV28">
        <v>30054.65</v>
      </c>
      <c r="EW28">
        <v>162.44</v>
      </c>
      <c r="EX28">
        <v>0</v>
      </c>
      <c r="EY28">
        <v>0</v>
      </c>
      <c r="FQ28">
        <v>0</v>
      </c>
      <c r="FR28">
        <f t="shared" ref="FR28:FR37" si="52">ROUND(IF(AND(BH28=3,BI28=3),P28,0),2)</f>
        <v>0</v>
      </c>
      <c r="FS28">
        <v>0</v>
      </c>
      <c r="FX28">
        <v>70</v>
      </c>
      <c r="FY28">
        <v>10</v>
      </c>
      <c r="GA28" t="s">
        <v>3</v>
      </c>
      <c r="GD28">
        <v>0</v>
      </c>
      <c r="GF28">
        <v>71615015</v>
      </c>
      <c r="GG28">
        <v>2</v>
      </c>
      <c r="GH28">
        <v>1</v>
      </c>
      <c r="GI28">
        <v>-2</v>
      </c>
      <c r="GJ28">
        <v>0</v>
      </c>
      <c r="GK28">
        <f>ROUND(R28*(R12)/100,2)</f>
        <v>0</v>
      </c>
      <c r="GL28">
        <f t="shared" ref="GL28:GL37" si="53">ROUND(IF(AND(BH28=3,BI28=3,FS28&lt;&gt;0),P28,0),2)</f>
        <v>0</v>
      </c>
      <c r="GM28">
        <f t="shared" ref="GM28:GM35" si="54">ROUND(O28+X28+Y28+GK28,2)+GX28</f>
        <v>108.2</v>
      </c>
      <c r="GN28">
        <f t="shared" ref="GN28:GN35" si="55">IF(OR(BI28=0,BI28=1),ROUND(O28+X28+Y28+GK28,2),0)</f>
        <v>0</v>
      </c>
      <c r="GO28">
        <f t="shared" ref="GO28:GO35" si="56">IF(BI28=2,ROUND(O28+X28+Y28+GK28,2),0)</f>
        <v>0</v>
      </c>
      <c r="GP28">
        <f t="shared" ref="GP28:GP35" si="57">IF(BI28=4,ROUND(O28+X28+Y28+GK28,2)+GX28,0)</f>
        <v>108.2</v>
      </c>
      <c r="GR28">
        <v>0</v>
      </c>
      <c r="GS28">
        <v>3</v>
      </c>
      <c r="GT28">
        <v>0</v>
      </c>
      <c r="GU28" t="s">
        <v>3</v>
      </c>
      <c r="GV28">
        <f t="shared" ref="GV28:GV37" si="58">ROUND((GT28),6)</f>
        <v>0</v>
      </c>
      <c r="GW28">
        <v>1</v>
      </c>
      <c r="GX28">
        <f t="shared" ref="GX28:GX37" si="59">ROUND(HC28*I28,2)</f>
        <v>0</v>
      </c>
      <c r="HA28">
        <v>0</v>
      </c>
      <c r="HB28">
        <v>0</v>
      </c>
      <c r="HC28">
        <f t="shared" ref="HC28:HC37" si="60">GV28*GW28</f>
        <v>0</v>
      </c>
      <c r="HE28" t="s">
        <v>3</v>
      </c>
      <c r="HF28" t="s">
        <v>3</v>
      </c>
      <c r="IK28">
        <v>0</v>
      </c>
    </row>
    <row r="29" spans="1:245" x14ac:dyDescent="0.2">
      <c r="A29">
        <v>17</v>
      </c>
      <c r="B29">
        <v>1</v>
      </c>
      <c r="C29">
        <f>ROW(SmtRes!A3)</f>
        <v>3</v>
      </c>
      <c r="D29">
        <f>ROW(EtalonRes!A3)</f>
        <v>3</v>
      </c>
      <c r="E29" t="s">
        <v>22</v>
      </c>
      <c r="F29" t="s">
        <v>23</v>
      </c>
      <c r="G29" t="s">
        <v>24</v>
      </c>
      <c r="H29" t="s">
        <v>25</v>
      </c>
      <c r="I29">
        <f>ROUND(75/10,9)</f>
        <v>7.5</v>
      </c>
      <c r="J29">
        <v>0</v>
      </c>
      <c r="O29">
        <f t="shared" si="21"/>
        <v>2196</v>
      </c>
      <c r="P29">
        <f t="shared" si="22"/>
        <v>0</v>
      </c>
      <c r="Q29">
        <f t="shared" si="23"/>
        <v>0</v>
      </c>
      <c r="R29">
        <f t="shared" si="24"/>
        <v>0</v>
      </c>
      <c r="S29">
        <f t="shared" si="25"/>
        <v>2196</v>
      </c>
      <c r="T29">
        <f t="shared" si="26"/>
        <v>0</v>
      </c>
      <c r="U29">
        <f t="shared" si="27"/>
        <v>12.15</v>
      </c>
      <c r="V29">
        <f t="shared" si="28"/>
        <v>0</v>
      </c>
      <c r="W29">
        <f t="shared" si="29"/>
        <v>0</v>
      </c>
      <c r="X29">
        <f t="shared" si="30"/>
        <v>1537.2</v>
      </c>
      <c r="Y29">
        <f t="shared" si="31"/>
        <v>219.6</v>
      </c>
      <c r="AA29">
        <v>38449393</v>
      </c>
      <c r="AB29">
        <f t="shared" si="32"/>
        <v>292.8</v>
      </c>
      <c r="AC29">
        <f t="shared" si="33"/>
        <v>0</v>
      </c>
      <c r="AD29">
        <f t="shared" si="34"/>
        <v>0</v>
      </c>
      <c r="AE29">
        <f t="shared" si="35"/>
        <v>0</v>
      </c>
      <c r="AF29">
        <f t="shared" si="36"/>
        <v>292.8</v>
      </c>
      <c r="AG29">
        <f t="shared" si="37"/>
        <v>0</v>
      </c>
      <c r="AH29">
        <f t="shared" si="38"/>
        <v>1.62</v>
      </c>
      <c r="AI29">
        <f t="shared" si="39"/>
        <v>0</v>
      </c>
      <c r="AJ29">
        <f t="shared" si="40"/>
        <v>0</v>
      </c>
      <c r="AK29">
        <v>292.8</v>
      </c>
      <c r="AL29">
        <v>0</v>
      </c>
      <c r="AM29">
        <v>0</v>
      </c>
      <c r="AN29">
        <v>0</v>
      </c>
      <c r="AO29">
        <v>292.8</v>
      </c>
      <c r="AP29">
        <v>0</v>
      </c>
      <c r="AQ29">
        <v>1.62</v>
      </c>
      <c r="AR29">
        <v>0</v>
      </c>
      <c r="AS29">
        <v>0</v>
      </c>
      <c r="AT29">
        <v>70</v>
      </c>
      <c r="AU29">
        <v>10</v>
      </c>
      <c r="AV29">
        <v>1</v>
      </c>
      <c r="AW29">
        <v>1</v>
      </c>
      <c r="AZ29">
        <v>1</v>
      </c>
      <c r="BA29">
        <v>1</v>
      </c>
      <c r="BB29">
        <v>1</v>
      </c>
      <c r="BC29">
        <v>1</v>
      </c>
      <c r="BD29" t="s">
        <v>3</v>
      </c>
      <c r="BE29" t="s">
        <v>3</v>
      </c>
      <c r="BF29" t="s">
        <v>3</v>
      </c>
      <c r="BG29" t="s">
        <v>3</v>
      </c>
      <c r="BH29">
        <v>0</v>
      </c>
      <c r="BI29">
        <v>4</v>
      </c>
      <c r="BJ29" t="s">
        <v>26</v>
      </c>
      <c r="BM29">
        <v>0</v>
      </c>
      <c r="BN29">
        <v>0</v>
      </c>
      <c r="BO29" t="s">
        <v>3</v>
      </c>
      <c r="BP29">
        <v>0</v>
      </c>
      <c r="BQ29">
        <v>1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 t="s">
        <v>3</v>
      </c>
      <c r="BZ29">
        <v>70</v>
      </c>
      <c r="CA29">
        <v>10</v>
      </c>
      <c r="CE29">
        <v>0</v>
      </c>
      <c r="CF29">
        <v>0</v>
      </c>
      <c r="CG29">
        <v>0</v>
      </c>
      <c r="CM29">
        <v>0</v>
      </c>
      <c r="CN29" t="s">
        <v>3</v>
      </c>
      <c r="CO29">
        <v>0</v>
      </c>
      <c r="CP29">
        <f t="shared" si="41"/>
        <v>2196</v>
      </c>
      <c r="CQ29">
        <f t="shared" si="42"/>
        <v>0</v>
      </c>
      <c r="CR29">
        <f t="shared" si="43"/>
        <v>0</v>
      </c>
      <c r="CS29">
        <f t="shared" si="44"/>
        <v>0</v>
      </c>
      <c r="CT29">
        <f t="shared" si="45"/>
        <v>292.8</v>
      </c>
      <c r="CU29">
        <f t="shared" si="46"/>
        <v>0</v>
      </c>
      <c r="CV29">
        <f t="shared" si="47"/>
        <v>1.62</v>
      </c>
      <c r="CW29">
        <f t="shared" si="48"/>
        <v>0</v>
      </c>
      <c r="CX29">
        <f t="shared" si="49"/>
        <v>0</v>
      </c>
      <c r="CY29">
        <f t="shared" si="50"/>
        <v>1537.2</v>
      </c>
      <c r="CZ29">
        <f t="shared" si="51"/>
        <v>219.6</v>
      </c>
      <c r="DC29" t="s">
        <v>3</v>
      </c>
      <c r="DD29" t="s">
        <v>3</v>
      </c>
      <c r="DE29" t="s">
        <v>3</v>
      </c>
      <c r="DF29" t="s">
        <v>3</v>
      </c>
      <c r="DG29" t="s">
        <v>3</v>
      </c>
      <c r="DH29" t="s">
        <v>3</v>
      </c>
      <c r="DI29" t="s">
        <v>3</v>
      </c>
      <c r="DJ29" t="s">
        <v>3</v>
      </c>
      <c r="DK29" t="s">
        <v>3</v>
      </c>
      <c r="DL29" t="s">
        <v>3</v>
      </c>
      <c r="DM29" t="s">
        <v>3</v>
      </c>
      <c r="DN29">
        <v>0</v>
      </c>
      <c r="DO29">
        <v>0</v>
      </c>
      <c r="DP29">
        <v>1</v>
      </c>
      <c r="DQ29">
        <v>1</v>
      </c>
      <c r="DU29">
        <v>1003</v>
      </c>
      <c r="DV29" t="s">
        <v>25</v>
      </c>
      <c r="DW29" t="s">
        <v>25</v>
      </c>
      <c r="DX29">
        <v>10</v>
      </c>
      <c r="DZ29" t="s">
        <v>3</v>
      </c>
      <c r="EA29" t="s">
        <v>3</v>
      </c>
      <c r="EB29" t="s">
        <v>3</v>
      </c>
      <c r="EC29" t="s">
        <v>3</v>
      </c>
      <c r="EE29">
        <v>38720082</v>
      </c>
      <c r="EF29">
        <v>1</v>
      </c>
      <c r="EG29" t="s">
        <v>19</v>
      </c>
      <c r="EH29">
        <v>0</v>
      </c>
      <c r="EI29" t="s">
        <v>3</v>
      </c>
      <c r="EJ29">
        <v>4</v>
      </c>
      <c r="EK29">
        <v>0</v>
      </c>
      <c r="EL29" t="s">
        <v>20</v>
      </c>
      <c r="EM29" t="s">
        <v>21</v>
      </c>
      <c r="EO29" t="s">
        <v>3</v>
      </c>
      <c r="EQ29">
        <v>0</v>
      </c>
      <c r="ER29">
        <v>292.8</v>
      </c>
      <c r="ES29">
        <v>0</v>
      </c>
      <c r="ET29">
        <v>0</v>
      </c>
      <c r="EU29">
        <v>0</v>
      </c>
      <c r="EV29">
        <v>292.8</v>
      </c>
      <c r="EW29">
        <v>1.62</v>
      </c>
      <c r="EX29">
        <v>0</v>
      </c>
      <c r="EY29">
        <v>0</v>
      </c>
      <c r="FQ29">
        <v>0</v>
      </c>
      <c r="FR29">
        <f t="shared" si="52"/>
        <v>0</v>
      </c>
      <c r="FS29">
        <v>0</v>
      </c>
      <c r="FX29">
        <v>70</v>
      </c>
      <c r="FY29">
        <v>10</v>
      </c>
      <c r="GA29" t="s">
        <v>3</v>
      </c>
      <c r="GD29">
        <v>0</v>
      </c>
      <c r="GF29">
        <v>1276564285</v>
      </c>
      <c r="GG29">
        <v>2</v>
      </c>
      <c r="GH29">
        <v>1</v>
      </c>
      <c r="GI29">
        <v>-2</v>
      </c>
      <c r="GJ29">
        <v>0</v>
      </c>
      <c r="GK29">
        <f>ROUND(R29*(R12)/100,2)</f>
        <v>0</v>
      </c>
      <c r="GL29">
        <f t="shared" si="53"/>
        <v>0</v>
      </c>
      <c r="GM29">
        <f t="shared" si="54"/>
        <v>3952.8</v>
      </c>
      <c r="GN29">
        <f t="shared" si="55"/>
        <v>0</v>
      </c>
      <c r="GO29">
        <f t="shared" si="56"/>
        <v>0</v>
      </c>
      <c r="GP29">
        <f t="shared" si="57"/>
        <v>3952.8</v>
      </c>
      <c r="GR29">
        <v>0</v>
      </c>
      <c r="GS29">
        <v>3</v>
      </c>
      <c r="GT29">
        <v>0</v>
      </c>
      <c r="GU29" t="s">
        <v>3</v>
      </c>
      <c r="GV29">
        <f t="shared" si="58"/>
        <v>0</v>
      </c>
      <c r="GW29">
        <v>1</v>
      </c>
      <c r="GX29">
        <f t="shared" si="59"/>
        <v>0</v>
      </c>
      <c r="HA29">
        <v>0</v>
      </c>
      <c r="HB29">
        <v>0</v>
      </c>
      <c r="HC29">
        <f t="shared" si="60"/>
        <v>0</v>
      </c>
      <c r="HE29" t="s">
        <v>3</v>
      </c>
      <c r="HF29" t="s">
        <v>3</v>
      </c>
      <c r="IK29">
        <v>0</v>
      </c>
    </row>
    <row r="30" spans="1:245" x14ac:dyDescent="0.2">
      <c r="A30">
        <v>18</v>
      </c>
      <c r="B30">
        <v>1</v>
      </c>
      <c r="C30">
        <v>3</v>
      </c>
      <c r="E30" t="s">
        <v>27</v>
      </c>
      <c r="F30" t="s">
        <v>28</v>
      </c>
      <c r="G30" t="s">
        <v>29</v>
      </c>
      <c r="H30" t="s">
        <v>30</v>
      </c>
      <c r="I30">
        <f>I29*J30</f>
        <v>4.6875</v>
      </c>
      <c r="J30">
        <v>0.625</v>
      </c>
      <c r="O30">
        <f t="shared" si="21"/>
        <v>3532.83</v>
      </c>
      <c r="P30">
        <f t="shared" si="22"/>
        <v>3532.83</v>
      </c>
      <c r="Q30">
        <f t="shared" si="23"/>
        <v>0</v>
      </c>
      <c r="R30">
        <f t="shared" si="24"/>
        <v>0</v>
      </c>
      <c r="S30">
        <f t="shared" si="25"/>
        <v>0</v>
      </c>
      <c r="T30">
        <f t="shared" si="26"/>
        <v>0</v>
      </c>
      <c r="U30">
        <f t="shared" si="27"/>
        <v>0</v>
      </c>
      <c r="V30">
        <f t="shared" si="28"/>
        <v>0</v>
      </c>
      <c r="W30">
        <f t="shared" si="29"/>
        <v>0</v>
      </c>
      <c r="X30">
        <f t="shared" si="30"/>
        <v>0</v>
      </c>
      <c r="Y30">
        <f t="shared" si="31"/>
        <v>0</v>
      </c>
      <c r="AA30">
        <v>38449393</v>
      </c>
      <c r="AB30">
        <f t="shared" si="32"/>
        <v>753.67</v>
      </c>
      <c r="AC30">
        <f t="shared" si="33"/>
        <v>753.67</v>
      </c>
      <c r="AD30">
        <f t="shared" si="34"/>
        <v>0</v>
      </c>
      <c r="AE30">
        <f t="shared" si="35"/>
        <v>0</v>
      </c>
      <c r="AF30">
        <f t="shared" si="36"/>
        <v>0</v>
      </c>
      <c r="AG30">
        <f t="shared" si="37"/>
        <v>0</v>
      </c>
      <c r="AH30">
        <f t="shared" si="38"/>
        <v>0</v>
      </c>
      <c r="AI30">
        <f t="shared" si="39"/>
        <v>0</v>
      </c>
      <c r="AJ30">
        <f t="shared" si="40"/>
        <v>0</v>
      </c>
      <c r="AK30">
        <v>753.67</v>
      </c>
      <c r="AL30">
        <v>753.67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70</v>
      </c>
      <c r="AU30">
        <v>10</v>
      </c>
      <c r="AV30">
        <v>1</v>
      </c>
      <c r="AW30">
        <v>1</v>
      </c>
      <c r="AZ30">
        <v>1</v>
      </c>
      <c r="BA30">
        <v>1</v>
      </c>
      <c r="BB30">
        <v>1</v>
      </c>
      <c r="BC30">
        <v>1</v>
      </c>
      <c r="BD30" t="s">
        <v>3</v>
      </c>
      <c r="BE30" t="s">
        <v>3</v>
      </c>
      <c r="BF30" t="s">
        <v>3</v>
      </c>
      <c r="BG30" t="s">
        <v>3</v>
      </c>
      <c r="BH30">
        <v>3</v>
      </c>
      <c r="BI30">
        <v>4</v>
      </c>
      <c r="BJ30" t="s">
        <v>31</v>
      </c>
      <c r="BM30">
        <v>0</v>
      </c>
      <c r="BN30">
        <v>0</v>
      </c>
      <c r="BO30" t="s">
        <v>3</v>
      </c>
      <c r="BP30">
        <v>0</v>
      </c>
      <c r="BQ30">
        <v>1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 t="s">
        <v>3</v>
      </c>
      <c r="BZ30">
        <v>70</v>
      </c>
      <c r="CA30">
        <v>10</v>
      </c>
      <c r="CE30">
        <v>0</v>
      </c>
      <c r="CF30">
        <v>0</v>
      </c>
      <c r="CG30">
        <v>0</v>
      </c>
      <c r="CM30">
        <v>0</v>
      </c>
      <c r="CN30" t="s">
        <v>3</v>
      </c>
      <c r="CO30">
        <v>0</v>
      </c>
      <c r="CP30">
        <f t="shared" si="41"/>
        <v>3532.83</v>
      </c>
      <c r="CQ30">
        <f t="shared" si="42"/>
        <v>753.67</v>
      </c>
      <c r="CR30">
        <f t="shared" si="43"/>
        <v>0</v>
      </c>
      <c r="CS30">
        <f t="shared" si="44"/>
        <v>0</v>
      </c>
      <c r="CT30">
        <f t="shared" si="45"/>
        <v>0</v>
      </c>
      <c r="CU30">
        <f t="shared" si="46"/>
        <v>0</v>
      </c>
      <c r="CV30">
        <f t="shared" si="47"/>
        <v>0</v>
      </c>
      <c r="CW30">
        <f t="shared" si="48"/>
        <v>0</v>
      </c>
      <c r="CX30">
        <f t="shared" si="49"/>
        <v>0</v>
      </c>
      <c r="CY30">
        <f t="shared" si="50"/>
        <v>0</v>
      </c>
      <c r="CZ30">
        <f t="shared" si="51"/>
        <v>0</v>
      </c>
      <c r="DC30" t="s">
        <v>3</v>
      </c>
      <c r="DD30" t="s">
        <v>3</v>
      </c>
      <c r="DE30" t="s">
        <v>3</v>
      </c>
      <c r="DF30" t="s">
        <v>3</v>
      </c>
      <c r="DG30" t="s">
        <v>3</v>
      </c>
      <c r="DH30" t="s">
        <v>3</v>
      </c>
      <c r="DI30" t="s">
        <v>3</v>
      </c>
      <c r="DJ30" t="s">
        <v>3</v>
      </c>
      <c r="DK30" t="s">
        <v>3</v>
      </c>
      <c r="DL30" t="s">
        <v>3</v>
      </c>
      <c r="DM30" t="s">
        <v>3</v>
      </c>
      <c r="DN30">
        <v>0</v>
      </c>
      <c r="DO30">
        <v>0</v>
      </c>
      <c r="DP30">
        <v>1</v>
      </c>
      <c r="DQ30">
        <v>1</v>
      </c>
      <c r="DU30">
        <v>1007</v>
      </c>
      <c r="DV30" t="s">
        <v>30</v>
      </c>
      <c r="DW30" t="s">
        <v>30</v>
      </c>
      <c r="DX30">
        <v>1</v>
      </c>
      <c r="DZ30" t="s">
        <v>3</v>
      </c>
      <c r="EA30" t="s">
        <v>3</v>
      </c>
      <c r="EB30" t="s">
        <v>3</v>
      </c>
      <c r="EC30" t="s">
        <v>3</v>
      </c>
      <c r="EE30">
        <v>38720082</v>
      </c>
      <c r="EF30">
        <v>1</v>
      </c>
      <c r="EG30" t="s">
        <v>19</v>
      </c>
      <c r="EH30">
        <v>0</v>
      </c>
      <c r="EI30" t="s">
        <v>3</v>
      </c>
      <c r="EJ30">
        <v>4</v>
      </c>
      <c r="EK30">
        <v>0</v>
      </c>
      <c r="EL30" t="s">
        <v>20</v>
      </c>
      <c r="EM30" t="s">
        <v>21</v>
      </c>
      <c r="EO30" t="s">
        <v>3</v>
      </c>
      <c r="EQ30">
        <v>0</v>
      </c>
      <c r="ER30">
        <v>753.67</v>
      </c>
      <c r="ES30">
        <v>753.67</v>
      </c>
      <c r="ET30">
        <v>0</v>
      </c>
      <c r="EU30">
        <v>0</v>
      </c>
      <c r="EV30">
        <v>0</v>
      </c>
      <c r="EW30">
        <v>0</v>
      </c>
      <c r="EX30">
        <v>0</v>
      </c>
      <c r="FQ30">
        <v>0</v>
      </c>
      <c r="FR30">
        <f t="shared" si="52"/>
        <v>0</v>
      </c>
      <c r="FS30">
        <v>0</v>
      </c>
      <c r="FX30">
        <v>70</v>
      </c>
      <c r="FY30">
        <v>10</v>
      </c>
      <c r="GA30" t="s">
        <v>3</v>
      </c>
      <c r="GD30">
        <v>0</v>
      </c>
      <c r="GF30">
        <v>-554178821</v>
      </c>
      <c r="GG30">
        <v>2</v>
      </c>
      <c r="GH30">
        <v>1</v>
      </c>
      <c r="GI30">
        <v>-2</v>
      </c>
      <c r="GJ30">
        <v>0</v>
      </c>
      <c r="GK30">
        <f>ROUND(R30*(R12)/100,2)</f>
        <v>0</v>
      </c>
      <c r="GL30">
        <f t="shared" si="53"/>
        <v>0</v>
      </c>
      <c r="GM30">
        <f t="shared" si="54"/>
        <v>3532.83</v>
      </c>
      <c r="GN30">
        <f t="shared" si="55"/>
        <v>0</v>
      </c>
      <c r="GO30">
        <f t="shared" si="56"/>
        <v>0</v>
      </c>
      <c r="GP30">
        <f t="shared" si="57"/>
        <v>3532.83</v>
      </c>
      <c r="GR30">
        <v>0</v>
      </c>
      <c r="GS30">
        <v>3</v>
      </c>
      <c r="GT30">
        <v>0</v>
      </c>
      <c r="GU30" t="s">
        <v>3</v>
      </c>
      <c r="GV30">
        <f t="shared" si="58"/>
        <v>0</v>
      </c>
      <c r="GW30">
        <v>1</v>
      </c>
      <c r="GX30">
        <f t="shared" si="59"/>
        <v>0</v>
      </c>
      <c r="HA30">
        <v>0</v>
      </c>
      <c r="HB30">
        <v>0</v>
      </c>
      <c r="HC30">
        <f t="shared" si="60"/>
        <v>0</v>
      </c>
      <c r="HE30" t="s">
        <v>3</v>
      </c>
      <c r="HF30" t="s">
        <v>3</v>
      </c>
      <c r="IK30">
        <v>0</v>
      </c>
    </row>
    <row r="31" spans="1:245" x14ac:dyDescent="0.2">
      <c r="A31">
        <v>17</v>
      </c>
      <c r="B31">
        <v>1</v>
      </c>
      <c r="C31">
        <f>ROW(SmtRes!A5)</f>
        <v>5</v>
      </c>
      <c r="D31">
        <f>ROW(EtalonRes!A6)</f>
        <v>6</v>
      </c>
      <c r="E31" t="s">
        <v>32</v>
      </c>
      <c r="F31" t="s">
        <v>33</v>
      </c>
      <c r="G31" t="s">
        <v>34</v>
      </c>
      <c r="H31" t="s">
        <v>25</v>
      </c>
      <c r="I31">
        <f>ROUND(40/10,9)</f>
        <v>4</v>
      </c>
      <c r="J31">
        <v>0</v>
      </c>
      <c r="O31">
        <f t="shared" si="21"/>
        <v>3433.36</v>
      </c>
      <c r="P31">
        <f t="shared" si="22"/>
        <v>88.84</v>
      </c>
      <c r="Q31">
        <f t="shared" si="23"/>
        <v>0</v>
      </c>
      <c r="R31">
        <f t="shared" si="24"/>
        <v>0</v>
      </c>
      <c r="S31">
        <f t="shared" si="25"/>
        <v>3344.52</v>
      </c>
      <c r="T31">
        <f t="shared" si="26"/>
        <v>0</v>
      </c>
      <c r="U31">
        <f t="shared" si="27"/>
        <v>15.92</v>
      </c>
      <c r="V31">
        <f t="shared" si="28"/>
        <v>0</v>
      </c>
      <c r="W31">
        <f t="shared" si="29"/>
        <v>0</v>
      </c>
      <c r="X31">
        <f t="shared" si="30"/>
        <v>2341.16</v>
      </c>
      <c r="Y31">
        <f t="shared" si="31"/>
        <v>334.45</v>
      </c>
      <c r="AA31">
        <v>38449393</v>
      </c>
      <c r="AB31">
        <f t="shared" si="32"/>
        <v>858.34</v>
      </c>
      <c r="AC31">
        <f t="shared" si="33"/>
        <v>22.21</v>
      </c>
      <c r="AD31">
        <f t="shared" si="34"/>
        <v>0</v>
      </c>
      <c r="AE31">
        <f t="shared" si="35"/>
        <v>0</v>
      </c>
      <c r="AF31">
        <f t="shared" si="36"/>
        <v>836.13</v>
      </c>
      <c r="AG31">
        <f t="shared" si="37"/>
        <v>0</v>
      </c>
      <c r="AH31">
        <f t="shared" si="38"/>
        <v>3.98</v>
      </c>
      <c r="AI31">
        <f t="shared" si="39"/>
        <v>0</v>
      </c>
      <c r="AJ31">
        <f t="shared" si="40"/>
        <v>0</v>
      </c>
      <c r="AK31">
        <v>858.34</v>
      </c>
      <c r="AL31">
        <v>22.21</v>
      </c>
      <c r="AM31">
        <v>0</v>
      </c>
      <c r="AN31">
        <v>0</v>
      </c>
      <c r="AO31">
        <v>836.13</v>
      </c>
      <c r="AP31">
        <v>0</v>
      </c>
      <c r="AQ31">
        <v>3.98</v>
      </c>
      <c r="AR31">
        <v>0</v>
      </c>
      <c r="AS31">
        <v>0</v>
      </c>
      <c r="AT31">
        <v>70</v>
      </c>
      <c r="AU31">
        <v>10</v>
      </c>
      <c r="AV31">
        <v>1</v>
      </c>
      <c r="AW31">
        <v>1</v>
      </c>
      <c r="AZ31">
        <v>1</v>
      </c>
      <c r="BA31">
        <v>1</v>
      </c>
      <c r="BB31">
        <v>1</v>
      </c>
      <c r="BC31">
        <v>1</v>
      </c>
      <c r="BD31" t="s">
        <v>3</v>
      </c>
      <c r="BE31" t="s">
        <v>3</v>
      </c>
      <c r="BF31" t="s">
        <v>3</v>
      </c>
      <c r="BG31" t="s">
        <v>3</v>
      </c>
      <c r="BH31">
        <v>0</v>
      </c>
      <c r="BI31">
        <v>4</v>
      </c>
      <c r="BJ31" t="s">
        <v>35</v>
      </c>
      <c r="BM31">
        <v>0</v>
      </c>
      <c r="BN31">
        <v>0</v>
      </c>
      <c r="BO31" t="s">
        <v>3</v>
      </c>
      <c r="BP31">
        <v>0</v>
      </c>
      <c r="BQ31">
        <v>1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 t="s">
        <v>3</v>
      </c>
      <c r="BZ31">
        <v>70</v>
      </c>
      <c r="CA31">
        <v>10</v>
      </c>
      <c r="CE31">
        <v>0</v>
      </c>
      <c r="CF31">
        <v>0</v>
      </c>
      <c r="CG31">
        <v>0</v>
      </c>
      <c r="CM31">
        <v>0</v>
      </c>
      <c r="CN31" t="s">
        <v>3</v>
      </c>
      <c r="CO31">
        <v>0</v>
      </c>
      <c r="CP31">
        <f t="shared" si="41"/>
        <v>3433.36</v>
      </c>
      <c r="CQ31">
        <f t="shared" si="42"/>
        <v>22.21</v>
      </c>
      <c r="CR31">
        <f t="shared" si="43"/>
        <v>0</v>
      </c>
      <c r="CS31">
        <f t="shared" si="44"/>
        <v>0</v>
      </c>
      <c r="CT31">
        <f t="shared" si="45"/>
        <v>836.13</v>
      </c>
      <c r="CU31">
        <f t="shared" si="46"/>
        <v>0</v>
      </c>
      <c r="CV31">
        <f t="shared" si="47"/>
        <v>3.98</v>
      </c>
      <c r="CW31">
        <f t="shared" si="48"/>
        <v>0</v>
      </c>
      <c r="CX31">
        <f t="shared" si="49"/>
        <v>0</v>
      </c>
      <c r="CY31">
        <f t="shared" si="50"/>
        <v>2341.1639999999998</v>
      </c>
      <c r="CZ31">
        <f t="shared" si="51"/>
        <v>334.452</v>
      </c>
      <c r="DC31" t="s">
        <v>3</v>
      </c>
      <c r="DD31" t="s">
        <v>3</v>
      </c>
      <c r="DE31" t="s">
        <v>3</v>
      </c>
      <c r="DF31" t="s">
        <v>3</v>
      </c>
      <c r="DG31" t="s">
        <v>3</v>
      </c>
      <c r="DH31" t="s">
        <v>3</v>
      </c>
      <c r="DI31" t="s">
        <v>3</v>
      </c>
      <c r="DJ31" t="s">
        <v>3</v>
      </c>
      <c r="DK31" t="s">
        <v>3</v>
      </c>
      <c r="DL31" t="s">
        <v>3</v>
      </c>
      <c r="DM31" t="s">
        <v>3</v>
      </c>
      <c r="DN31">
        <v>0</v>
      </c>
      <c r="DO31">
        <v>0</v>
      </c>
      <c r="DP31">
        <v>1</v>
      </c>
      <c r="DQ31">
        <v>1</v>
      </c>
      <c r="DU31">
        <v>1003</v>
      </c>
      <c r="DV31" t="s">
        <v>25</v>
      </c>
      <c r="DW31" t="s">
        <v>25</v>
      </c>
      <c r="DX31">
        <v>10</v>
      </c>
      <c r="DZ31" t="s">
        <v>3</v>
      </c>
      <c r="EA31" t="s">
        <v>3</v>
      </c>
      <c r="EB31" t="s">
        <v>3</v>
      </c>
      <c r="EC31" t="s">
        <v>3</v>
      </c>
      <c r="EE31">
        <v>38720082</v>
      </c>
      <c r="EF31">
        <v>1</v>
      </c>
      <c r="EG31" t="s">
        <v>19</v>
      </c>
      <c r="EH31">
        <v>0</v>
      </c>
      <c r="EI31" t="s">
        <v>3</v>
      </c>
      <c r="EJ31">
        <v>4</v>
      </c>
      <c r="EK31">
        <v>0</v>
      </c>
      <c r="EL31" t="s">
        <v>20</v>
      </c>
      <c r="EM31" t="s">
        <v>21</v>
      </c>
      <c r="EO31" t="s">
        <v>3</v>
      </c>
      <c r="EQ31">
        <v>0</v>
      </c>
      <c r="ER31">
        <v>858.34</v>
      </c>
      <c r="ES31">
        <v>22.21</v>
      </c>
      <c r="ET31">
        <v>0</v>
      </c>
      <c r="EU31">
        <v>0</v>
      </c>
      <c r="EV31">
        <v>836.13</v>
      </c>
      <c r="EW31">
        <v>3.98</v>
      </c>
      <c r="EX31">
        <v>0</v>
      </c>
      <c r="EY31">
        <v>0</v>
      </c>
      <c r="FQ31">
        <v>0</v>
      </c>
      <c r="FR31">
        <f t="shared" si="52"/>
        <v>0</v>
      </c>
      <c r="FS31">
        <v>0</v>
      </c>
      <c r="FX31">
        <v>70</v>
      </c>
      <c r="FY31">
        <v>10</v>
      </c>
      <c r="GA31" t="s">
        <v>3</v>
      </c>
      <c r="GD31">
        <v>0</v>
      </c>
      <c r="GF31">
        <v>-1995604090</v>
      </c>
      <c r="GG31">
        <v>2</v>
      </c>
      <c r="GH31">
        <v>1</v>
      </c>
      <c r="GI31">
        <v>-2</v>
      </c>
      <c r="GJ31">
        <v>0</v>
      </c>
      <c r="GK31">
        <f>ROUND(R31*(R12)/100,2)</f>
        <v>0</v>
      </c>
      <c r="GL31">
        <f t="shared" si="53"/>
        <v>0</v>
      </c>
      <c r="GM31">
        <f t="shared" si="54"/>
        <v>6108.97</v>
      </c>
      <c r="GN31">
        <f t="shared" si="55"/>
        <v>0</v>
      </c>
      <c r="GO31">
        <f t="shared" si="56"/>
        <v>0</v>
      </c>
      <c r="GP31">
        <f t="shared" si="57"/>
        <v>6108.97</v>
      </c>
      <c r="GR31">
        <v>0</v>
      </c>
      <c r="GS31">
        <v>3</v>
      </c>
      <c r="GT31">
        <v>0</v>
      </c>
      <c r="GU31" t="s">
        <v>3</v>
      </c>
      <c r="GV31">
        <f t="shared" si="58"/>
        <v>0</v>
      </c>
      <c r="GW31">
        <v>1</v>
      </c>
      <c r="GX31">
        <f t="shared" si="59"/>
        <v>0</v>
      </c>
      <c r="HA31">
        <v>0</v>
      </c>
      <c r="HB31">
        <v>0</v>
      </c>
      <c r="HC31">
        <f t="shared" si="60"/>
        <v>0</v>
      </c>
      <c r="HE31" t="s">
        <v>3</v>
      </c>
      <c r="HF31" t="s">
        <v>3</v>
      </c>
      <c r="IK31">
        <v>0</v>
      </c>
    </row>
    <row r="32" spans="1:245" x14ac:dyDescent="0.2">
      <c r="A32">
        <v>17</v>
      </c>
      <c r="B32">
        <v>1</v>
      </c>
      <c r="C32">
        <f>ROW(SmtRes!A8)</f>
        <v>8</v>
      </c>
      <c r="D32">
        <f>ROW(EtalonRes!A9)</f>
        <v>9</v>
      </c>
      <c r="E32" t="s">
        <v>36</v>
      </c>
      <c r="F32" t="s">
        <v>33</v>
      </c>
      <c r="G32" t="s">
        <v>37</v>
      </c>
      <c r="H32" t="s">
        <v>25</v>
      </c>
      <c r="I32">
        <f>ROUND(35/10,9)</f>
        <v>3.5</v>
      </c>
      <c r="J32">
        <v>0</v>
      </c>
      <c r="O32">
        <f t="shared" si="21"/>
        <v>3004.2</v>
      </c>
      <c r="P32">
        <f t="shared" si="22"/>
        <v>77.739999999999995</v>
      </c>
      <c r="Q32">
        <f t="shared" si="23"/>
        <v>0</v>
      </c>
      <c r="R32">
        <f t="shared" si="24"/>
        <v>0</v>
      </c>
      <c r="S32">
        <f t="shared" si="25"/>
        <v>2926.46</v>
      </c>
      <c r="T32">
        <f t="shared" si="26"/>
        <v>0</v>
      </c>
      <c r="U32">
        <f t="shared" si="27"/>
        <v>13.93</v>
      </c>
      <c r="V32">
        <f t="shared" si="28"/>
        <v>0</v>
      </c>
      <c r="W32">
        <f t="shared" si="29"/>
        <v>0</v>
      </c>
      <c r="X32">
        <f t="shared" si="30"/>
        <v>2048.52</v>
      </c>
      <c r="Y32">
        <f t="shared" si="31"/>
        <v>292.64999999999998</v>
      </c>
      <c r="AA32">
        <v>38449393</v>
      </c>
      <c r="AB32">
        <f t="shared" si="32"/>
        <v>858.34</v>
      </c>
      <c r="AC32">
        <f t="shared" si="33"/>
        <v>22.21</v>
      </c>
      <c r="AD32">
        <f t="shared" si="34"/>
        <v>0</v>
      </c>
      <c r="AE32">
        <f t="shared" si="35"/>
        <v>0</v>
      </c>
      <c r="AF32">
        <f t="shared" si="36"/>
        <v>836.13</v>
      </c>
      <c r="AG32">
        <f t="shared" si="37"/>
        <v>0</v>
      </c>
      <c r="AH32">
        <f t="shared" si="38"/>
        <v>3.98</v>
      </c>
      <c r="AI32">
        <f t="shared" si="39"/>
        <v>0</v>
      </c>
      <c r="AJ32">
        <f t="shared" si="40"/>
        <v>0</v>
      </c>
      <c r="AK32">
        <v>858.34</v>
      </c>
      <c r="AL32">
        <v>22.21</v>
      </c>
      <c r="AM32">
        <v>0</v>
      </c>
      <c r="AN32">
        <v>0</v>
      </c>
      <c r="AO32">
        <v>836.13</v>
      </c>
      <c r="AP32">
        <v>0</v>
      </c>
      <c r="AQ32">
        <v>3.98</v>
      </c>
      <c r="AR32">
        <v>0</v>
      </c>
      <c r="AS32">
        <v>0</v>
      </c>
      <c r="AT32">
        <v>70</v>
      </c>
      <c r="AU32">
        <v>10</v>
      </c>
      <c r="AV32">
        <v>1</v>
      </c>
      <c r="AW32">
        <v>1</v>
      </c>
      <c r="AZ32">
        <v>1</v>
      </c>
      <c r="BA32">
        <v>1</v>
      </c>
      <c r="BB32">
        <v>1</v>
      </c>
      <c r="BC32">
        <v>1</v>
      </c>
      <c r="BD32" t="s">
        <v>3</v>
      </c>
      <c r="BE32" t="s">
        <v>3</v>
      </c>
      <c r="BF32" t="s">
        <v>3</v>
      </c>
      <c r="BG32" t="s">
        <v>3</v>
      </c>
      <c r="BH32">
        <v>0</v>
      </c>
      <c r="BI32">
        <v>4</v>
      </c>
      <c r="BJ32" t="s">
        <v>35</v>
      </c>
      <c r="BM32">
        <v>0</v>
      </c>
      <c r="BN32">
        <v>0</v>
      </c>
      <c r="BO32" t="s">
        <v>3</v>
      </c>
      <c r="BP32">
        <v>0</v>
      </c>
      <c r="BQ32">
        <v>1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 t="s">
        <v>3</v>
      </c>
      <c r="BZ32">
        <v>70</v>
      </c>
      <c r="CA32">
        <v>10</v>
      </c>
      <c r="CE32">
        <v>0</v>
      </c>
      <c r="CF32">
        <v>0</v>
      </c>
      <c r="CG32">
        <v>0</v>
      </c>
      <c r="CM32">
        <v>0</v>
      </c>
      <c r="CN32" t="s">
        <v>3</v>
      </c>
      <c r="CO32">
        <v>0</v>
      </c>
      <c r="CP32">
        <f t="shared" si="41"/>
        <v>3004.2</v>
      </c>
      <c r="CQ32">
        <f t="shared" si="42"/>
        <v>22.21</v>
      </c>
      <c r="CR32">
        <f t="shared" si="43"/>
        <v>0</v>
      </c>
      <c r="CS32">
        <f t="shared" si="44"/>
        <v>0</v>
      </c>
      <c r="CT32">
        <f t="shared" si="45"/>
        <v>836.13</v>
      </c>
      <c r="CU32">
        <f t="shared" si="46"/>
        <v>0</v>
      </c>
      <c r="CV32">
        <f t="shared" si="47"/>
        <v>3.98</v>
      </c>
      <c r="CW32">
        <f t="shared" si="48"/>
        <v>0</v>
      </c>
      <c r="CX32">
        <f t="shared" si="49"/>
        <v>0</v>
      </c>
      <c r="CY32">
        <f t="shared" si="50"/>
        <v>2048.5219999999999</v>
      </c>
      <c r="CZ32">
        <f t="shared" si="51"/>
        <v>292.64599999999996</v>
      </c>
      <c r="DC32" t="s">
        <v>3</v>
      </c>
      <c r="DD32" t="s">
        <v>3</v>
      </c>
      <c r="DE32" t="s">
        <v>3</v>
      </c>
      <c r="DF32" t="s">
        <v>3</v>
      </c>
      <c r="DG32" t="s">
        <v>3</v>
      </c>
      <c r="DH32" t="s">
        <v>3</v>
      </c>
      <c r="DI32" t="s">
        <v>3</v>
      </c>
      <c r="DJ32" t="s">
        <v>3</v>
      </c>
      <c r="DK32" t="s">
        <v>3</v>
      </c>
      <c r="DL32" t="s">
        <v>3</v>
      </c>
      <c r="DM32" t="s">
        <v>3</v>
      </c>
      <c r="DN32">
        <v>0</v>
      </c>
      <c r="DO32">
        <v>0</v>
      </c>
      <c r="DP32">
        <v>1</v>
      </c>
      <c r="DQ32">
        <v>1</v>
      </c>
      <c r="DU32">
        <v>1003</v>
      </c>
      <c r="DV32" t="s">
        <v>25</v>
      </c>
      <c r="DW32" t="s">
        <v>25</v>
      </c>
      <c r="DX32">
        <v>10</v>
      </c>
      <c r="DZ32" t="s">
        <v>3</v>
      </c>
      <c r="EA32" t="s">
        <v>3</v>
      </c>
      <c r="EB32" t="s">
        <v>3</v>
      </c>
      <c r="EC32" t="s">
        <v>3</v>
      </c>
      <c r="EE32">
        <v>38720082</v>
      </c>
      <c r="EF32">
        <v>1</v>
      </c>
      <c r="EG32" t="s">
        <v>19</v>
      </c>
      <c r="EH32">
        <v>0</v>
      </c>
      <c r="EI32" t="s">
        <v>3</v>
      </c>
      <c r="EJ32">
        <v>4</v>
      </c>
      <c r="EK32">
        <v>0</v>
      </c>
      <c r="EL32" t="s">
        <v>20</v>
      </c>
      <c r="EM32" t="s">
        <v>21</v>
      </c>
      <c r="EO32" t="s">
        <v>3</v>
      </c>
      <c r="EQ32">
        <v>0</v>
      </c>
      <c r="ER32">
        <v>858.34</v>
      </c>
      <c r="ES32">
        <v>22.21</v>
      </c>
      <c r="ET32">
        <v>0</v>
      </c>
      <c r="EU32">
        <v>0</v>
      </c>
      <c r="EV32">
        <v>836.13</v>
      </c>
      <c r="EW32">
        <v>3.98</v>
      </c>
      <c r="EX32">
        <v>0</v>
      </c>
      <c r="EY32">
        <v>0</v>
      </c>
      <c r="FQ32">
        <v>0</v>
      </c>
      <c r="FR32">
        <f t="shared" si="52"/>
        <v>0</v>
      </c>
      <c r="FS32">
        <v>0</v>
      </c>
      <c r="FX32">
        <v>70</v>
      </c>
      <c r="FY32">
        <v>10</v>
      </c>
      <c r="GA32" t="s">
        <v>3</v>
      </c>
      <c r="GD32">
        <v>0</v>
      </c>
      <c r="GF32">
        <v>715592721</v>
      </c>
      <c r="GG32">
        <v>2</v>
      </c>
      <c r="GH32">
        <v>1</v>
      </c>
      <c r="GI32">
        <v>-2</v>
      </c>
      <c r="GJ32">
        <v>0</v>
      </c>
      <c r="GK32">
        <f>ROUND(R32*(R12)/100,2)</f>
        <v>0</v>
      </c>
      <c r="GL32">
        <f t="shared" si="53"/>
        <v>0</v>
      </c>
      <c r="GM32">
        <f t="shared" si="54"/>
        <v>5345.37</v>
      </c>
      <c r="GN32">
        <f t="shared" si="55"/>
        <v>0</v>
      </c>
      <c r="GO32">
        <f t="shared" si="56"/>
        <v>0</v>
      </c>
      <c r="GP32">
        <f t="shared" si="57"/>
        <v>5345.37</v>
      </c>
      <c r="GR32">
        <v>0</v>
      </c>
      <c r="GS32">
        <v>3</v>
      </c>
      <c r="GT32">
        <v>0</v>
      </c>
      <c r="GU32" t="s">
        <v>3</v>
      </c>
      <c r="GV32">
        <f t="shared" si="58"/>
        <v>0</v>
      </c>
      <c r="GW32">
        <v>1</v>
      </c>
      <c r="GX32">
        <f t="shared" si="59"/>
        <v>0</v>
      </c>
      <c r="HA32">
        <v>0</v>
      </c>
      <c r="HB32">
        <v>0</v>
      </c>
      <c r="HC32">
        <f t="shared" si="60"/>
        <v>0</v>
      </c>
      <c r="HE32" t="s">
        <v>3</v>
      </c>
      <c r="HF32" t="s">
        <v>3</v>
      </c>
      <c r="IK32">
        <v>0</v>
      </c>
    </row>
    <row r="33" spans="1:245" x14ac:dyDescent="0.2">
      <c r="A33">
        <v>18</v>
      </c>
      <c r="B33">
        <v>1</v>
      </c>
      <c r="C33">
        <v>8</v>
      </c>
      <c r="E33" t="s">
        <v>38</v>
      </c>
      <c r="F33" t="s">
        <v>39</v>
      </c>
      <c r="G33" t="s">
        <v>40</v>
      </c>
      <c r="H33" t="s">
        <v>41</v>
      </c>
      <c r="I33">
        <f>I32*J33</f>
        <v>300</v>
      </c>
      <c r="J33">
        <v>85.714285714285708</v>
      </c>
      <c r="O33">
        <f t="shared" si="21"/>
        <v>172290</v>
      </c>
      <c r="P33">
        <f t="shared" si="22"/>
        <v>172290</v>
      </c>
      <c r="Q33">
        <f t="shared" si="23"/>
        <v>0</v>
      </c>
      <c r="R33">
        <f t="shared" si="24"/>
        <v>0</v>
      </c>
      <c r="S33">
        <f t="shared" si="25"/>
        <v>0</v>
      </c>
      <c r="T33">
        <f t="shared" si="26"/>
        <v>0</v>
      </c>
      <c r="U33">
        <f t="shared" si="27"/>
        <v>0</v>
      </c>
      <c r="V33">
        <f t="shared" si="28"/>
        <v>0</v>
      </c>
      <c r="W33">
        <f t="shared" si="29"/>
        <v>0</v>
      </c>
      <c r="X33">
        <f t="shared" si="30"/>
        <v>0</v>
      </c>
      <c r="Y33">
        <f t="shared" si="31"/>
        <v>0</v>
      </c>
      <c r="AA33">
        <v>38449393</v>
      </c>
      <c r="AB33">
        <f t="shared" si="32"/>
        <v>574.29999999999995</v>
      </c>
      <c r="AC33">
        <f t="shared" si="33"/>
        <v>574.29999999999995</v>
      </c>
      <c r="AD33">
        <f t="shared" si="34"/>
        <v>0</v>
      </c>
      <c r="AE33">
        <f t="shared" si="35"/>
        <v>0</v>
      </c>
      <c r="AF33">
        <f t="shared" si="36"/>
        <v>0</v>
      </c>
      <c r="AG33">
        <f t="shared" si="37"/>
        <v>0</v>
      </c>
      <c r="AH33">
        <f t="shared" si="38"/>
        <v>0</v>
      </c>
      <c r="AI33">
        <f t="shared" si="39"/>
        <v>0</v>
      </c>
      <c r="AJ33">
        <f t="shared" si="40"/>
        <v>0</v>
      </c>
      <c r="AK33">
        <v>574.29999999999995</v>
      </c>
      <c r="AL33">
        <v>574.29999999999995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70</v>
      </c>
      <c r="AU33">
        <v>10</v>
      </c>
      <c r="AV33">
        <v>1</v>
      </c>
      <c r="AW33">
        <v>1</v>
      </c>
      <c r="AZ33">
        <v>1</v>
      </c>
      <c r="BA33">
        <v>1</v>
      </c>
      <c r="BB33">
        <v>1</v>
      </c>
      <c r="BC33">
        <v>1</v>
      </c>
      <c r="BD33" t="s">
        <v>3</v>
      </c>
      <c r="BE33" t="s">
        <v>3</v>
      </c>
      <c r="BF33" t="s">
        <v>3</v>
      </c>
      <c r="BG33" t="s">
        <v>3</v>
      </c>
      <c r="BH33">
        <v>3</v>
      </c>
      <c r="BI33">
        <v>4</v>
      </c>
      <c r="BJ33" t="s">
        <v>42</v>
      </c>
      <c r="BM33">
        <v>0</v>
      </c>
      <c r="BN33">
        <v>0</v>
      </c>
      <c r="BO33" t="s">
        <v>3</v>
      </c>
      <c r="BP33">
        <v>0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3</v>
      </c>
      <c r="BZ33">
        <v>70</v>
      </c>
      <c r="CA33">
        <v>10</v>
      </c>
      <c r="CE33">
        <v>0</v>
      </c>
      <c r="CF33">
        <v>0</v>
      </c>
      <c r="CG33">
        <v>0</v>
      </c>
      <c r="CM33">
        <v>0</v>
      </c>
      <c r="CN33" t="s">
        <v>3</v>
      </c>
      <c r="CO33">
        <v>0</v>
      </c>
      <c r="CP33">
        <f t="shared" si="41"/>
        <v>172290</v>
      </c>
      <c r="CQ33">
        <f t="shared" si="42"/>
        <v>574.29999999999995</v>
      </c>
      <c r="CR33">
        <f t="shared" si="43"/>
        <v>0</v>
      </c>
      <c r="CS33">
        <f t="shared" si="44"/>
        <v>0</v>
      </c>
      <c r="CT33">
        <f t="shared" si="45"/>
        <v>0</v>
      </c>
      <c r="CU33">
        <f t="shared" si="46"/>
        <v>0</v>
      </c>
      <c r="CV33">
        <f t="shared" si="47"/>
        <v>0</v>
      </c>
      <c r="CW33">
        <f t="shared" si="48"/>
        <v>0</v>
      </c>
      <c r="CX33">
        <f t="shared" si="49"/>
        <v>0</v>
      </c>
      <c r="CY33">
        <f t="shared" si="50"/>
        <v>0</v>
      </c>
      <c r="CZ33">
        <f t="shared" si="51"/>
        <v>0</v>
      </c>
      <c r="DC33" t="s">
        <v>3</v>
      </c>
      <c r="DD33" t="s">
        <v>3</v>
      </c>
      <c r="DE33" t="s">
        <v>3</v>
      </c>
      <c r="DF33" t="s">
        <v>3</v>
      </c>
      <c r="DG33" t="s">
        <v>3</v>
      </c>
      <c r="DH33" t="s">
        <v>3</v>
      </c>
      <c r="DI33" t="s">
        <v>3</v>
      </c>
      <c r="DJ33" t="s">
        <v>3</v>
      </c>
      <c r="DK33" t="s">
        <v>3</v>
      </c>
      <c r="DL33" t="s">
        <v>3</v>
      </c>
      <c r="DM33" t="s">
        <v>3</v>
      </c>
      <c r="DN33">
        <v>0</v>
      </c>
      <c r="DO33">
        <v>0</v>
      </c>
      <c r="DP33">
        <v>1</v>
      </c>
      <c r="DQ33">
        <v>1</v>
      </c>
      <c r="DU33">
        <v>1010</v>
      </c>
      <c r="DV33" t="s">
        <v>41</v>
      </c>
      <c r="DW33" t="s">
        <v>41</v>
      </c>
      <c r="DX33">
        <v>1</v>
      </c>
      <c r="DZ33" t="s">
        <v>3</v>
      </c>
      <c r="EA33" t="s">
        <v>3</v>
      </c>
      <c r="EB33" t="s">
        <v>3</v>
      </c>
      <c r="EC33" t="s">
        <v>3</v>
      </c>
      <c r="EE33">
        <v>38720082</v>
      </c>
      <c r="EF33">
        <v>1</v>
      </c>
      <c r="EG33" t="s">
        <v>19</v>
      </c>
      <c r="EH33">
        <v>0</v>
      </c>
      <c r="EI33" t="s">
        <v>3</v>
      </c>
      <c r="EJ33">
        <v>4</v>
      </c>
      <c r="EK33">
        <v>0</v>
      </c>
      <c r="EL33" t="s">
        <v>20</v>
      </c>
      <c r="EM33" t="s">
        <v>21</v>
      </c>
      <c r="EO33" t="s">
        <v>3</v>
      </c>
      <c r="EQ33">
        <v>0</v>
      </c>
      <c r="ER33">
        <v>574.29999999999995</v>
      </c>
      <c r="ES33">
        <v>574.29999999999995</v>
      </c>
      <c r="ET33">
        <v>0</v>
      </c>
      <c r="EU33">
        <v>0</v>
      </c>
      <c r="EV33">
        <v>0</v>
      </c>
      <c r="EW33">
        <v>0</v>
      </c>
      <c r="EX33">
        <v>0</v>
      </c>
      <c r="FQ33">
        <v>0</v>
      </c>
      <c r="FR33">
        <f t="shared" si="52"/>
        <v>0</v>
      </c>
      <c r="FS33">
        <v>0</v>
      </c>
      <c r="FX33">
        <v>70</v>
      </c>
      <c r="FY33">
        <v>10</v>
      </c>
      <c r="GA33" t="s">
        <v>3</v>
      </c>
      <c r="GD33">
        <v>0</v>
      </c>
      <c r="GF33">
        <v>1818752917</v>
      </c>
      <c r="GG33">
        <v>2</v>
      </c>
      <c r="GH33">
        <v>1</v>
      </c>
      <c r="GI33">
        <v>-2</v>
      </c>
      <c r="GJ33">
        <v>0</v>
      </c>
      <c r="GK33">
        <f>ROUND(R33*(R12)/100,2)</f>
        <v>0</v>
      </c>
      <c r="GL33">
        <f t="shared" si="53"/>
        <v>0</v>
      </c>
      <c r="GM33">
        <f t="shared" si="54"/>
        <v>172290</v>
      </c>
      <c r="GN33">
        <f t="shared" si="55"/>
        <v>0</v>
      </c>
      <c r="GO33">
        <f t="shared" si="56"/>
        <v>0</v>
      </c>
      <c r="GP33">
        <f t="shared" si="57"/>
        <v>172290</v>
      </c>
      <c r="GR33">
        <v>0</v>
      </c>
      <c r="GS33">
        <v>3</v>
      </c>
      <c r="GT33">
        <v>0</v>
      </c>
      <c r="GU33" t="s">
        <v>3</v>
      </c>
      <c r="GV33">
        <f t="shared" si="58"/>
        <v>0</v>
      </c>
      <c r="GW33">
        <v>1</v>
      </c>
      <c r="GX33">
        <f t="shared" si="59"/>
        <v>0</v>
      </c>
      <c r="HA33">
        <v>0</v>
      </c>
      <c r="HB33">
        <v>0</v>
      </c>
      <c r="HC33">
        <f t="shared" si="60"/>
        <v>0</v>
      </c>
      <c r="HE33" t="s">
        <v>3</v>
      </c>
      <c r="HF33" t="s">
        <v>3</v>
      </c>
      <c r="IK33">
        <v>0</v>
      </c>
    </row>
    <row r="34" spans="1:245" x14ac:dyDescent="0.2">
      <c r="A34">
        <v>17</v>
      </c>
      <c r="B34">
        <v>1</v>
      </c>
      <c r="C34">
        <f>ROW(SmtRes!A11)</f>
        <v>11</v>
      </c>
      <c r="D34">
        <f>ROW(EtalonRes!A12)</f>
        <v>12</v>
      </c>
      <c r="E34" t="s">
        <v>43</v>
      </c>
      <c r="F34" t="s">
        <v>44</v>
      </c>
      <c r="G34" t="s">
        <v>45</v>
      </c>
      <c r="H34" t="s">
        <v>46</v>
      </c>
      <c r="I34">
        <f>ROUND(8/10,9)</f>
        <v>0.8</v>
      </c>
      <c r="J34">
        <v>0</v>
      </c>
      <c r="O34">
        <f t="shared" si="21"/>
        <v>6177.27</v>
      </c>
      <c r="P34">
        <f t="shared" si="22"/>
        <v>3445.93</v>
      </c>
      <c r="Q34">
        <f t="shared" si="23"/>
        <v>0</v>
      </c>
      <c r="R34">
        <f t="shared" si="24"/>
        <v>0</v>
      </c>
      <c r="S34">
        <f t="shared" si="25"/>
        <v>2731.34</v>
      </c>
      <c r="T34">
        <f t="shared" si="26"/>
        <v>0</v>
      </c>
      <c r="U34">
        <f t="shared" si="27"/>
        <v>15.112000000000002</v>
      </c>
      <c r="V34">
        <f t="shared" si="28"/>
        <v>0</v>
      </c>
      <c r="W34">
        <f t="shared" si="29"/>
        <v>0</v>
      </c>
      <c r="X34">
        <f t="shared" si="30"/>
        <v>1911.94</v>
      </c>
      <c r="Y34">
        <f t="shared" si="31"/>
        <v>273.13</v>
      </c>
      <c r="AA34">
        <v>38449393</v>
      </c>
      <c r="AB34">
        <f t="shared" si="32"/>
        <v>7721.59</v>
      </c>
      <c r="AC34">
        <f t="shared" si="33"/>
        <v>4307.41</v>
      </c>
      <c r="AD34">
        <f t="shared" si="34"/>
        <v>0</v>
      </c>
      <c r="AE34">
        <f t="shared" si="35"/>
        <v>0</v>
      </c>
      <c r="AF34">
        <f t="shared" si="36"/>
        <v>3414.18</v>
      </c>
      <c r="AG34">
        <f t="shared" si="37"/>
        <v>0</v>
      </c>
      <c r="AH34">
        <f t="shared" si="38"/>
        <v>18.89</v>
      </c>
      <c r="AI34">
        <f t="shared" si="39"/>
        <v>0</v>
      </c>
      <c r="AJ34">
        <f t="shared" si="40"/>
        <v>0</v>
      </c>
      <c r="AK34">
        <v>7721.59</v>
      </c>
      <c r="AL34">
        <v>4307.41</v>
      </c>
      <c r="AM34">
        <v>0</v>
      </c>
      <c r="AN34">
        <v>0</v>
      </c>
      <c r="AO34">
        <v>3414.18</v>
      </c>
      <c r="AP34">
        <v>0</v>
      </c>
      <c r="AQ34">
        <v>18.89</v>
      </c>
      <c r="AR34">
        <v>0</v>
      </c>
      <c r="AS34">
        <v>0</v>
      </c>
      <c r="AT34">
        <v>70</v>
      </c>
      <c r="AU34">
        <v>10</v>
      </c>
      <c r="AV34">
        <v>1</v>
      </c>
      <c r="AW34">
        <v>1</v>
      </c>
      <c r="AZ34">
        <v>1</v>
      </c>
      <c r="BA34">
        <v>1</v>
      </c>
      <c r="BB34">
        <v>1</v>
      </c>
      <c r="BC34">
        <v>1</v>
      </c>
      <c r="BD34" t="s">
        <v>3</v>
      </c>
      <c r="BE34" t="s">
        <v>3</v>
      </c>
      <c r="BF34" t="s">
        <v>3</v>
      </c>
      <c r="BG34" t="s">
        <v>3</v>
      </c>
      <c r="BH34">
        <v>0</v>
      </c>
      <c r="BI34">
        <v>4</v>
      </c>
      <c r="BJ34" t="s">
        <v>47</v>
      </c>
      <c r="BM34">
        <v>0</v>
      </c>
      <c r="BN34">
        <v>0</v>
      </c>
      <c r="BO34" t="s">
        <v>3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 t="s">
        <v>3</v>
      </c>
      <c r="BZ34">
        <v>70</v>
      </c>
      <c r="CA34">
        <v>10</v>
      </c>
      <c r="CE34">
        <v>0</v>
      </c>
      <c r="CF34">
        <v>0</v>
      </c>
      <c r="CG34">
        <v>0</v>
      </c>
      <c r="CM34">
        <v>0</v>
      </c>
      <c r="CN34" t="s">
        <v>3</v>
      </c>
      <c r="CO34">
        <v>0</v>
      </c>
      <c r="CP34">
        <f t="shared" si="41"/>
        <v>6177.27</v>
      </c>
      <c r="CQ34">
        <f t="shared" si="42"/>
        <v>4307.41</v>
      </c>
      <c r="CR34">
        <f t="shared" si="43"/>
        <v>0</v>
      </c>
      <c r="CS34">
        <f t="shared" si="44"/>
        <v>0</v>
      </c>
      <c r="CT34">
        <f t="shared" si="45"/>
        <v>3414.18</v>
      </c>
      <c r="CU34">
        <f t="shared" si="46"/>
        <v>0</v>
      </c>
      <c r="CV34">
        <f t="shared" si="47"/>
        <v>18.89</v>
      </c>
      <c r="CW34">
        <f t="shared" si="48"/>
        <v>0</v>
      </c>
      <c r="CX34">
        <f t="shared" si="49"/>
        <v>0</v>
      </c>
      <c r="CY34">
        <f t="shared" si="50"/>
        <v>1911.9380000000001</v>
      </c>
      <c r="CZ34">
        <f t="shared" si="51"/>
        <v>273.13400000000001</v>
      </c>
      <c r="DC34" t="s">
        <v>3</v>
      </c>
      <c r="DD34" t="s">
        <v>3</v>
      </c>
      <c r="DE34" t="s">
        <v>3</v>
      </c>
      <c r="DF34" t="s">
        <v>3</v>
      </c>
      <c r="DG34" t="s">
        <v>3</v>
      </c>
      <c r="DH34" t="s">
        <v>3</v>
      </c>
      <c r="DI34" t="s">
        <v>3</v>
      </c>
      <c r="DJ34" t="s">
        <v>3</v>
      </c>
      <c r="DK34" t="s">
        <v>3</v>
      </c>
      <c r="DL34" t="s">
        <v>3</v>
      </c>
      <c r="DM34" t="s">
        <v>3</v>
      </c>
      <c r="DN34">
        <v>0</v>
      </c>
      <c r="DO34">
        <v>0</v>
      </c>
      <c r="DP34">
        <v>1</v>
      </c>
      <c r="DQ34">
        <v>1</v>
      </c>
      <c r="DU34">
        <v>1007</v>
      </c>
      <c r="DV34" t="s">
        <v>46</v>
      </c>
      <c r="DW34" t="s">
        <v>46</v>
      </c>
      <c r="DX34">
        <v>10</v>
      </c>
      <c r="DZ34" t="s">
        <v>3</v>
      </c>
      <c r="EA34" t="s">
        <v>3</v>
      </c>
      <c r="EB34" t="s">
        <v>3</v>
      </c>
      <c r="EC34" t="s">
        <v>3</v>
      </c>
      <c r="EE34">
        <v>38720082</v>
      </c>
      <c r="EF34">
        <v>1</v>
      </c>
      <c r="EG34" t="s">
        <v>19</v>
      </c>
      <c r="EH34">
        <v>0</v>
      </c>
      <c r="EI34" t="s">
        <v>3</v>
      </c>
      <c r="EJ34">
        <v>4</v>
      </c>
      <c r="EK34">
        <v>0</v>
      </c>
      <c r="EL34" t="s">
        <v>20</v>
      </c>
      <c r="EM34" t="s">
        <v>21</v>
      </c>
      <c r="EO34" t="s">
        <v>3</v>
      </c>
      <c r="EQ34">
        <v>0</v>
      </c>
      <c r="ER34">
        <v>7721.59</v>
      </c>
      <c r="ES34">
        <v>4307.41</v>
      </c>
      <c r="ET34">
        <v>0</v>
      </c>
      <c r="EU34">
        <v>0</v>
      </c>
      <c r="EV34">
        <v>3414.18</v>
      </c>
      <c r="EW34">
        <v>18.89</v>
      </c>
      <c r="EX34">
        <v>0</v>
      </c>
      <c r="EY34">
        <v>0</v>
      </c>
      <c r="FQ34">
        <v>0</v>
      </c>
      <c r="FR34">
        <f t="shared" si="52"/>
        <v>0</v>
      </c>
      <c r="FS34">
        <v>0</v>
      </c>
      <c r="FX34">
        <v>70</v>
      </c>
      <c r="FY34">
        <v>10</v>
      </c>
      <c r="GA34" t="s">
        <v>3</v>
      </c>
      <c r="GD34">
        <v>0</v>
      </c>
      <c r="GF34">
        <v>-990014082</v>
      </c>
      <c r="GG34">
        <v>2</v>
      </c>
      <c r="GH34">
        <v>1</v>
      </c>
      <c r="GI34">
        <v>-2</v>
      </c>
      <c r="GJ34">
        <v>0</v>
      </c>
      <c r="GK34">
        <f>ROUND(R34*(R12)/100,2)</f>
        <v>0</v>
      </c>
      <c r="GL34">
        <f t="shared" si="53"/>
        <v>0</v>
      </c>
      <c r="GM34">
        <f t="shared" si="54"/>
        <v>8362.34</v>
      </c>
      <c r="GN34">
        <f t="shared" si="55"/>
        <v>0</v>
      </c>
      <c r="GO34">
        <f t="shared" si="56"/>
        <v>0</v>
      </c>
      <c r="GP34">
        <f t="shared" si="57"/>
        <v>8362.34</v>
      </c>
      <c r="GR34">
        <v>0</v>
      </c>
      <c r="GS34">
        <v>3</v>
      </c>
      <c r="GT34">
        <v>0</v>
      </c>
      <c r="GU34" t="s">
        <v>3</v>
      </c>
      <c r="GV34">
        <f t="shared" si="58"/>
        <v>0</v>
      </c>
      <c r="GW34">
        <v>1</v>
      </c>
      <c r="GX34">
        <f t="shared" si="59"/>
        <v>0</v>
      </c>
      <c r="HA34">
        <v>0</v>
      </c>
      <c r="HB34">
        <v>0</v>
      </c>
      <c r="HC34">
        <f t="shared" si="60"/>
        <v>0</v>
      </c>
      <c r="HE34" t="s">
        <v>3</v>
      </c>
      <c r="HF34" t="s">
        <v>3</v>
      </c>
      <c r="IK34">
        <v>0</v>
      </c>
    </row>
    <row r="35" spans="1:245" x14ac:dyDescent="0.2">
      <c r="A35">
        <v>17</v>
      </c>
      <c r="B35">
        <v>1</v>
      </c>
      <c r="C35">
        <f>ROW(SmtRes!A12)</f>
        <v>12</v>
      </c>
      <c r="D35">
        <f>ROW(EtalonRes!A13)</f>
        <v>13</v>
      </c>
      <c r="E35" t="s">
        <v>48</v>
      </c>
      <c r="F35" t="s">
        <v>49</v>
      </c>
      <c r="G35" t="s">
        <v>50</v>
      </c>
      <c r="H35" t="s">
        <v>51</v>
      </c>
      <c r="I35">
        <v>0.2</v>
      </c>
      <c r="J35">
        <v>0</v>
      </c>
      <c r="O35">
        <f t="shared" si="21"/>
        <v>74.39</v>
      </c>
      <c r="P35">
        <f t="shared" si="22"/>
        <v>0</v>
      </c>
      <c r="Q35">
        <f t="shared" si="23"/>
        <v>0</v>
      </c>
      <c r="R35">
        <f t="shared" si="24"/>
        <v>0</v>
      </c>
      <c r="S35">
        <f t="shared" si="25"/>
        <v>74.39</v>
      </c>
      <c r="T35">
        <f t="shared" si="26"/>
        <v>0</v>
      </c>
      <c r="U35">
        <f t="shared" si="27"/>
        <v>0.36800000000000005</v>
      </c>
      <c r="V35">
        <f t="shared" si="28"/>
        <v>0</v>
      </c>
      <c r="W35">
        <f t="shared" si="29"/>
        <v>0</v>
      </c>
      <c r="X35">
        <f t="shared" si="30"/>
        <v>52.07</v>
      </c>
      <c r="Y35">
        <f t="shared" si="31"/>
        <v>7.44</v>
      </c>
      <c r="AA35">
        <v>38449393</v>
      </c>
      <c r="AB35">
        <f t="shared" si="32"/>
        <v>371.97</v>
      </c>
      <c r="AC35">
        <f t="shared" si="33"/>
        <v>0</v>
      </c>
      <c r="AD35">
        <f t="shared" si="34"/>
        <v>0</v>
      </c>
      <c r="AE35">
        <f t="shared" si="35"/>
        <v>0</v>
      </c>
      <c r="AF35">
        <f t="shared" si="36"/>
        <v>371.97</v>
      </c>
      <c r="AG35">
        <f t="shared" si="37"/>
        <v>0</v>
      </c>
      <c r="AH35">
        <f t="shared" si="38"/>
        <v>1.84</v>
      </c>
      <c r="AI35">
        <f t="shared" si="39"/>
        <v>0</v>
      </c>
      <c r="AJ35">
        <f t="shared" si="40"/>
        <v>0</v>
      </c>
      <c r="AK35">
        <v>371.97</v>
      </c>
      <c r="AL35">
        <v>0</v>
      </c>
      <c r="AM35">
        <v>0</v>
      </c>
      <c r="AN35">
        <v>0</v>
      </c>
      <c r="AO35">
        <v>371.97</v>
      </c>
      <c r="AP35">
        <v>0</v>
      </c>
      <c r="AQ35">
        <v>1.84</v>
      </c>
      <c r="AR35">
        <v>0</v>
      </c>
      <c r="AS35">
        <v>0</v>
      </c>
      <c r="AT35">
        <v>70</v>
      </c>
      <c r="AU35">
        <v>10</v>
      </c>
      <c r="AV35">
        <v>1</v>
      </c>
      <c r="AW35">
        <v>1</v>
      </c>
      <c r="AZ35">
        <v>1</v>
      </c>
      <c r="BA35">
        <v>1</v>
      </c>
      <c r="BB35">
        <v>1</v>
      </c>
      <c r="BC35">
        <v>1</v>
      </c>
      <c r="BD35" t="s">
        <v>3</v>
      </c>
      <c r="BE35" t="s">
        <v>3</v>
      </c>
      <c r="BF35" t="s">
        <v>3</v>
      </c>
      <c r="BG35" t="s">
        <v>3</v>
      </c>
      <c r="BH35">
        <v>0</v>
      </c>
      <c r="BI35">
        <v>4</v>
      </c>
      <c r="BJ35" t="s">
        <v>52</v>
      </c>
      <c r="BM35">
        <v>0</v>
      </c>
      <c r="BN35">
        <v>0</v>
      </c>
      <c r="BO35" t="s">
        <v>3</v>
      </c>
      <c r="BP35">
        <v>0</v>
      </c>
      <c r="BQ35">
        <v>1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 t="s">
        <v>3</v>
      </c>
      <c r="BZ35">
        <v>70</v>
      </c>
      <c r="CA35">
        <v>10</v>
      </c>
      <c r="CE35">
        <v>0</v>
      </c>
      <c r="CF35">
        <v>0</v>
      </c>
      <c r="CG35">
        <v>0</v>
      </c>
      <c r="CM35">
        <v>0</v>
      </c>
      <c r="CN35" t="s">
        <v>3</v>
      </c>
      <c r="CO35">
        <v>0</v>
      </c>
      <c r="CP35">
        <f t="shared" si="41"/>
        <v>74.39</v>
      </c>
      <c r="CQ35">
        <f t="shared" si="42"/>
        <v>0</v>
      </c>
      <c r="CR35">
        <f t="shared" si="43"/>
        <v>0</v>
      </c>
      <c r="CS35">
        <f t="shared" si="44"/>
        <v>0</v>
      </c>
      <c r="CT35">
        <f t="shared" si="45"/>
        <v>371.97</v>
      </c>
      <c r="CU35">
        <f t="shared" si="46"/>
        <v>0</v>
      </c>
      <c r="CV35">
        <f t="shared" si="47"/>
        <v>1.84</v>
      </c>
      <c r="CW35">
        <f t="shared" si="48"/>
        <v>0</v>
      </c>
      <c r="CX35">
        <f t="shared" si="49"/>
        <v>0</v>
      </c>
      <c r="CY35">
        <f t="shared" si="50"/>
        <v>52.073</v>
      </c>
      <c r="CZ35">
        <f t="shared" si="51"/>
        <v>7.4390000000000001</v>
      </c>
      <c r="DC35" t="s">
        <v>3</v>
      </c>
      <c r="DD35" t="s">
        <v>3</v>
      </c>
      <c r="DE35" t="s">
        <v>3</v>
      </c>
      <c r="DF35" t="s">
        <v>3</v>
      </c>
      <c r="DG35" t="s">
        <v>3</v>
      </c>
      <c r="DH35" t="s">
        <v>3</v>
      </c>
      <c r="DI35" t="s">
        <v>3</v>
      </c>
      <c r="DJ35" t="s">
        <v>3</v>
      </c>
      <c r="DK35" t="s">
        <v>3</v>
      </c>
      <c r="DL35" t="s">
        <v>3</v>
      </c>
      <c r="DM35" t="s">
        <v>3</v>
      </c>
      <c r="DN35">
        <v>0</v>
      </c>
      <c r="DO35">
        <v>0</v>
      </c>
      <c r="DP35">
        <v>1</v>
      </c>
      <c r="DQ35">
        <v>1</v>
      </c>
      <c r="DU35">
        <v>1009</v>
      </c>
      <c r="DV35" t="s">
        <v>51</v>
      </c>
      <c r="DW35" t="s">
        <v>51</v>
      </c>
      <c r="DX35">
        <v>1000</v>
      </c>
      <c r="DZ35" t="s">
        <v>3</v>
      </c>
      <c r="EA35" t="s">
        <v>3</v>
      </c>
      <c r="EB35" t="s">
        <v>3</v>
      </c>
      <c r="EC35" t="s">
        <v>3</v>
      </c>
      <c r="EE35">
        <v>38720082</v>
      </c>
      <c r="EF35">
        <v>1</v>
      </c>
      <c r="EG35" t="s">
        <v>19</v>
      </c>
      <c r="EH35">
        <v>0</v>
      </c>
      <c r="EI35" t="s">
        <v>3</v>
      </c>
      <c r="EJ35">
        <v>4</v>
      </c>
      <c r="EK35">
        <v>0</v>
      </c>
      <c r="EL35" t="s">
        <v>20</v>
      </c>
      <c r="EM35" t="s">
        <v>21</v>
      </c>
      <c r="EO35" t="s">
        <v>3</v>
      </c>
      <c r="EQ35">
        <v>0</v>
      </c>
      <c r="ER35">
        <v>371.97</v>
      </c>
      <c r="ES35">
        <v>0</v>
      </c>
      <c r="ET35">
        <v>0</v>
      </c>
      <c r="EU35">
        <v>0</v>
      </c>
      <c r="EV35">
        <v>371.97</v>
      </c>
      <c r="EW35">
        <v>1.84</v>
      </c>
      <c r="EX35">
        <v>0</v>
      </c>
      <c r="EY35">
        <v>0</v>
      </c>
      <c r="FQ35">
        <v>0</v>
      </c>
      <c r="FR35">
        <f t="shared" si="52"/>
        <v>0</v>
      </c>
      <c r="FS35">
        <v>0</v>
      </c>
      <c r="FX35">
        <v>70</v>
      </c>
      <c r="FY35">
        <v>10</v>
      </c>
      <c r="GA35" t="s">
        <v>3</v>
      </c>
      <c r="GD35">
        <v>0</v>
      </c>
      <c r="GF35">
        <v>1355397230</v>
      </c>
      <c r="GG35">
        <v>2</v>
      </c>
      <c r="GH35">
        <v>1</v>
      </c>
      <c r="GI35">
        <v>-2</v>
      </c>
      <c r="GJ35">
        <v>0</v>
      </c>
      <c r="GK35">
        <f>ROUND(R35*(R12)/100,2)</f>
        <v>0</v>
      </c>
      <c r="GL35">
        <f t="shared" si="53"/>
        <v>0</v>
      </c>
      <c r="GM35">
        <f t="shared" si="54"/>
        <v>133.9</v>
      </c>
      <c r="GN35">
        <f t="shared" si="55"/>
        <v>0</v>
      </c>
      <c r="GO35">
        <f t="shared" si="56"/>
        <v>0</v>
      </c>
      <c r="GP35">
        <f t="shared" si="57"/>
        <v>133.9</v>
      </c>
      <c r="GR35">
        <v>0</v>
      </c>
      <c r="GS35">
        <v>3</v>
      </c>
      <c r="GT35">
        <v>0</v>
      </c>
      <c r="GU35" t="s">
        <v>3</v>
      </c>
      <c r="GV35">
        <f t="shared" si="58"/>
        <v>0</v>
      </c>
      <c r="GW35">
        <v>1</v>
      </c>
      <c r="GX35">
        <f t="shared" si="59"/>
        <v>0</v>
      </c>
      <c r="HA35">
        <v>0</v>
      </c>
      <c r="HB35">
        <v>0</v>
      </c>
      <c r="HC35">
        <f t="shared" si="60"/>
        <v>0</v>
      </c>
      <c r="HE35" t="s">
        <v>3</v>
      </c>
      <c r="HF35" t="s">
        <v>3</v>
      </c>
      <c r="IK35">
        <v>0</v>
      </c>
    </row>
    <row r="36" spans="1:245" x14ac:dyDescent="0.2">
      <c r="A36">
        <v>17</v>
      </c>
      <c r="B36">
        <v>1</v>
      </c>
      <c r="C36">
        <f>ROW(SmtRes!A13)</f>
        <v>13</v>
      </c>
      <c r="D36">
        <f>ROW(EtalonRes!A14)</f>
        <v>14</v>
      </c>
      <c r="E36" t="s">
        <v>53</v>
      </c>
      <c r="F36" t="s">
        <v>54</v>
      </c>
      <c r="G36" t="s">
        <v>55</v>
      </c>
      <c r="H36" t="s">
        <v>51</v>
      </c>
      <c r="I36">
        <v>0.2</v>
      </c>
      <c r="J36">
        <v>0</v>
      </c>
      <c r="O36">
        <f t="shared" si="21"/>
        <v>67.569999999999993</v>
      </c>
      <c r="P36">
        <f t="shared" si="22"/>
        <v>0</v>
      </c>
      <c r="Q36">
        <f t="shared" si="23"/>
        <v>67.569999999999993</v>
      </c>
      <c r="R36">
        <f t="shared" si="24"/>
        <v>33.78</v>
      </c>
      <c r="S36">
        <f t="shared" si="25"/>
        <v>0</v>
      </c>
      <c r="T36">
        <f t="shared" si="26"/>
        <v>0</v>
      </c>
      <c r="U36">
        <f t="shared" si="27"/>
        <v>0</v>
      </c>
      <c r="V36">
        <f t="shared" si="28"/>
        <v>0</v>
      </c>
      <c r="W36">
        <f t="shared" si="29"/>
        <v>0</v>
      </c>
      <c r="X36">
        <f t="shared" si="30"/>
        <v>0</v>
      </c>
      <c r="Y36">
        <f t="shared" si="31"/>
        <v>0</v>
      </c>
      <c r="AA36">
        <v>38449393</v>
      </c>
      <c r="AB36">
        <f t="shared" si="32"/>
        <v>337.85</v>
      </c>
      <c r="AC36">
        <f t="shared" si="33"/>
        <v>0</v>
      </c>
      <c r="AD36">
        <f t="shared" si="34"/>
        <v>337.85</v>
      </c>
      <c r="AE36">
        <f t="shared" si="35"/>
        <v>168.92</v>
      </c>
      <c r="AF36">
        <f t="shared" si="36"/>
        <v>0</v>
      </c>
      <c r="AG36">
        <f t="shared" si="37"/>
        <v>0</v>
      </c>
      <c r="AH36">
        <f t="shared" si="38"/>
        <v>0</v>
      </c>
      <c r="AI36">
        <f t="shared" si="39"/>
        <v>0</v>
      </c>
      <c r="AJ36">
        <f t="shared" si="40"/>
        <v>0</v>
      </c>
      <c r="AK36">
        <v>337.85</v>
      </c>
      <c r="AL36">
        <v>0</v>
      </c>
      <c r="AM36">
        <v>337.85</v>
      </c>
      <c r="AN36">
        <v>168.92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1</v>
      </c>
      <c r="AZ36">
        <v>1</v>
      </c>
      <c r="BA36">
        <v>1</v>
      </c>
      <c r="BB36">
        <v>1</v>
      </c>
      <c r="BC36">
        <v>1</v>
      </c>
      <c r="BD36" t="s">
        <v>3</v>
      </c>
      <c r="BE36" t="s">
        <v>3</v>
      </c>
      <c r="BF36" t="s">
        <v>3</v>
      </c>
      <c r="BG36" t="s">
        <v>3</v>
      </c>
      <c r="BH36">
        <v>0</v>
      </c>
      <c r="BI36">
        <v>4</v>
      </c>
      <c r="BJ36" t="s">
        <v>56</v>
      </c>
      <c r="BM36">
        <v>1</v>
      </c>
      <c r="BN36">
        <v>0</v>
      </c>
      <c r="BO36" t="s">
        <v>3</v>
      </c>
      <c r="BP36">
        <v>0</v>
      </c>
      <c r="BQ36">
        <v>1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 t="s">
        <v>3</v>
      </c>
      <c r="BZ36">
        <v>0</v>
      </c>
      <c r="CA36">
        <v>0</v>
      </c>
      <c r="CE36">
        <v>0</v>
      </c>
      <c r="CF36">
        <v>0</v>
      </c>
      <c r="CG36">
        <v>0</v>
      </c>
      <c r="CM36">
        <v>0</v>
      </c>
      <c r="CN36" t="s">
        <v>3</v>
      </c>
      <c r="CO36">
        <v>0</v>
      </c>
      <c r="CP36">
        <f t="shared" si="41"/>
        <v>67.569999999999993</v>
      </c>
      <c r="CQ36">
        <f t="shared" si="42"/>
        <v>0</v>
      </c>
      <c r="CR36">
        <f t="shared" si="43"/>
        <v>337.85</v>
      </c>
      <c r="CS36">
        <f t="shared" si="44"/>
        <v>168.92</v>
      </c>
      <c r="CT36">
        <f t="shared" si="45"/>
        <v>0</v>
      </c>
      <c r="CU36">
        <f t="shared" si="46"/>
        <v>0</v>
      </c>
      <c r="CV36">
        <f t="shared" si="47"/>
        <v>0</v>
      </c>
      <c r="CW36">
        <f t="shared" si="48"/>
        <v>0</v>
      </c>
      <c r="CX36">
        <f t="shared" si="49"/>
        <v>0</v>
      </c>
      <c r="CY36">
        <f t="shared" si="50"/>
        <v>0</v>
      </c>
      <c r="CZ36">
        <f t="shared" si="51"/>
        <v>0</v>
      </c>
      <c r="DC36" t="s">
        <v>3</v>
      </c>
      <c r="DD36" t="s">
        <v>3</v>
      </c>
      <c r="DE36" t="s">
        <v>3</v>
      </c>
      <c r="DF36" t="s">
        <v>3</v>
      </c>
      <c r="DG36" t="s">
        <v>3</v>
      </c>
      <c r="DH36" t="s">
        <v>3</v>
      </c>
      <c r="DI36" t="s">
        <v>3</v>
      </c>
      <c r="DJ36" t="s">
        <v>3</v>
      </c>
      <c r="DK36" t="s">
        <v>3</v>
      </c>
      <c r="DL36" t="s">
        <v>3</v>
      </c>
      <c r="DM36" t="s">
        <v>3</v>
      </c>
      <c r="DN36">
        <v>0</v>
      </c>
      <c r="DO36">
        <v>0</v>
      </c>
      <c r="DP36">
        <v>1</v>
      </c>
      <c r="DQ36">
        <v>1</v>
      </c>
      <c r="DU36">
        <v>1009</v>
      </c>
      <c r="DV36" t="s">
        <v>51</v>
      </c>
      <c r="DW36" t="s">
        <v>51</v>
      </c>
      <c r="DX36">
        <v>1000</v>
      </c>
      <c r="DZ36" t="s">
        <v>3</v>
      </c>
      <c r="EA36" t="s">
        <v>3</v>
      </c>
      <c r="EB36" t="s">
        <v>3</v>
      </c>
      <c r="EC36" t="s">
        <v>3</v>
      </c>
      <c r="EE36">
        <v>38720084</v>
      </c>
      <c r="EF36">
        <v>1</v>
      </c>
      <c r="EG36" t="s">
        <v>19</v>
      </c>
      <c r="EH36">
        <v>0</v>
      </c>
      <c r="EI36" t="s">
        <v>3</v>
      </c>
      <c r="EJ36">
        <v>4</v>
      </c>
      <c r="EK36">
        <v>1</v>
      </c>
      <c r="EL36" t="s">
        <v>57</v>
      </c>
      <c r="EM36" t="s">
        <v>21</v>
      </c>
      <c r="EO36" t="s">
        <v>3</v>
      </c>
      <c r="EQ36">
        <v>0</v>
      </c>
      <c r="ER36">
        <v>337.85</v>
      </c>
      <c r="ES36">
        <v>0</v>
      </c>
      <c r="ET36">
        <v>337.85</v>
      </c>
      <c r="EU36">
        <v>168.92</v>
      </c>
      <c r="EV36">
        <v>0</v>
      </c>
      <c r="EW36">
        <v>0</v>
      </c>
      <c r="EX36">
        <v>0</v>
      </c>
      <c r="EY36">
        <v>0</v>
      </c>
      <c r="FQ36">
        <v>0</v>
      </c>
      <c r="FR36">
        <f t="shared" si="52"/>
        <v>0</v>
      </c>
      <c r="FS36">
        <v>0</v>
      </c>
      <c r="FX36">
        <v>0</v>
      </c>
      <c r="FY36">
        <v>0</v>
      </c>
      <c r="GA36" t="s">
        <v>3</v>
      </c>
      <c r="GD36">
        <v>1</v>
      </c>
      <c r="GF36">
        <v>-1827171599</v>
      </c>
      <c r="GG36">
        <v>2</v>
      </c>
      <c r="GH36">
        <v>1</v>
      </c>
      <c r="GI36">
        <v>-2</v>
      </c>
      <c r="GJ36">
        <v>0</v>
      </c>
      <c r="GK36">
        <v>0</v>
      </c>
      <c r="GL36">
        <f t="shared" si="53"/>
        <v>0</v>
      </c>
      <c r="GM36">
        <f>ROUND(O36+X36+Y36,2)+GX36</f>
        <v>67.569999999999993</v>
      </c>
      <c r="GN36">
        <f>IF(OR(BI36=0,BI36=1),ROUND(O36+X36+Y36,2),0)</f>
        <v>0</v>
      </c>
      <c r="GO36">
        <f>IF(BI36=2,ROUND(O36+X36+Y36,2),0)</f>
        <v>0</v>
      </c>
      <c r="GP36">
        <f>IF(BI36=4,ROUND(O36+X36+Y36,2)+GX36,0)</f>
        <v>67.569999999999993</v>
      </c>
      <c r="GR36">
        <v>0</v>
      </c>
      <c r="GS36">
        <v>3</v>
      </c>
      <c r="GT36">
        <v>0</v>
      </c>
      <c r="GU36" t="s">
        <v>3</v>
      </c>
      <c r="GV36">
        <f t="shared" si="58"/>
        <v>0</v>
      </c>
      <c r="GW36">
        <v>1</v>
      </c>
      <c r="GX36">
        <f t="shared" si="59"/>
        <v>0</v>
      </c>
      <c r="HA36">
        <v>0</v>
      </c>
      <c r="HB36">
        <v>0</v>
      </c>
      <c r="HC36">
        <f t="shared" si="60"/>
        <v>0</v>
      </c>
      <c r="HE36" t="s">
        <v>3</v>
      </c>
      <c r="HF36" t="s">
        <v>3</v>
      </c>
      <c r="IK36">
        <v>0</v>
      </c>
    </row>
    <row r="37" spans="1:245" x14ac:dyDescent="0.2">
      <c r="A37">
        <v>17</v>
      </c>
      <c r="B37">
        <v>1</v>
      </c>
      <c r="C37">
        <f>ROW(SmtRes!A14)</f>
        <v>14</v>
      </c>
      <c r="D37">
        <f>ROW(EtalonRes!A15)</f>
        <v>15</v>
      </c>
      <c r="E37" t="s">
        <v>58</v>
      </c>
      <c r="F37" t="s">
        <v>59</v>
      </c>
      <c r="G37" t="s">
        <v>60</v>
      </c>
      <c r="H37" t="s">
        <v>51</v>
      </c>
      <c r="I37">
        <v>0.2</v>
      </c>
      <c r="J37">
        <v>0</v>
      </c>
      <c r="O37">
        <f t="shared" si="21"/>
        <v>187.99</v>
      </c>
      <c r="P37">
        <f t="shared" si="22"/>
        <v>0</v>
      </c>
      <c r="Q37">
        <f t="shared" si="23"/>
        <v>187.99</v>
      </c>
      <c r="R37">
        <f t="shared" si="24"/>
        <v>93.94</v>
      </c>
      <c r="S37">
        <f t="shared" si="25"/>
        <v>0</v>
      </c>
      <c r="T37">
        <f t="shared" si="26"/>
        <v>0</v>
      </c>
      <c r="U37">
        <f t="shared" si="27"/>
        <v>0</v>
      </c>
      <c r="V37">
        <f t="shared" si="28"/>
        <v>0</v>
      </c>
      <c r="W37">
        <f t="shared" si="29"/>
        <v>0</v>
      </c>
      <c r="X37">
        <f t="shared" si="30"/>
        <v>0</v>
      </c>
      <c r="Y37">
        <f t="shared" si="31"/>
        <v>0</v>
      </c>
      <c r="AA37">
        <v>38449393</v>
      </c>
      <c r="AB37">
        <f t="shared" si="32"/>
        <v>939.93</v>
      </c>
      <c r="AC37">
        <f>ROUND(((ES37*51)),6)</f>
        <v>0</v>
      </c>
      <c r="AD37">
        <f>ROUND(((((ET37*51))-((EU37*51)))+AE37),6)</f>
        <v>939.93</v>
      </c>
      <c r="AE37">
        <f>ROUND(((EU37*51)),6)</f>
        <v>469.71</v>
      </c>
      <c r="AF37">
        <f>ROUND(((EV37*51)),6)</f>
        <v>0</v>
      </c>
      <c r="AG37">
        <f t="shared" si="37"/>
        <v>0</v>
      </c>
      <c r="AH37">
        <f>((EW37*51))</f>
        <v>0</v>
      </c>
      <c r="AI37">
        <f>((EX37*51))</f>
        <v>0</v>
      </c>
      <c r="AJ37">
        <f t="shared" si="40"/>
        <v>0</v>
      </c>
      <c r="AK37">
        <v>18.43</v>
      </c>
      <c r="AL37">
        <v>0</v>
      </c>
      <c r="AM37">
        <v>18.43</v>
      </c>
      <c r="AN37">
        <v>9.2100000000000009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1</v>
      </c>
      <c r="AZ37">
        <v>1</v>
      </c>
      <c r="BA37">
        <v>1</v>
      </c>
      <c r="BB37">
        <v>1</v>
      </c>
      <c r="BC37">
        <v>1</v>
      </c>
      <c r="BD37" t="s">
        <v>3</v>
      </c>
      <c r="BE37" t="s">
        <v>3</v>
      </c>
      <c r="BF37" t="s">
        <v>3</v>
      </c>
      <c r="BG37" t="s">
        <v>3</v>
      </c>
      <c r="BH37">
        <v>0</v>
      </c>
      <c r="BI37">
        <v>4</v>
      </c>
      <c r="BJ37" t="s">
        <v>61</v>
      </c>
      <c r="BM37">
        <v>1</v>
      </c>
      <c r="BN37">
        <v>0</v>
      </c>
      <c r="BO37" t="s">
        <v>3</v>
      </c>
      <c r="BP37">
        <v>0</v>
      </c>
      <c r="BQ37">
        <v>1</v>
      </c>
      <c r="BR37">
        <v>0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 t="s">
        <v>3</v>
      </c>
      <c r="BZ37">
        <v>0</v>
      </c>
      <c r="CA37">
        <v>0</v>
      </c>
      <c r="CE37">
        <v>0</v>
      </c>
      <c r="CF37">
        <v>0</v>
      </c>
      <c r="CG37">
        <v>0</v>
      </c>
      <c r="CM37">
        <v>0</v>
      </c>
      <c r="CN37" t="s">
        <v>3</v>
      </c>
      <c r="CO37">
        <v>0</v>
      </c>
      <c r="CP37">
        <f t="shared" si="41"/>
        <v>187.99</v>
      </c>
      <c r="CQ37">
        <f t="shared" si="42"/>
        <v>0</v>
      </c>
      <c r="CR37">
        <f>(((((ET37*51))*BB37-((EU37*51))*BS37)+AE37*BS37)*AV37)</f>
        <v>939.92999999999984</v>
      </c>
      <c r="CS37">
        <f t="shared" si="44"/>
        <v>469.71</v>
      </c>
      <c r="CT37">
        <f t="shared" si="45"/>
        <v>0</v>
      </c>
      <c r="CU37">
        <f t="shared" si="46"/>
        <v>0</v>
      </c>
      <c r="CV37">
        <f t="shared" si="47"/>
        <v>0</v>
      </c>
      <c r="CW37">
        <f t="shared" si="48"/>
        <v>0</v>
      </c>
      <c r="CX37">
        <f t="shared" si="49"/>
        <v>0</v>
      </c>
      <c r="CY37">
        <f t="shared" si="50"/>
        <v>0</v>
      </c>
      <c r="CZ37">
        <f t="shared" si="51"/>
        <v>0</v>
      </c>
      <c r="DC37" t="s">
        <v>3</v>
      </c>
      <c r="DD37" t="s">
        <v>62</v>
      </c>
      <c r="DE37" t="s">
        <v>62</v>
      </c>
      <c r="DF37" t="s">
        <v>62</v>
      </c>
      <c r="DG37" t="s">
        <v>62</v>
      </c>
      <c r="DH37" t="s">
        <v>3</v>
      </c>
      <c r="DI37" t="s">
        <v>62</v>
      </c>
      <c r="DJ37" t="s">
        <v>62</v>
      </c>
      <c r="DK37" t="s">
        <v>3</v>
      </c>
      <c r="DL37" t="s">
        <v>3</v>
      </c>
      <c r="DM37" t="s">
        <v>3</v>
      </c>
      <c r="DN37">
        <v>0</v>
      </c>
      <c r="DO37">
        <v>0</v>
      </c>
      <c r="DP37">
        <v>1</v>
      </c>
      <c r="DQ37">
        <v>1</v>
      </c>
      <c r="DU37">
        <v>1009</v>
      </c>
      <c r="DV37" t="s">
        <v>51</v>
      </c>
      <c r="DW37" t="s">
        <v>51</v>
      </c>
      <c r="DX37">
        <v>1000</v>
      </c>
      <c r="DZ37" t="s">
        <v>3</v>
      </c>
      <c r="EA37" t="s">
        <v>3</v>
      </c>
      <c r="EB37" t="s">
        <v>3</v>
      </c>
      <c r="EC37" t="s">
        <v>3</v>
      </c>
      <c r="EE37">
        <v>38720084</v>
      </c>
      <c r="EF37">
        <v>1</v>
      </c>
      <c r="EG37" t="s">
        <v>19</v>
      </c>
      <c r="EH37">
        <v>0</v>
      </c>
      <c r="EI37" t="s">
        <v>3</v>
      </c>
      <c r="EJ37">
        <v>4</v>
      </c>
      <c r="EK37">
        <v>1</v>
      </c>
      <c r="EL37" t="s">
        <v>57</v>
      </c>
      <c r="EM37" t="s">
        <v>21</v>
      </c>
      <c r="EO37" t="s">
        <v>3</v>
      </c>
      <c r="EQ37">
        <v>0</v>
      </c>
      <c r="ER37">
        <v>18.43</v>
      </c>
      <c r="ES37">
        <v>0</v>
      </c>
      <c r="ET37">
        <v>18.43</v>
      </c>
      <c r="EU37">
        <v>9.2100000000000009</v>
      </c>
      <c r="EV37">
        <v>0</v>
      </c>
      <c r="EW37">
        <v>0</v>
      </c>
      <c r="EX37">
        <v>0</v>
      </c>
      <c r="EY37">
        <v>0</v>
      </c>
      <c r="FQ37">
        <v>0</v>
      </c>
      <c r="FR37">
        <f t="shared" si="52"/>
        <v>0</v>
      </c>
      <c r="FS37">
        <v>0</v>
      </c>
      <c r="FX37">
        <v>0</v>
      </c>
      <c r="FY37">
        <v>0</v>
      </c>
      <c r="GA37" t="s">
        <v>3</v>
      </c>
      <c r="GD37">
        <v>1</v>
      </c>
      <c r="GF37">
        <v>-467727210</v>
      </c>
      <c r="GG37">
        <v>2</v>
      </c>
      <c r="GH37">
        <v>1</v>
      </c>
      <c r="GI37">
        <v>-2</v>
      </c>
      <c r="GJ37">
        <v>0</v>
      </c>
      <c r="GK37">
        <v>0</v>
      </c>
      <c r="GL37">
        <f t="shared" si="53"/>
        <v>0</v>
      </c>
      <c r="GM37">
        <f>ROUND(O37+X37+Y37,2)+GX37</f>
        <v>187.99</v>
      </c>
      <c r="GN37">
        <f>IF(OR(BI37=0,BI37=1),ROUND(O37+X37+Y37,2),0)</f>
        <v>0</v>
      </c>
      <c r="GO37">
        <f>IF(BI37=2,ROUND(O37+X37+Y37,2),0)</f>
        <v>0</v>
      </c>
      <c r="GP37">
        <f>IF(BI37=4,ROUND(O37+X37+Y37,2)+GX37,0)</f>
        <v>187.99</v>
      </c>
      <c r="GR37">
        <v>0</v>
      </c>
      <c r="GS37">
        <v>3</v>
      </c>
      <c r="GT37">
        <v>0</v>
      </c>
      <c r="GU37" t="s">
        <v>3</v>
      </c>
      <c r="GV37">
        <f t="shared" si="58"/>
        <v>0</v>
      </c>
      <c r="GW37">
        <v>1</v>
      </c>
      <c r="GX37">
        <f t="shared" si="59"/>
        <v>0</v>
      </c>
      <c r="HA37">
        <v>0</v>
      </c>
      <c r="HB37">
        <v>0</v>
      </c>
      <c r="HC37">
        <f t="shared" si="60"/>
        <v>0</v>
      </c>
      <c r="HE37" t="s">
        <v>3</v>
      </c>
      <c r="HF37" t="s">
        <v>3</v>
      </c>
      <c r="IK37">
        <v>0</v>
      </c>
    </row>
    <row r="39" spans="1:245" x14ac:dyDescent="0.2">
      <c r="A39" s="2">
        <v>51</v>
      </c>
      <c r="B39" s="2">
        <f>B24</f>
        <v>1</v>
      </c>
      <c r="C39" s="2">
        <f>A24</f>
        <v>4</v>
      </c>
      <c r="D39" s="2">
        <f>ROW(A24)</f>
        <v>24</v>
      </c>
      <c r="E39" s="2"/>
      <c r="F39" s="2" t="str">
        <f>IF(F24&lt;&gt;"",F24,"")</f>
        <v>Новый раздел</v>
      </c>
      <c r="G39" s="2" t="str">
        <f>IF(G24&lt;&gt;"",G24,"")</f>
        <v>Территория ЦАК</v>
      </c>
      <c r="H39" s="2">
        <v>0</v>
      </c>
      <c r="I39" s="2"/>
      <c r="J39" s="2"/>
      <c r="K39" s="2"/>
      <c r="L39" s="2"/>
      <c r="M39" s="2"/>
      <c r="N39" s="2"/>
      <c r="O39" s="2">
        <f t="shared" ref="O39:T39" si="61">ROUND(AB39,2)</f>
        <v>191023.72</v>
      </c>
      <c r="P39" s="2">
        <f t="shared" si="61"/>
        <v>179435.34</v>
      </c>
      <c r="Q39" s="2">
        <f t="shared" si="61"/>
        <v>255.56</v>
      </c>
      <c r="R39" s="2">
        <f t="shared" si="61"/>
        <v>127.72</v>
      </c>
      <c r="S39" s="2">
        <f t="shared" si="61"/>
        <v>11332.82</v>
      </c>
      <c r="T39" s="2">
        <f t="shared" si="61"/>
        <v>0</v>
      </c>
      <c r="U39" s="2">
        <f>AH39</f>
        <v>57.804880000000004</v>
      </c>
      <c r="V39" s="2">
        <f>AI39</f>
        <v>0</v>
      </c>
      <c r="W39" s="2">
        <f>ROUND(AJ39,2)</f>
        <v>0</v>
      </c>
      <c r="X39" s="2">
        <f>ROUND(AK39,2)</f>
        <v>7932.97</v>
      </c>
      <c r="Y39" s="2">
        <f>ROUND(AL39,2)</f>
        <v>1133.28</v>
      </c>
      <c r="Z39" s="2"/>
      <c r="AA39" s="2"/>
      <c r="AB39" s="2">
        <f>ROUND(SUMIF(AA28:AA37,"=38449393",O28:O37),2)</f>
        <v>191023.72</v>
      </c>
      <c r="AC39" s="2">
        <f>ROUND(SUMIF(AA28:AA37,"=38449393",P28:P37),2)</f>
        <v>179435.34</v>
      </c>
      <c r="AD39" s="2">
        <f>ROUND(SUMIF(AA28:AA37,"=38449393",Q28:Q37),2)</f>
        <v>255.56</v>
      </c>
      <c r="AE39" s="2">
        <f>ROUND(SUMIF(AA28:AA37,"=38449393",R28:R37),2)</f>
        <v>127.72</v>
      </c>
      <c r="AF39" s="2">
        <f>ROUND(SUMIF(AA28:AA37,"=38449393",S28:S37),2)</f>
        <v>11332.82</v>
      </c>
      <c r="AG39" s="2">
        <f>ROUND(SUMIF(AA28:AA37,"=38449393",T28:T37),2)</f>
        <v>0</v>
      </c>
      <c r="AH39" s="2">
        <f>SUMIF(AA28:AA37,"=38449393",U28:U37)</f>
        <v>57.804880000000004</v>
      </c>
      <c r="AI39" s="2">
        <f>SUMIF(AA28:AA37,"=38449393",V28:V37)</f>
        <v>0</v>
      </c>
      <c r="AJ39" s="2">
        <f>ROUND(SUMIF(AA28:AA37,"=38449393",W28:W37),2)</f>
        <v>0</v>
      </c>
      <c r="AK39" s="2">
        <f>ROUND(SUMIF(AA28:AA37,"=38449393",X28:X37),2)</f>
        <v>7932.97</v>
      </c>
      <c r="AL39" s="2">
        <f>ROUND(SUMIF(AA28:AA37,"=38449393",Y28:Y37),2)</f>
        <v>1133.28</v>
      </c>
      <c r="AM39" s="2"/>
      <c r="AN39" s="2"/>
      <c r="AO39" s="2">
        <f t="shared" ref="AO39:BD39" si="62">ROUND(BX39,2)</f>
        <v>0</v>
      </c>
      <c r="AP39" s="2">
        <f t="shared" si="62"/>
        <v>0</v>
      </c>
      <c r="AQ39" s="2">
        <f t="shared" si="62"/>
        <v>0</v>
      </c>
      <c r="AR39" s="2">
        <f t="shared" si="62"/>
        <v>200089.97</v>
      </c>
      <c r="AS39" s="2">
        <f t="shared" si="62"/>
        <v>0</v>
      </c>
      <c r="AT39" s="2">
        <f t="shared" si="62"/>
        <v>0</v>
      </c>
      <c r="AU39" s="2">
        <f t="shared" si="62"/>
        <v>200089.97</v>
      </c>
      <c r="AV39" s="2">
        <f t="shared" si="62"/>
        <v>179435.34</v>
      </c>
      <c r="AW39" s="2">
        <f t="shared" si="62"/>
        <v>179435.34</v>
      </c>
      <c r="AX39" s="2">
        <f t="shared" si="62"/>
        <v>0</v>
      </c>
      <c r="AY39" s="2">
        <f t="shared" si="62"/>
        <v>179435.34</v>
      </c>
      <c r="AZ39" s="2">
        <f t="shared" si="62"/>
        <v>0</v>
      </c>
      <c r="BA39" s="2">
        <f t="shared" si="62"/>
        <v>0</v>
      </c>
      <c r="BB39" s="2">
        <f t="shared" si="62"/>
        <v>0</v>
      </c>
      <c r="BC39" s="2">
        <f t="shared" si="62"/>
        <v>0</v>
      </c>
      <c r="BD39" s="2">
        <f t="shared" si="62"/>
        <v>0</v>
      </c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>
        <f>ROUND(SUMIF(AA28:AA37,"=38449393",FQ28:FQ37),2)</f>
        <v>0</v>
      </c>
      <c r="BY39" s="2">
        <f>ROUND(SUMIF(AA28:AA37,"=38449393",FR28:FR37),2)</f>
        <v>0</v>
      </c>
      <c r="BZ39" s="2">
        <f>ROUND(SUMIF(AA28:AA37,"=38449393",GL28:GL37),2)</f>
        <v>0</v>
      </c>
      <c r="CA39" s="2">
        <f>ROUND(SUMIF(AA28:AA37,"=38449393",GM28:GM37),2)</f>
        <v>200089.97</v>
      </c>
      <c r="CB39" s="2">
        <f>ROUND(SUMIF(AA28:AA37,"=38449393",GN28:GN37),2)</f>
        <v>0</v>
      </c>
      <c r="CC39" s="2">
        <f>ROUND(SUMIF(AA28:AA37,"=38449393",GO28:GO37),2)</f>
        <v>0</v>
      </c>
      <c r="CD39" s="2">
        <f>ROUND(SUMIF(AA28:AA37,"=38449393",GP28:GP37),2)</f>
        <v>200089.97</v>
      </c>
      <c r="CE39" s="2">
        <f>AC39-BX39</f>
        <v>179435.34</v>
      </c>
      <c r="CF39" s="2">
        <f>AC39-BY39</f>
        <v>179435.34</v>
      </c>
      <c r="CG39" s="2">
        <f>BX39-BZ39</f>
        <v>0</v>
      </c>
      <c r="CH39" s="2">
        <f>AC39-BX39-BY39+BZ39</f>
        <v>179435.34</v>
      </c>
      <c r="CI39" s="2">
        <f>BY39-BZ39</f>
        <v>0</v>
      </c>
      <c r="CJ39" s="2">
        <f>ROUND(SUMIF(AA28:AA37,"=38449393",GX28:GX37),2)</f>
        <v>0</v>
      </c>
      <c r="CK39" s="2">
        <f>ROUND(SUMIF(AA28:AA37,"=38449393",GY28:GY37),2)</f>
        <v>0</v>
      </c>
      <c r="CL39" s="2">
        <f>ROUND(SUMIF(AA28:AA37,"=38449393",GZ28:GZ37),2)</f>
        <v>0</v>
      </c>
      <c r="CM39" s="2">
        <f>ROUND(SUMIF(AA28:AA37,"=38449393",HD28:HD37),2)</f>
        <v>0</v>
      </c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>
        <v>0</v>
      </c>
    </row>
    <row r="41" spans="1:245" x14ac:dyDescent="0.2">
      <c r="A41" s="4">
        <v>50</v>
      </c>
      <c r="B41" s="4">
        <v>0</v>
      </c>
      <c r="C41" s="4">
        <v>0</v>
      </c>
      <c r="D41" s="4">
        <v>1</v>
      </c>
      <c r="E41" s="4">
        <v>201</v>
      </c>
      <c r="F41" s="4">
        <f>ROUND(Source!O39,O41)</f>
        <v>191023.72</v>
      </c>
      <c r="G41" s="4" t="s">
        <v>63</v>
      </c>
      <c r="H41" s="4" t="s">
        <v>64</v>
      </c>
      <c r="I41" s="4"/>
      <c r="J41" s="4"/>
      <c r="K41" s="4">
        <v>201</v>
      </c>
      <c r="L41" s="4">
        <v>1</v>
      </c>
      <c r="M41" s="4">
        <v>3</v>
      </c>
      <c r="N41" s="4" t="s">
        <v>3</v>
      </c>
      <c r="O41" s="4">
        <v>2</v>
      </c>
      <c r="P41" s="4"/>
      <c r="Q41" s="4"/>
      <c r="R41" s="4"/>
      <c r="S41" s="4"/>
      <c r="T41" s="4"/>
      <c r="U41" s="4"/>
      <c r="V41" s="4"/>
      <c r="W41" s="4"/>
    </row>
    <row r="42" spans="1:245" x14ac:dyDescent="0.2">
      <c r="A42" s="4">
        <v>50</v>
      </c>
      <c r="B42" s="4">
        <v>0</v>
      </c>
      <c r="C42" s="4">
        <v>0</v>
      </c>
      <c r="D42" s="4">
        <v>1</v>
      </c>
      <c r="E42" s="4">
        <v>202</v>
      </c>
      <c r="F42" s="4">
        <f>ROUND(Source!P39,O42)</f>
        <v>179435.34</v>
      </c>
      <c r="G42" s="4" t="s">
        <v>65</v>
      </c>
      <c r="H42" s="4" t="s">
        <v>66</v>
      </c>
      <c r="I42" s="4"/>
      <c r="J42" s="4"/>
      <c r="K42" s="4">
        <v>202</v>
      </c>
      <c r="L42" s="4">
        <v>2</v>
      </c>
      <c r="M42" s="4">
        <v>3</v>
      </c>
      <c r="N42" s="4" t="s">
        <v>3</v>
      </c>
      <c r="O42" s="4">
        <v>2</v>
      </c>
      <c r="P42" s="4"/>
      <c r="Q42" s="4"/>
      <c r="R42" s="4"/>
      <c r="S42" s="4"/>
      <c r="T42" s="4"/>
      <c r="U42" s="4"/>
      <c r="V42" s="4"/>
      <c r="W42" s="4"/>
    </row>
    <row r="43" spans="1:245" x14ac:dyDescent="0.2">
      <c r="A43" s="4">
        <v>50</v>
      </c>
      <c r="B43" s="4">
        <v>0</v>
      </c>
      <c r="C43" s="4">
        <v>0</v>
      </c>
      <c r="D43" s="4">
        <v>1</v>
      </c>
      <c r="E43" s="4">
        <v>222</v>
      </c>
      <c r="F43" s="4">
        <f>ROUND(Source!AO39,O43)</f>
        <v>0</v>
      </c>
      <c r="G43" s="4" t="s">
        <v>67</v>
      </c>
      <c r="H43" s="4" t="s">
        <v>68</v>
      </c>
      <c r="I43" s="4"/>
      <c r="J43" s="4"/>
      <c r="K43" s="4">
        <v>222</v>
      </c>
      <c r="L43" s="4">
        <v>3</v>
      </c>
      <c r="M43" s="4">
        <v>3</v>
      </c>
      <c r="N43" s="4" t="s">
        <v>3</v>
      </c>
      <c r="O43" s="4">
        <v>2</v>
      </c>
      <c r="P43" s="4"/>
      <c r="Q43" s="4"/>
      <c r="R43" s="4"/>
      <c r="S43" s="4"/>
      <c r="T43" s="4"/>
      <c r="U43" s="4"/>
      <c r="V43" s="4"/>
      <c r="W43" s="4"/>
    </row>
    <row r="44" spans="1:245" x14ac:dyDescent="0.2">
      <c r="A44" s="4">
        <v>50</v>
      </c>
      <c r="B44" s="4">
        <v>0</v>
      </c>
      <c r="C44" s="4">
        <v>0</v>
      </c>
      <c r="D44" s="4">
        <v>1</v>
      </c>
      <c r="E44" s="4">
        <v>225</v>
      </c>
      <c r="F44" s="4">
        <f>ROUND(Source!AV39,O44)</f>
        <v>179435.34</v>
      </c>
      <c r="G44" s="4" t="s">
        <v>69</v>
      </c>
      <c r="H44" s="4" t="s">
        <v>70</v>
      </c>
      <c r="I44" s="4"/>
      <c r="J44" s="4"/>
      <c r="K44" s="4">
        <v>225</v>
      </c>
      <c r="L44" s="4">
        <v>4</v>
      </c>
      <c r="M44" s="4">
        <v>3</v>
      </c>
      <c r="N44" s="4" t="s">
        <v>3</v>
      </c>
      <c r="O44" s="4">
        <v>2</v>
      </c>
      <c r="P44" s="4"/>
      <c r="Q44" s="4"/>
      <c r="R44" s="4"/>
      <c r="S44" s="4"/>
      <c r="T44" s="4"/>
      <c r="U44" s="4"/>
      <c r="V44" s="4"/>
      <c r="W44" s="4"/>
    </row>
    <row r="45" spans="1:245" x14ac:dyDescent="0.2">
      <c r="A45" s="4">
        <v>50</v>
      </c>
      <c r="B45" s="4">
        <v>0</v>
      </c>
      <c r="C45" s="4">
        <v>0</v>
      </c>
      <c r="D45" s="4">
        <v>1</v>
      </c>
      <c r="E45" s="4">
        <v>226</v>
      </c>
      <c r="F45" s="4">
        <f>ROUND(Source!AW39,O45)</f>
        <v>179435.34</v>
      </c>
      <c r="G45" s="4" t="s">
        <v>71</v>
      </c>
      <c r="H45" s="4" t="s">
        <v>72</v>
      </c>
      <c r="I45" s="4"/>
      <c r="J45" s="4"/>
      <c r="K45" s="4">
        <v>226</v>
      </c>
      <c r="L45" s="4">
        <v>5</v>
      </c>
      <c r="M45" s="4">
        <v>3</v>
      </c>
      <c r="N45" s="4" t="s">
        <v>3</v>
      </c>
      <c r="O45" s="4">
        <v>2</v>
      </c>
      <c r="P45" s="4"/>
      <c r="Q45" s="4"/>
      <c r="R45" s="4"/>
      <c r="S45" s="4"/>
      <c r="T45" s="4"/>
      <c r="U45" s="4"/>
      <c r="V45" s="4"/>
      <c r="W45" s="4"/>
    </row>
    <row r="46" spans="1:245" x14ac:dyDescent="0.2">
      <c r="A46" s="4">
        <v>50</v>
      </c>
      <c r="B46" s="4">
        <v>0</v>
      </c>
      <c r="C46" s="4">
        <v>0</v>
      </c>
      <c r="D46" s="4">
        <v>1</v>
      </c>
      <c r="E46" s="4">
        <v>227</v>
      </c>
      <c r="F46" s="4">
        <f>ROUND(Source!AX39,O46)</f>
        <v>0</v>
      </c>
      <c r="G46" s="4" t="s">
        <v>73</v>
      </c>
      <c r="H46" s="4" t="s">
        <v>74</v>
      </c>
      <c r="I46" s="4"/>
      <c r="J46" s="4"/>
      <c r="K46" s="4">
        <v>227</v>
      </c>
      <c r="L46" s="4">
        <v>6</v>
      </c>
      <c r="M46" s="4">
        <v>3</v>
      </c>
      <c r="N46" s="4" t="s">
        <v>3</v>
      </c>
      <c r="O46" s="4">
        <v>2</v>
      </c>
      <c r="P46" s="4"/>
      <c r="Q46" s="4"/>
      <c r="R46" s="4"/>
      <c r="S46" s="4"/>
      <c r="T46" s="4"/>
      <c r="U46" s="4"/>
      <c r="V46" s="4"/>
      <c r="W46" s="4"/>
    </row>
    <row r="47" spans="1:245" x14ac:dyDescent="0.2">
      <c r="A47" s="4">
        <v>50</v>
      </c>
      <c r="B47" s="4">
        <v>0</v>
      </c>
      <c r="C47" s="4">
        <v>0</v>
      </c>
      <c r="D47" s="4">
        <v>1</v>
      </c>
      <c r="E47" s="4">
        <v>228</v>
      </c>
      <c r="F47" s="4">
        <f>ROUND(Source!AY39,O47)</f>
        <v>179435.34</v>
      </c>
      <c r="G47" s="4" t="s">
        <v>75</v>
      </c>
      <c r="H47" s="4" t="s">
        <v>76</v>
      </c>
      <c r="I47" s="4"/>
      <c r="J47" s="4"/>
      <c r="K47" s="4">
        <v>228</v>
      </c>
      <c r="L47" s="4">
        <v>7</v>
      </c>
      <c r="M47" s="4">
        <v>3</v>
      </c>
      <c r="N47" s="4" t="s">
        <v>3</v>
      </c>
      <c r="O47" s="4">
        <v>2</v>
      </c>
      <c r="P47" s="4"/>
      <c r="Q47" s="4"/>
      <c r="R47" s="4"/>
      <c r="S47" s="4"/>
      <c r="T47" s="4"/>
      <c r="U47" s="4"/>
      <c r="V47" s="4"/>
      <c r="W47" s="4"/>
    </row>
    <row r="48" spans="1:245" x14ac:dyDescent="0.2">
      <c r="A48" s="4">
        <v>50</v>
      </c>
      <c r="B48" s="4">
        <v>0</v>
      </c>
      <c r="C48" s="4">
        <v>0</v>
      </c>
      <c r="D48" s="4">
        <v>1</v>
      </c>
      <c r="E48" s="4">
        <v>216</v>
      </c>
      <c r="F48" s="4">
        <f>ROUND(Source!AP39,O48)</f>
        <v>0</v>
      </c>
      <c r="G48" s="4" t="s">
        <v>77</v>
      </c>
      <c r="H48" s="4" t="s">
        <v>78</v>
      </c>
      <c r="I48" s="4"/>
      <c r="J48" s="4"/>
      <c r="K48" s="4">
        <v>216</v>
      </c>
      <c r="L48" s="4">
        <v>8</v>
      </c>
      <c r="M48" s="4">
        <v>3</v>
      </c>
      <c r="N48" s="4" t="s">
        <v>3</v>
      </c>
      <c r="O48" s="4">
        <v>2</v>
      </c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>
        <v>50</v>
      </c>
      <c r="B49" s="4">
        <v>0</v>
      </c>
      <c r="C49" s="4">
        <v>0</v>
      </c>
      <c r="D49" s="4">
        <v>1</v>
      </c>
      <c r="E49" s="4">
        <v>223</v>
      </c>
      <c r="F49" s="4">
        <f>ROUND(Source!AQ39,O49)</f>
        <v>0</v>
      </c>
      <c r="G49" s="4" t="s">
        <v>79</v>
      </c>
      <c r="H49" s="4" t="s">
        <v>80</v>
      </c>
      <c r="I49" s="4"/>
      <c r="J49" s="4"/>
      <c r="K49" s="4">
        <v>223</v>
      </c>
      <c r="L49" s="4">
        <v>9</v>
      </c>
      <c r="M49" s="4">
        <v>3</v>
      </c>
      <c r="N49" s="4" t="s">
        <v>3</v>
      </c>
      <c r="O49" s="4">
        <v>2</v>
      </c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>
        <v>50</v>
      </c>
      <c r="B50" s="4">
        <v>0</v>
      </c>
      <c r="C50" s="4">
        <v>0</v>
      </c>
      <c r="D50" s="4">
        <v>1</v>
      </c>
      <c r="E50" s="4">
        <v>229</v>
      </c>
      <c r="F50" s="4">
        <f>ROUND(Source!AZ39,O50)</f>
        <v>0</v>
      </c>
      <c r="G50" s="4" t="s">
        <v>81</v>
      </c>
      <c r="H50" s="4" t="s">
        <v>82</v>
      </c>
      <c r="I50" s="4"/>
      <c r="J50" s="4"/>
      <c r="K50" s="4">
        <v>229</v>
      </c>
      <c r="L50" s="4">
        <v>10</v>
      </c>
      <c r="M50" s="4">
        <v>3</v>
      </c>
      <c r="N50" s="4" t="s">
        <v>3</v>
      </c>
      <c r="O50" s="4">
        <v>2</v>
      </c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>
        <v>50</v>
      </c>
      <c r="B51" s="4">
        <v>0</v>
      </c>
      <c r="C51" s="4">
        <v>0</v>
      </c>
      <c r="D51" s="4">
        <v>1</v>
      </c>
      <c r="E51" s="4">
        <v>203</v>
      </c>
      <c r="F51" s="4">
        <f>ROUND(Source!Q39,O51)</f>
        <v>255.56</v>
      </c>
      <c r="G51" s="4" t="s">
        <v>83</v>
      </c>
      <c r="H51" s="4" t="s">
        <v>84</v>
      </c>
      <c r="I51" s="4"/>
      <c r="J51" s="4"/>
      <c r="K51" s="4">
        <v>203</v>
      </c>
      <c r="L51" s="4">
        <v>11</v>
      </c>
      <c r="M51" s="4">
        <v>3</v>
      </c>
      <c r="N51" s="4" t="s">
        <v>3</v>
      </c>
      <c r="O51" s="4">
        <v>2</v>
      </c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>
        <v>50</v>
      </c>
      <c r="B52" s="4">
        <v>0</v>
      </c>
      <c r="C52" s="4">
        <v>0</v>
      </c>
      <c r="D52" s="4">
        <v>1</v>
      </c>
      <c r="E52" s="4">
        <v>231</v>
      </c>
      <c r="F52" s="4">
        <f>ROUND(Source!BB39,O52)</f>
        <v>0</v>
      </c>
      <c r="G52" s="4" t="s">
        <v>85</v>
      </c>
      <c r="H52" s="4" t="s">
        <v>86</v>
      </c>
      <c r="I52" s="4"/>
      <c r="J52" s="4"/>
      <c r="K52" s="4">
        <v>231</v>
      </c>
      <c r="L52" s="4">
        <v>12</v>
      </c>
      <c r="M52" s="4">
        <v>3</v>
      </c>
      <c r="N52" s="4" t="s">
        <v>3</v>
      </c>
      <c r="O52" s="4">
        <v>2</v>
      </c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>
        <v>50</v>
      </c>
      <c r="B53" s="4">
        <v>0</v>
      </c>
      <c r="C53" s="4">
        <v>0</v>
      </c>
      <c r="D53" s="4">
        <v>1</v>
      </c>
      <c r="E53" s="4">
        <v>204</v>
      </c>
      <c r="F53" s="4">
        <f>ROUND(Source!R39,O53)</f>
        <v>127.72</v>
      </c>
      <c r="G53" s="4" t="s">
        <v>87</v>
      </c>
      <c r="H53" s="4" t="s">
        <v>88</v>
      </c>
      <c r="I53" s="4"/>
      <c r="J53" s="4"/>
      <c r="K53" s="4">
        <v>204</v>
      </c>
      <c r="L53" s="4">
        <v>13</v>
      </c>
      <c r="M53" s="4">
        <v>3</v>
      </c>
      <c r="N53" s="4" t="s">
        <v>3</v>
      </c>
      <c r="O53" s="4">
        <v>2</v>
      </c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4">
        <v>50</v>
      </c>
      <c r="B54" s="4">
        <v>0</v>
      </c>
      <c r="C54" s="4">
        <v>0</v>
      </c>
      <c r="D54" s="4">
        <v>1</v>
      </c>
      <c r="E54" s="4">
        <v>205</v>
      </c>
      <c r="F54" s="4">
        <f>ROUND(Source!S39,O54)</f>
        <v>11332.82</v>
      </c>
      <c r="G54" s="4" t="s">
        <v>89</v>
      </c>
      <c r="H54" s="4" t="s">
        <v>90</v>
      </c>
      <c r="I54" s="4"/>
      <c r="J54" s="4"/>
      <c r="K54" s="4">
        <v>205</v>
      </c>
      <c r="L54" s="4">
        <v>14</v>
      </c>
      <c r="M54" s="4">
        <v>3</v>
      </c>
      <c r="N54" s="4" t="s">
        <v>3</v>
      </c>
      <c r="O54" s="4">
        <v>2</v>
      </c>
      <c r="P54" s="4"/>
      <c r="Q54" s="4"/>
      <c r="R54" s="4"/>
      <c r="S54" s="4"/>
      <c r="T54" s="4"/>
      <c r="U54" s="4"/>
      <c r="V54" s="4"/>
      <c r="W54" s="4"/>
    </row>
    <row r="55" spans="1:23" x14ac:dyDescent="0.2">
      <c r="A55" s="4">
        <v>50</v>
      </c>
      <c r="B55" s="4">
        <v>0</v>
      </c>
      <c r="C55" s="4">
        <v>0</v>
      </c>
      <c r="D55" s="4">
        <v>1</v>
      </c>
      <c r="E55" s="4">
        <v>232</v>
      </c>
      <c r="F55" s="4">
        <f>ROUND(Source!BC39,O55)</f>
        <v>0</v>
      </c>
      <c r="G55" s="4" t="s">
        <v>91</v>
      </c>
      <c r="H55" s="4" t="s">
        <v>92</v>
      </c>
      <c r="I55" s="4"/>
      <c r="J55" s="4"/>
      <c r="K55" s="4">
        <v>232</v>
      </c>
      <c r="L55" s="4">
        <v>15</v>
      </c>
      <c r="M55" s="4">
        <v>3</v>
      </c>
      <c r="N55" s="4" t="s">
        <v>3</v>
      </c>
      <c r="O55" s="4">
        <v>2</v>
      </c>
      <c r="P55" s="4"/>
      <c r="Q55" s="4"/>
      <c r="R55" s="4"/>
      <c r="S55" s="4"/>
      <c r="T55" s="4"/>
      <c r="U55" s="4"/>
      <c r="V55" s="4"/>
      <c r="W55" s="4"/>
    </row>
    <row r="56" spans="1:23" x14ac:dyDescent="0.2">
      <c r="A56" s="4">
        <v>50</v>
      </c>
      <c r="B56" s="4">
        <v>0</v>
      </c>
      <c r="C56" s="4">
        <v>0</v>
      </c>
      <c r="D56" s="4">
        <v>1</v>
      </c>
      <c r="E56" s="4">
        <v>214</v>
      </c>
      <c r="F56" s="4">
        <f>ROUND(Source!AS39,O56)</f>
        <v>0</v>
      </c>
      <c r="G56" s="4" t="s">
        <v>93</v>
      </c>
      <c r="H56" s="4" t="s">
        <v>94</v>
      </c>
      <c r="I56" s="4"/>
      <c r="J56" s="4"/>
      <c r="K56" s="4">
        <v>214</v>
      </c>
      <c r="L56" s="4">
        <v>16</v>
      </c>
      <c r="M56" s="4">
        <v>3</v>
      </c>
      <c r="N56" s="4" t="s">
        <v>3</v>
      </c>
      <c r="O56" s="4">
        <v>2</v>
      </c>
      <c r="P56" s="4"/>
      <c r="Q56" s="4"/>
      <c r="R56" s="4"/>
      <c r="S56" s="4"/>
      <c r="T56" s="4"/>
      <c r="U56" s="4"/>
      <c r="V56" s="4"/>
      <c r="W56" s="4"/>
    </row>
    <row r="57" spans="1:23" x14ac:dyDescent="0.2">
      <c r="A57" s="4">
        <v>50</v>
      </c>
      <c r="B57" s="4">
        <v>0</v>
      </c>
      <c r="C57" s="4">
        <v>0</v>
      </c>
      <c r="D57" s="4">
        <v>1</v>
      </c>
      <c r="E57" s="4">
        <v>215</v>
      </c>
      <c r="F57" s="4">
        <f>ROUND(Source!AT39,O57)</f>
        <v>0</v>
      </c>
      <c r="G57" s="4" t="s">
        <v>95</v>
      </c>
      <c r="H57" s="4" t="s">
        <v>96</v>
      </c>
      <c r="I57" s="4"/>
      <c r="J57" s="4"/>
      <c r="K57" s="4">
        <v>215</v>
      </c>
      <c r="L57" s="4">
        <v>17</v>
      </c>
      <c r="M57" s="4">
        <v>3</v>
      </c>
      <c r="N57" s="4" t="s">
        <v>3</v>
      </c>
      <c r="O57" s="4">
        <v>2</v>
      </c>
      <c r="P57" s="4"/>
      <c r="Q57" s="4"/>
      <c r="R57" s="4"/>
      <c r="S57" s="4"/>
      <c r="T57" s="4"/>
      <c r="U57" s="4"/>
      <c r="V57" s="4"/>
      <c r="W57" s="4"/>
    </row>
    <row r="58" spans="1:23" x14ac:dyDescent="0.2">
      <c r="A58" s="4">
        <v>50</v>
      </c>
      <c r="B58" s="4">
        <v>0</v>
      </c>
      <c r="C58" s="4">
        <v>0</v>
      </c>
      <c r="D58" s="4">
        <v>1</v>
      </c>
      <c r="E58" s="4">
        <v>217</v>
      </c>
      <c r="F58" s="4">
        <f>ROUND(Source!AU39,O58)</f>
        <v>200089.97</v>
      </c>
      <c r="G58" s="4" t="s">
        <v>97</v>
      </c>
      <c r="H58" s="4" t="s">
        <v>98</v>
      </c>
      <c r="I58" s="4"/>
      <c r="J58" s="4"/>
      <c r="K58" s="4">
        <v>217</v>
      </c>
      <c r="L58" s="4">
        <v>18</v>
      </c>
      <c r="M58" s="4">
        <v>3</v>
      </c>
      <c r="N58" s="4" t="s">
        <v>3</v>
      </c>
      <c r="O58" s="4">
        <v>2</v>
      </c>
      <c r="P58" s="4"/>
      <c r="Q58" s="4"/>
      <c r="R58" s="4"/>
      <c r="S58" s="4"/>
      <c r="T58" s="4"/>
      <c r="U58" s="4"/>
      <c r="V58" s="4"/>
      <c r="W58" s="4"/>
    </row>
    <row r="59" spans="1:23" x14ac:dyDescent="0.2">
      <c r="A59" s="4">
        <v>50</v>
      </c>
      <c r="B59" s="4">
        <v>0</v>
      </c>
      <c r="C59" s="4">
        <v>0</v>
      </c>
      <c r="D59" s="4">
        <v>1</v>
      </c>
      <c r="E59" s="4">
        <v>230</v>
      </c>
      <c r="F59" s="4">
        <f>ROUND(Source!BA39,O59)</f>
        <v>0</v>
      </c>
      <c r="G59" s="4" t="s">
        <v>99</v>
      </c>
      <c r="H59" s="4" t="s">
        <v>100</v>
      </c>
      <c r="I59" s="4"/>
      <c r="J59" s="4"/>
      <c r="K59" s="4">
        <v>230</v>
      </c>
      <c r="L59" s="4">
        <v>19</v>
      </c>
      <c r="M59" s="4">
        <v>3</v>
      </c>
      <c r="N59" s="4" t="s">
        <v>3</v>
      </c>
      <c r="O59" s="4">
        <v>2</v>
      </c>
      <c r="P59" s="4"/>
      <c r="Q59" s="4"/>
      <c r="R59" s="4"/>
      <c r="S59" s="4"/>
      <c r="T59" s="4"/>
      <c r="U59" s="4"/>
      <c r="V59" s="4"/>
      <c r="W59" s="4"/>
    </row>
    <row r="60" spans="1:23" x14ac:dyDescent="0.2">
      <c r="A60" s="4">
        <v>50</v>
      </c>
      <c r="B60" s="4">
        <v>0</v>
      </c>
      <c r="C60" s="4">
        <v>0</v>
      </c>
      <c r="D60" s="4">
        <v>1</v>
      </c>
      <c r="E60" s="4">
        <v>206</v>
      </c>
      <c r="F60" s="4">
        <f>ROUND(Source!T39,O60)</f>
        <v>0</v>
      </c>
      <c r="G60" s="4" t="s">
        <v>101</v>
      </c>
      <c r="H60" s="4" t="s">
        <v>102</v>
      </c>
      <c r="I60" s="4"/>
      <c r="J60" s="4"/>
      <c r="K60" s="4">
        <v>206</v>
      </c>
      <c r="L60" s="4">
        <v>20</v>
      </c>
      <c r="M60" s="4">
        <v>3</v>
      </c>
      <c r="N60" s="4" t="s">
        <v>3</v>
      </c>
      <c r="O60" s="4">
        <v>2</v>
      </c>
      <c r="P60" s="4"/>
      <c r="Q60" s="4"/>
      <c r="R60" s="4"/>
      <c r="S60" s="4"/>
      <c r="T60" s="4"/>
      <c r="U60" s="4"/>
      <c r="V60" s="4"/>
      <c r="W60" s="4"/>
    </row>
    <row r="61" spans="1:23" x14ac:dyDescent="0.2">
      <c r="A61" s="4">
        <v>50</v>
      </c>
      <c r="B61" s="4">
        <v>0</v>
      </c>
      <c r="C61" s="4">
        <v>0</v>
      </c>
      <c r="D61" s="4">
        <v>1</v>
      </c>
      <c r="E61" s="4">
        <v>207</v>
      </c>
      <c r="F61" s="4">
        <f>Source!U39</f>
        <v>57.804880000000004</v>
      </c>
      <c r="G61" s="4" t="s">
        <v>103</v>
      </c>
      <c r="H61" s="4" t="s">
        <v>104</v>
      </c>
      <c r="I61" s="4"/>
      <c r="J61" s="4"/>
      <c r="K61" s="4">
        <v>207</v>
      </c>
      <c r="L61" s="4">
        <v>21</v>
      </c>
      <c r="M61" s="4">
        <v>3</v>
      </c>
      <c r="N61" s="4" t="s">
        <v>3</v>
      </c>
      <c r="O61" s="4">
        <v>-1</v>
      </c>
      <c r="P61" s="4"/>
      <c r="Q61" s="4"/>
      <c r="R61" s="4"/>
      <c r="S61" s="4"/>
      <c r="T61" s="4"/>
      <c r="U61" s="4"/>
      <c r="V61" s="4"/>
      <c r="W61" s="4"/>
    </row>
    <row r="62" spans="1:23" x14ac:dyDescent="0.2">
      <c r="A62" s="4">
        <v>50</v>
      </c>
      <c r="B62" s="4">
        <v>0</v>
      </c>
      <c r="C62" s="4">
        <v>0</v>
      </c>
      <c r="D62" s="4">
        <v>1</v>
      </c>
      <c r="E62" s="4">
        <v>208</v>
      </c>
      <c r="F62" s="4">
        <f>Source!V39</f>
        <v>0</v>
      </c>
      <c r="G62" s="4" t="s">
        <v>105</v>
      </c>
      <c r="H62" s="4" t="s">
        <v>106</v>
      </c>
      <c r="I62" s="4"/>
      <c r="J62" s="4"/>
      <c r="K62" s="4">
        <v>208</v>
      </c>
      <c r="L62" s="4">
        <v>22</v>
      </c>
      <c r="M62" s="4">
        <v>3</v>
      </c>
      <c r="N62" s="4" t="s">
        <v>3</v>
      </c>
      <c r="O62" s="4">
        <v>-1</v>
      </c>
      <c r="P62" s="4"/>
      <c r="Q62" s="4"/>
      <c r="R62" s="4"/>
      <c r="S62" s="4"/>
      <c r="T62" s="4"/>
      <c r="U62" s="4"/>
      <c r="V62" s="4"/>
      <c r="W62" s="4"/>
    </row>
    <row r="63" spans="1:23" x14ac:dyDescent="0.2">
      <c r="A63" s="4">
        <v>50</v>
      </c>
      <c r="B63" s="4">
        <v>0</v>
      </c>
      <c r="C63" s="4">
        <v>0</v>
      </c>
      <c r="D63" s="4">
        <v>1</v>
      </c>
      <c r="E63" s="4">
        <v>209</v>
      </c>
      <c r="F63" s="4">
        <f>ROUND(Source!W39,O63)</f>
        <v>0</v>
      </c>
      <c r="G63" s="4" t="s">
        <v>107</v>
      </c>
      <c r="H63" s="4" t="s">
        <v>108</v>
      </c>
      <c r="I63" s="4"/>
      <c r="J63" s="4"/>
      <c r="K63" s="4">
        <v>209</v>
      </c>
      <c r="L63" s="4">
        <v>23</v>
      </c>
      <c r="M63" s="4">
        <v>3</v>
      </c>
      <c r="N63" s="4" t="s">
        <v>3</v>
      </c>
      <c r="O63" s="4">
        <v>2</v>
      </c>
      <c r="P63" s="4"/>
      <c r="Q63" s="4"/>
      <c r="R63" s="4"/>
      <c r="S63" s="4"/>
      <c r="T63" s="4"/>
      <c r="U63" s="4"/>
      <c r="V63" s="4"/>
      <c r="W63" s="4"/>
    </row>
    <row r="64" spans="1:23" x14ac:dyDescent="0.2">
      <c r="A64" s="4">
        <v>50</v>
      </c>
      <c r="B64" s="4">
        <v>0</v>
      </c>
      <c r="C64" s="4">
        <v>0</v>
      </c>
      <c r="D64" s="4">
        <v>1</v>
      </c>
      <c r="E64" s="4">
        <v>233</v>
      </c>
      <c r="F64" s="4">
        <f>ROUND(Source!BD39,O64)</f>
        <v>0</v>
      </c>
      <c r="G64" s="4" t="s">
        <v>109</v>
      </c>
      <c r="H64" s="4" t="s">
        <v>110</v>
      </c>
      <c r="I64" s="4"/>
      <c r="J64" s="4"/>
      <c r="K64" s="4">
        <v>233</v>
      </c>
      <c r="L64" s="4">
        <v>24</v>
      </c>
      <c r="M64" s="4">
        <v>3</v>
      </c>
      <c r="N64" s="4" t="s">
        <v>3</v>
      </c>
      <c r="O64" s="4">
        <v>2</v>
      </c>
      <c r="P64" s="4"/>
      <c r="Q64" s="4"/>
      <c r="R64" s="4"/>
      <c r="S64" s="4"/>
      <c r="T64" s="4"/>
      <c r="U64" s="4"/>
      <c r="V64" s="4"/>
      <c r="W64" s="4"/>
    </row>
    <row r="65" spans="1:206" x14ac:dyDescent="0.2">
      <c r="A65" s="4">
        <v>50</v>
      </c>
      <c r="B65" s="4">
        <v>0</v>
      </c>
      <c r="C65" s="4">
        <v>0</v>
      </c>
      <c r="D65" s="4">
        <v>1</v>
      </c>
      <c r="E65" s="4">
        <v>210</v>
      </c>
      <c r="F65" s="4">
        <f>ROUND(Source!X39,O65)</f>
        <v>7932.97</v>
      </c>
      <c r="G65" s="4" t="s">
        <v>111</v>
      </c>
      <c r="H65" s="4" t="s">
        <v>112</v>
      </c>
      <c r="I65" s="4"/>
      <c r="J65" s="4"/>
      <c r="K65" s="4">
        <v>210</v>
      </c>
      <c r="L65" s="4">
        <v>25</v>
      </c>
      <c r="M65" s="4">
        <v>3</v>
      </c>
      <c r="N65" s="4" t="s">
        <v>3</v>
      </c>
      <c r="O65" s="4">
        <v>2</v>
      </c>
      <c r="P65" s="4"/>
      <c r="Q65" s="4"/>
      <c r="R65" s="4"/>
      <c r="S65" s="4"/>
      <c r="T65" s="4"/>
      <c r="U65" s="4"/>
      <c r="V65" s="4"/>
      <c r="W65" s="4"/>
    </row>
    <row r="66" spans="1:206" x14ac:dyDescent="0.2">
      <c r="A66" s="4">
        <v>50</v>
      </c>
      <c r="B66" s="4">
        <v>0</v>
      </c>
      <c r="C66" s="4">
        <v>0</v>
      </c>
      <c r="D66" s="4">
        <v>1</v>
      </c>
      <c r="E66" s="4">
        <v>211</v>
      </c>
      <c r="F66" s="4">
        <f>ROUND(Source!Y39,O66)</f>
        <v>1133.28</v>
      </c>
      <c r="G66" s="4" t="s">
        <v>113</v>
      </c>
      <c r="H66" s="4" t="s">
        <v>114</v>
      </c>
      <c r="I66" s="4"/>
      <c r="J66" s="4"/>
      <c r="K66" s="4">
        <v>211</v>
      </c>
      <c r="L66" s="4">
        <v>26</v>
      </c>
      <c r="M66" s="4">
        <v>3</v>
      </c>
      <c r="N66" s="4" t="s">
        <v>3</v>
      </c>
      <c r="O66" s="4">
        <v>2</v>
      </c>
      <c r="P66" s="4"/>
      <c r="Q66" s="4"/>
      <c r="R66" s="4"/>
      <c r="S66" s="4"/>
      <c r="T66" s="4"/>
      <c r="U66" s="4"/>
      <c r="V66" s="4"/>
      <c r="W66" s="4"/>
    </row>
    <row r="67" spans="1:206" x14ac:dyDescent="0.2">
      <c r="A67" s="4">
        <v>50</v>
      </c>
      <c r="B67" s="4">
        <v>0</v>
      </c>
      <c r="C67" s="4">
        <v>0</v>
      </c>
      <c r="D67" s="4">
        <v>1</v>
      </c>
      <c r="E67" s="4">
        <v>224</v>
      </c>
      <c r="F67" s="4">
        <f>ROUND(Source!AR39,O67)</f>
        <v>200089.97</v>
      </c>
      <c r="G67" s="4" t="s">
        <v>115</v>
      </c>
      <c r="H67" s="4" t="s">
        <v>116</v>
      </c>
      <c r="I67" s="4"/>
      <c r="J67" s="4"/>
      <c r="K67" s="4">
        <v>224</v>
      </c>
      <c r="L67" s="4">
        <v>27</v>
      </c>
      <c r="M67" s="4">
        <v>3</v>
      </c>
      <c r="N67" s="4" t="s">
        <v>3</v>
      </c>
      <c r="O67" s="4">
        <v>2</v>
      </c>
      <c r="P67" s="4"/>
      <c r="Q67" s="4"/>
      <c r="R67" s="4"/>
      <c r="S67" s="4"/>
      <c r="T67" s="4"/>
      <c r="U67" s="4"/>
      <c r="V67" s="4"/>
      <c r="W67" s="4"/>
    </row>
    <row r="69" spans="1:206" x14ac:dyDescent="0.2">
      <c r="A69" s="2">
        <v>51</v>
      </c>
      <c r="B69" s="2">
        <f>B20</f>
        <v>1</v>
      </c>
      <c r="C69" s="2">
        <f>A20</f>
        <v>3</v>
      </c>
      <c r="D69" s="2">
        <f>ROW(A20)</f>
        <v>20</v>
      </c>
      <c r="E69" s="2"/>
      <c r="F69" s="2" t="str">
        <f>IF(F20&lt;&gt;"",F20,"")</f>
        <v>Новая локальная смета</v>
      </c>
      <c r="G69" s="2" t="str">
        <f>IF(G20&lt;&gt;"",G20,"")</f>
        <v>Новая локальная смета</v>
      </c>
      <c r="H69" s="2">
        <v>0</v>
      </c>
      <c r="I69" s="2"/>
      <c r="J69" s="2"/>
      <c r="K69" s="2"/>
      <c r="L69" s="2"/>
      <c r="M69" s="2"/>
      <c r="N69" s="2"/>
      <c r="O69" s="2">
        <f t="shared" ref="O69:T69" si="63">ROUND(O39+AB69,2)</f>
        <v>191023.72</v>
      </c>
      <c r="P69" s="2">
        <f t="shared" si="63"/>
        <v>179435.34</v>
      </c>
      <c r="Q69" s="2">
        <f t="shared" si="63"/>
        <v>255.56</v>
      </c>
      <c r="R69" s="2">
        <f t="shared" si="63"/>
        <v>127.72</v>
      </c>
      <c r="S69" s="2">
        <f t="shared" si="63"/>
        <v>11332.82</v>
      </c>
      <c r="T69" s="2">
        <f t="shared" si="63"/>
        <v>0</v>
      </c>
      <c r="U69" s="2">
        <f>U39+AH69</f>
        <v>57.804880000000004</v>
      </c>
      <c r="V69" s="2">
        <f>V39+AI69</f>
        <v>0</v>
      </c>
      <c r="W69" s="2">
        <f>ROUND(W39+AJ69,2)</f>
        <v>0</v>
      </c>
      <c r="X69" s="2">
        <f>ROUND(X39+AK69,2)</f>
        <v>7932.97</v>
      </c>
      <c r="Y69" s="2">
        <f>ROUND(Y39+AL69,2)</f>
        <v>1133.28</v>
      </c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>
        <f t="shared" ref="AO69:BD69" si="64">ROUND(AO39+BX69,2)</f>
        <v>0</v>
      </c>
      <c r="AP69" s="2">
        <f t="shared" si="64"/>
        <v>0</v>
      </c>
      <c r="AQ69" s="2">
        <f t="shared" si="64"/>
        <v>0</v>
      </c>
      <c r="AR69" s="2">
        <f t="shared" si="64"/>
        <v>200089.97</v>
      </c>
      <c r="AS69" s="2">
        <f t="shared" si="64"/>
        <v>0</v>
      </c>
      <c r="AT69" s="2">
        <f t="shared" si="64"/>
        <v>0</v>
      </c>
      <c r="AU69" s="2">
        <f t="shared" si="64"/>
        <v>200089.97</v>
      </c>
      <c r="AV69" s="2">
        <f t="shared" si="64"/>
        <v>179435.34</v>
      </c>
      <c r="AW69" s="2">
        <f t="shared" si="64"/>
        <v>179435.34</v>
      </c>
      <c r="AX69" s="2">
        <f t="shared" si="64"/>
        <v>0</v>
      </c>
      <c r="AY69" s="2">
        <f t="shared" si="64"/>
        <v>179435.34</v>
      </c>
      <c r="AZ69" s="2">
        <f t="shared" si="64"/>
        <v>0</v>
      </c>
      <c r="BA69" s="2">
        <f t="shared" si="64"/>
        <v>0</v>
      </c>
      <c r="BB69" s="2">
        <f t="shared" si="64"/>
        <v>0</v>
      </c>
      <c r="BC69" s="2">
        <f t="shared" si="64"/>
        <v>0</v>
      </c>
      <c r="BD69" s="2">
        <f t="shared" si="64"/>
        <v>0</v>
      </c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>
        <v>0</v>
      </c>
    </row>
    <row r="71" spans="1:206" x14ac:dyDescent="0.2">
      <c r="A71" s="4">
        <v>50</v>
      </c>
      <c r="B71" s="4">
        <v>0</v>
      </c>
      <c r="C71" s="4">
        <v>0</v>
      </c>
      <c r="D71" s="4">
        <v>1</v>
      </c>
      <c r="E71" s="4">
        <v>201</v>
      </c>
      <c r="F71" s="4">
        <f>ROUND(Source!O69,O71)</f>
        <v>191023.72</v>
      </c>
      <c r="G71" s="4" t="s">
        <v>63</v>
      </c>
      <c r="H71" s="4" t="s">
        <v>64</v>
      </c>
      <c r="I71" s="4"/>
      <c r="J71" s="4"/>
      <c r="K71" s="4">
        <v>201</v>
      </c>
      <c r="L71" s="4">
        <v>1</v>
      </c>
      <c r="M71" s="4">
        <v>3</v>
      </c>
      <c r="N71" s="4" t="s">
        <v>3</v>
      </c>
      <c r="O71" s="4">
        <v>2</v>
      </c>
      <c r="P71" s="4"/>
      <c r="Q71" s="4"/>
      <c r="R71" s="4"/>
      <c r="S71" s="4"/>
      <c r="T71" s="4"/>
      <c r="U71" s="4"/>
      <c r="V71" s="4"/>
      <c r="W71" s="4"/>
    </row>
    <row r="72" spans="1:206" x14ac:dyDescent="0.2">
      <c r="A72" s="4">
        <v>50</v>
      </c>
      <c r="B72" s="4">
        <v>0</v>
      </c>
      <c r="C72" s="4">
        <v>0</v>
      </c>
      <c r="D72" s="4">
        <v>1</v>
      </c>
      <c r="E72" s="4">
        <v>202</v>
      </c>
      <c r="F72" s="4">
        <f>ROUND(Source!P69,O72)</f>
        <v>179435.34</v>
      </c>
      <c r="G72" s="4" t="s">
        <v>65</v>
      </c>
      <c r="H72" s="4" t="s">
        <v>66</v>
      </c>
      <c r="I72" s="4"/>
      <c r="J72" s="4"/>
      <c r="K72" s="4">
        <v>202</v>
      </c>
      <c r="L72" s="4">
        <v>2</v>
      </c>
      <c r="M72" s="4">
        <v>3</v>
      </c>
      <c r="N72" s="4" t="s">
        <v>3</v>
      </c>
      <c r="O72" s="4">
        <v>2</v>
      </c>
      <c r="P72" s="4"/>
      <c r="Q72" s="4"/>
      <c r="R72" s="4"/>
      <c r="S72" s="4"/>
      <c r="T72" s="4"/>
      <c r="U72" s="4"/>
      <c r="V72" s="4"/>
      <c r="W72" s="4"/>
    </row>
    <row r="73" spans="1:206" x14ac:dyDescent="0.2">
      <c r="A73" s="4">
        <v>50</v>
      </c>
      <c r="B73" s="4">
        <v>0</v>
      </c>
      <c r="C73" s="4">
        <v>0</v>
      </c>
      <c r="D73" s="4">
        <v>1</v>
      </c>
      <c r="E73" s="4">
        <v>222</v>
      </c>
      <c r="F73" s="4">
        <f>ROUND(Source!AO69,O73)</f>
        <v>0</v>
      </c>
      <c r="G73" s="4" t="s">
        <v>67</v>
      </c>
      <c r="H73" s="4" t="s">
        <v>68</v>
      </c>
      <c r="I73" s="4"/>
      <c r="J73" s="4"/>
      <c r="K73" s="4">
        <v>222</v>
      </c>
      <c r="L73" s="4">
        <v>3</v>
      </c>
      <c r="M73" s="4">
        <v>3</v>
      </c>
      <c r="N73" s="4" t="s">
        <v>3</v>
      </c>
      <c r="O73" s="4">
        <v>2</v>
      </c>
      <c r="P73" s="4"/>
      <c r="Q73" s="4"/>
      <c r="R73" s="4"/>
      <c r="S73" s="4"/>
      <c r="T73" s="4"/>
      <c r="U73" s="4"/>
      <c r="V73" s="4"/>
      <c r="W73" s="4"/>
    </row>
    <row r="74" spans="1:206" x14ac:dyDescent="0.2">
      <c r="A74" s="4">
        <v>50</v>
      </c>
      <c r="B74" s="4">
        <v>0</v>
      </c>
      <c r="C74" s="4">
        <v>0</v>
      </c>
      <c r="D74" s="4">
        <v>1</v>
      </c>
      <c r="E74" s="4">
        <v>225</v>
      </c>
      <c r="F74" s="4">
        <f>ROUND(Source!AV69,O74)</f>
        <v>179435.34</v>
      </c>
      <c r="G74" s="4" t="s">
        <v>69</v>
      </c>
      <c r="H74" s="4" t="s">
        <v>70</v>
      </c>
      <c r="I74" s="4"/>
      <c r="J74" s="4"/>
      <c r="K74" s="4">
        <v>225</v>
      </c>
      <c r="L74" s="4">
        <v>4</v>
      </c>
      <c r="M74" s="4">
        <v>3</v>
      </c>
      <c r="N74" s="4" t="s">
        <v>3</v>
      </c>
      <c r="O74" s="4">
        <v>2</v>
      </c>
      <c r="P74" s="4"/>
      <c r="Q74" s="4"/>
      <c r="R74" s="4"/>
      <c r="S74" s="4"/>
      <c r="T74" s="4"/>
      <c r="U74" s="4"/>
      <c r="V74" s="4"/>
      <c r="W74" s="4"/>
    </row>
    <row r="75" spans="1:206" x14ac:dyDescent="0.2">
      <c r="A75" s="4">
        <v>50</v>
      </c>
      <c r="B75" s="4">
        <v>0</v>
      </c>
      <c r="C75" s="4">
        <v>0</v>
      </c>
      <c r="D75" s="4">
        <v>1</v>
      </c>
      <c r="E75" s="4">
        <v>226</v>
      </c>
      <c r="F75" s="4">
        <f>ROUND(Source!AW69,O75)</f>
        <v>179435.34</v>
      </c>
      <c r="G75" s="4" t="s">
        <v>71</v>
      </c>
      <c r="H75" s="4" t="s">
        <v>72</v>
      </c>
      <c r="I75" s="4"/>
      <c r="J75" s="4"/>
      <c r="K75" s="4">
        <v>226</v>
      </c>
      <c r="L75" s="4">
        <v>5</v>
      </c>
      <c r="M75" s="4">
        <v>3</v>
      </c>
      <c r="N75" s="4" t="s">
        <v>3</v>
      </c>
      <c r="O75" s="4">
        <v>2</v>
      </c>
      <c r="P75" s="4"/>
      <c r="Q75" s="4"/>
      <c r="R75" s="4"/>
      <c r="S75" s="4"/>
      <c r="T75" s="4"/>
      <c r="U75" s="4"/>
      <c r="V75" s="4"/>
      <c r="W75" s="4"/>
    </row>
    <row r="76" spans="1:206" x14ac:dyDescent="0.2">
      <c r="A76" s="4">
        <v>50</v>
      </c>
      <c r="B76" s="4">
        <v>0</v>
      </c>
      <c r="C76" s="4">
        <v>0</v>
      </c>
      <c r="D76" s="4">
        <v>1</v>
      </c>
      <c r="E76" s="4">
        <v>227</v>
      </c>
      <c r="F76" s="4">
        <f>ROUND(Source!AX69,O76)</f>
        <v>0</v>
      </c>
      <c r="G76" s="4" t="s">
        <v>73</v>
      </c>
      <c r="H76" s="4" t="s">
        <v>74</v>
      </c>
      <c r="I76" s="4"/>
      <c r="J76" s="4"/>
      <c r="K76" s="4">
        <v>227</v>
      </c>
      <c r="L76" s="4">
        <v>6</v>
      </c>
      <c r="M76" s="4">
        <v>3</v>
      </c>
      <c r="N76" s="4" t="s">
        <v>3</v>
      </c>
      <c r="O76" s="4">
        <v>2</v>
      </c>
      <c r="P76" s="4"/>
      <c r="Q76" s="4"/>
      <c r="R76" s="4"/>
      <c r="S76" s="4"/>
      <c r="T76" s="4"/>
      <c r="U76" s="4"/>
      <c r="V76" s="4"/>
      <c r="W76" s="4"/>
    </row>
    <row r="77" spans="1:206" x14ac:dyDescent="0.2">
      <c r="A77" s="4">
        <v>50</v>
      </c>
      <c r="B77" s="4">
        <v>0</v>
      </c>
      <c r="C77" s="4">
        <v>0</v>
      </c>
      <c r="D77" s="4">
        <v>1</v>
      </c>
      <c r="E77" s="4">
        <v>228</v>
      </c>
      <c r="F77" s="4">
        <f>ROUND(Source!AY69,O77)</f>
        <v>179435.34</v>
      </c>
      <c r="G77" s="4" t="s">
        <v>75</v>
      </c>
      <c r="H77" s="4" t="s">
        <v>76</v>
      </c>
      <c r="I77" s="4"/>
      <c r="J77" s="4"/>
      <c r="K77" s="4">
        <v>228</v>
      </c>
      <c r="L77" s="4">
        <v>7</v>
      </c>
      <c r="M77" s="4">
        <v>3</v>
      </c>
      <c r="N77" s="4" t="s">
        <v>3</v>
      </c>
      <c r="O77" s="4">
        <v>2</v>
      </c>
      <c r="P77" s="4"/>
      <c r="Q77" s="4"/>
      <c r="R77" s="4"/>
      <c r="S77" s="4"/>
      <c r="T77" s="4"/>
      <c r="U77" s="4"/>
      <c r="V77" s="4"/>
      <c r="W77" s="4"/>
    </row>
    <row r="78" spans="1:206" x14ac:dyDescent="0.2">
      <c r="A78" s="4">
        <v>50</v>
      </c>
      <c r="B78" s="4">
        <v>0</v>
      </c>
      <c r="C78" s="4">
        <v>0</v>
      </c>
      <c r="D78" s="4">
        <v>1</v>
      </c>
      <c r="E78" s="4">
        <v>216</v>
      </c>
      <c r="F78" s="4">
        <f>ROUND(Source!AP69,O78)</f>
        <v>0</v>
      </c>
      <c r="G78" s="4" t="s">
        <v>77</v>
      </c>
      <c r="H78" s="4" t="s">
        <v>78</v>
      </c>
      <c r="I78" s="4"/>
      <c r="J78" s="4"/>
      <c r="K78" s="4">
        <v>216</v>
      </c>
      <c r="L78" s="4">
        <v>8</v>
      </c>
      <c r="M78" s="4">
        <v>3</v>
      </c>
      <c r="N78" s="4" t="s">
        <v>3</v>
      </c>
      <c r="O78" s="4">
        <v>2</v>
      </c>
      <c r="P78" s="4"/>
      <c r="Q78" s="4"/>
      <c r="R78" s="4"/>
      <c r="S78" s="4"/>
      <c r="T78" s="4"/>
      <c r="U78" s="4"/>
      <c r="V78" s="4"/>
      <c r="W78" s="4"/>
    </row>
    <row r="79" spans="1:206" x14ac:dyDescent="0.2">
      <c r="A79" s="4">
        <v>50</v>
      </c>
      <c r="B79" s="4">
        <v>0</v>
      </c>
      <c r="C79" s="4">
        <v>0</v>
      </c>
      <c r="D79" s="4">
        <v>1</v>
      </c>
      <c r="E79" s="4">
        <v>223</v>
      </c>
      <c r="F79" s="4">
        <f>ROUND(Source!AQ69,O79)</f>
        <v>0</v>
      </c>
      <c r="G79" s="4" t="s">
        <v>79</v>
      </c>
      <c r="H79" s="4" t="s">
        <v>80</v>
      </c>
      <c r="I79" s="4"/>
      <c r="J79" s="4"/>
      <c r="K79" s="4">
        <v>223</v>
      </c>
      <c r="L79" s="4">
        <v>9</v>
      </c>
      <c r="M79" s="4">
        <v>3</v>
      </c>
      <c r="N79" s="4" t="s">
        <v>3</v>
      </c>
      <c r="O79" s="4">
        <v>2</v>
      </c>
      <c r="P79" s="4"/>
      <c r="Q79" s="4"/>
      <c r="R79" s="4"/>
      <c r="S79" s="4"/>
      <c r="T79" s="4"/>
      <c r="U79" s="4"/>
      <c r="V79" s="4"/>
      <c r="W79" s="4"/>
    </row>
    <row r="80" spans="1:206" x14ac:dyDescent="0.2">
      <c r="A80" s="4">
        <v>50</v>
      </c>
      <c r="B80" s="4">
        <v>0</v>
      </c>
      <c r="C80" s="4">
        <v>0</v>
      </c>
      <c r="D80" s="4">
        <v>1</v>
      </c>
      <c r="E80" s="4">
        <v>229</v>
      </c>
      <c r="F80" s="4">
        <f>ROUND(Source!AZ69,O80)</f>
        <v>0</v>
      </c>
      <c r="G80" s="4" t="s">
        <v>81</v>
      </c>
      <c r="H80" s="4" t="s">
        <v>82</v>
      </c>
      <c r="I80" s="4"/>
      <c r="J80" s="4"/>
      <c r="K80" s="4">
        <v>229</v>
      </c>
      <c r="L80" s="4">
        <v>10</v>
      </c>
      <c r="M80" s="4">
        <v>3</v>
      </c>
      <c r="N80" s="4" t="s">
        <v>3</v>
      </c>
      <c r="O80" s="4">
        <v>2</v>
      </c>
      <c r="P80" s="4"/>
      <c r="Q80" s="4"/>
      <c r="R80" s="4"/>
      <c r="S80" s="4"/>
      <c r="T80" s="4"/>
      <c r="U80" s="4"/>
      <c r="V80" s="4"/>
      <c r="W80" s="4"/>
    </row>
    <row r="81" spans="1:23" x14ac:dyDescent="0.2">
      <c r="A81" s="4">
        <v>50</v>
      </c>
      <c r="B81" s="4">
        <v>0</v>
      </c>
      <c r="C81" s="4">
        <v>0</v>
      </c>
      <c r="D81" s="4">
        <v>1</v>
      </c>
      <c r="E81" s="4">
        <v>203</v>
      </c>
      <c r="F81" s="4">
        <f>ROUND(Source!Q69,O81)</f>
        <v>255.56</v>
      </c>
      <c r="G81" s="4" t="s">
        <v>83</v>
      </c>
      <c r="H81" s="4" t="s">
        <v>84</v>
      </c>
      <c r="I81" s="4"/>
      <c r="J81" s="4"/>
      <c r="K81" s="4">
        <v>203</v>
      </c>
      <c r="L81" s="4">
        <v>11</v>
      </c>
      <c r="M81" s="4">
        <v>3</v>
      </c>
      <c r="N81" s="4" t="s">
        <v>3</v>
      </c>
      <c r="O81" s="4">
        <v>2</v>
      </c>
      <c r="P81" s="4"/>
      <c r="Q81" s="4"/>
      <c r="R81" s="4"/>
      <c r="S81" s="4"/>
      <c r="T81" s="4"/>
      <c r="U81" s="4"/>
      <c r="V81" s="4"/>
      <c r="W81" s="4"/>
    </row>
    <row r="82" spans="1:23" x14ac:dyDescent="0.2">
      <c r="A82" s="4">
        <v>50</v>
      </c>
      <c r="B82" s="4">
        <v>0</v>
      </c>
      <c r="C82" s="4">
        <v>0</v>
      </c>
      <c r="D82" s="4">
        <v>1</v>
      </c>
      <c r="E82" s="4">
        <v>231</v>
      </c>
      <c r="F82" s="4">
        <f>ROUND(Source!BB69,O82)</f>
        <v>0</v>
      </c>
      <c r="G82" s="4" t="s">
        <v>85</v>
      </c>
      <c r="H82" s="4" t="s">
        <v>86</v>
      </c>
      <c r="I82" s="4"/>
      <c r="J82" s="4"/>
      <c r="K82" s="4">
        <v>231</v>
      </c>
      <c r="L82" s="4">
        <v>12</v>
      </c>
      <c r="M82" s="4">
        <v>3</v>
      </c>
      <c r="N82" s="4" t="s">
        <v>3</v>
      </c>
      <c r="O82" s="4">
        <v>2</v>
      </c>
      <c r="P82" s="4"/>
      <c r="Q82" s="4"/>
      <c r="R82" s="4"/>
      <c r="S82" s="4"/>
      <c r="T82" s="4"/>
      <c r="U82" s="4"/>
      <c r="V82" s="4"/>
      <c r="W82" s="4"/>
    </row>
    <row r="83" spans="1:23" x14ac:dyDescent="0.2">
      <c r="A83" s="4">
        <v>50</v>
      </c>
      <c r="B83" s="4">
        <v>0</v>
      </c>
      <c r="C83" s="4">
        <v>0</v>
      </c>
      <c r="D83" s="4">
        <v>1</v>
      </c>
      <c r="E83" s="4">
        <v>204</v>
      </c>
      <c r="F83" s="4">
        <f>ROUND(Source!R69,O83)</f>
        <v>127.72</v>
      </c>
      <c r="G83" s="4" t="s">
        <v>87</v>
      </c>
      <c r="H83" s="4" t="s">
        <v>88</v>
      </c>
      <c r="I83" s="4"/>
      <c r="J83" s="4"/>
      <c r="K83" s="4">
        <v>204</v>
      </c>
      <c r="L83" s="4">
        <v>13</v>
      </c>
      <c r="M83" s="4">
        <v>3</v>
      </c>
      <c r="N83" s="4" t="s">
        <v>3</v>
      </c>
      <c r="O83" s="4">
        <v>2</v>
      </c>
      <c r="P83" s="4"/>
      <c r="Q83" s="4"/>
      <c r="R83" s="4"/>
      <c r="S83" s="4"/>
      <c r="T83" s="4"/>
      <c r="U83" s="4"/>
      <c r="V83" s="4"/>
      <c r="W83" s="4"/>
    </row>
    <row r="84" spans="1:23" x14ac:dyDescent="0.2">
      <c r="A84" s="4">
        <v>50</v>
      </c>
      <c r="B84" s="4">
        <v>0</v>
      </c>
      <c r="C84" s="4">
        <v>0</v>
      </c>
      <c r="D84" s="4">
        <v>1</v>
      </c>
      <c r="E84" s="4">
        <v>205</v>
      </c>
      <c r="F84" s="4">
        <f>ROUND(Source!S69,O84)</f>
        <v>11332.82</v>
      </c>
      <c r="G84" s="4" t="s">
        <v>89</v>
      </c>
      <c r="H84" s="4" t="s">
        <v>90</v>
      </c>
      <c r="I84" s="4"/>
      <c r="J84" s="4"/>
      <c r="K84" s="4">
        <v>205</v>
      </c>
      <c r="L84" s="4">
        <v>14</v>
      </c>
      <c r="M84" s="4">
        <v>3</v>
      </c>
      <c r="N84" s="4" t="s">
        <v>3</v>
      </c>
      <c r="O84" s="4">
        <v>2</v>
      </c>
      <c r="P84" s="4"/>
      <c r="Q84" s="4"/>
      <c r="R84" s="4"/>
      <c r="S84" s="4"/>
      <c r="T84" s="4"/>
      <c r="U84" s="4"/>
      <c r="V84" s="4"/>
      <c r="W84" s="4"/>
    </row>
    <row r="85" spans="1:23" x14ac:dyDescent="0.2">
      <c r="A85" s="4">
        <v>50</v>
      </c>
      <c r="B85" s="4">
        <v>0</v>
      </c>
      <c r="C85" s="4">
        <v>0</v>
      </c>
      <c r="D85" s="4">
        <v>1</v>
      </c>
      <c r="E85" s="4">
        <v>232</v>
      </c>
      <c r="F85" s="4">
        <f>ROUND(Source!BC69,O85)</f>
        <v>0</v>
      </c>
      <c r="G85" s="4" t="s">
        <v>91</v>
      </c>
      <c r="H85" s="4" t="s">
        <v>92</v>
      </c>
      <c r="I85" s="4"/>
      <c r="J85" s="4"/>
      <c r="K85" s="4">
        <v>232</v>
      </c>
      <c r="L85" s="4">
        <v>15</v>
      </c>
      <c r="M85" s="4">
        <v>3</v>
      </c>
      <c r="N85" s="4" t="s">
        <v>3</v>
      </c>
      <c r="O85" s="4">
        <v>2</v>
      </c>
      <c r="P85" s="4"/>
      <c r="Q85" s="4"/>
      <c r="R85" s="4"/>
      <c r="S85" s="4"/>
      <c r="T85" s="4"/>
      <c r="U85" s="4"/>
      <c r="V85" s="4"/>
      <c r="W85" s="4"/>
    </row>
    <row r="86" spans="1:23" x14ac:dyDescent="0.2">
      <c r="A86" s="4">
        <v>50</v>
      </c>
      <c r="B86" s="4">
        <v>0</v>
      </c>
      <c r="C86" s="4">
        <v>0</v>
      </c>
      <c r="D86" s="4">
        <v>1</v>
      </c>
      <c r="E86" s="4">
        <v>214</v>
      </c>
      <c r="F86" s="4">
        <f>ROUND(Source!AS69,O86)</f>
        <v>0</v>
      </c>
      <c r="G86" s="4" t="s">
        <v>93</v>
      </c>
      <c r="H86" s="4" t="s">
        <v>94</v>
      </c>
      <c r="I86" s="4"/>
      <c r="J86" s="4"/>
      <c r="K86" s="4">
        <v>214</v>
      </c>
      <c r="L86" s="4">
        <v>16</v>
      </c>
      <c r="M86" s="4">
        <v>3</v>
      </c>
      <c r="N86" s="4" t="s">
        <v>3</v>
      </c>
      <c r="O86" s="4">
        <v>2</v>
      </c>
      <c r="P86" s="4"/>
      <c r="Q86" s="4"/>
      <c r="R86" s="4"/>
      <c r="S86" s="4"/>
      <c r="T86" s="4"/>
      <c r="U86" s="4"/>
      <c r="V86" s="4"/>
      <c r="W86" s="4"/>
    </row>
    <row r="87" spans="1:23" x14ac:dyDescent="0.2">
      <c r="A87" s="4">
        <v>50</v>
      </c>
      <c r="B87" s="4">
        <v>0</v>
      </c>
      <c r="C87" s="4">
        <v>0</v>
      </c>
      <c r="D87" s="4">
        <v>1</v>
      </c>
      <c r="E87" s="4">
        <v>215</v>
      </c>
      <c r="F87" s="4">
        <f>ROUND(Source!AT69,O87)</f>
        <v>0</v>
      </c>
      <c r="G87" s="4" t="s">
        <v>95</v>
      </c>
      <c r="H87" s="4" t="s">
        <v>96</v>
      </c>
      <c r="I87" s="4"/>
      <c r="J87" s="4"/>
      <c r="K87" s="4">
        <v>215</v>
      </c>
      <c r="L87" s="4">
        <v>17</v>
      </c>
      <c r="M87" s="4">
        <v>3</v>
      </c>
      <c r="N87" s="4" t="s">
        <v>3</v>
      </c>
      <c r="O87" s="4">
        <v>2</v>
      </c>
      <c r="P87" s="4"/>
      <c r="Q87" s="4"/>
      <c r="R87" s="4"/>
      <c r="S87" s="4"/>
      <c r="T87" s="4"/>
      <c r="U87" s="4"/>
      <c r="V87" s="4"/>
      <c r="W87" s="4"/>
    </row>
    <row r="88" spans="1:23" x14ac:dyDescent="0.2">
      <c r="A88" s="4">
        <v>50</v>
      </c>
      <c r="B88" s="4">
        <v>0</v>
      </c>
      <c r="C88" s="4">
        <v>0</v>
      </c>
      <c r="D88" s="4">
        <v>1</v>
      </c>
      <c r="E88" s="4">
        <v>217</v>
      </c>
      <c r="F88" s="4">
        <f>ROUND(Source!AU69,O88)</f>
        <v>200089.97</v>
      </c>
      <c r="G88" s="4" t="s">
        <v>97</v>
      </c>
      <c r="H88" s="4" t="s">
        <v>98</v>
      </c>
      <c r="I88" s="4"/>
      <c r="J88" s="4"/>
      <c r="K88" s="4">
        <v>217</v>
      </c>
      <c r="L88" s="4">
        <v>18</v>
      </c>
      <c r="M88" s="4">
        <v>3</v>
      </c>
      <c r="N88" s="4" t="s">
        <v>3</v>
      </c>
      <c r="O88" s="4">
        <v>2</v>
      </c>
      <c r="P88" s="4"/>
      <c r="Q88" s="4"/>
      <c r="R88" s="4"/>
      <c r="S88" s="4"/>
      <c r="T88" s="4"/>
      <c r="U88" s="4"/>
      <c r="V88" s="4"/>
      <c r="W88" s="4"/>
    </row>
    <row r="89" spans="1:23" x14ac:dyDescent="0.2">
      <c r="A89" s="4">
        <v>50</v>
      </c>
      <c r="B89" s="4">
        <v>0</v>
      </c>
      <c r="C89" s="4">
        <v>0</v>
      </c>
      <c r="D89" s="4">
        <v>1</v>
      </c>
      <c r="E89" s="4">
        <v>230</v>
      </c>
      <c r="F89" s="4">
        <f>ROUND(Source!BA69,O89)</f>
        <v>0</v>
      </c>
      <c r="G89" s="4" t="s">
        <v>99</v>
      </c>
      <c r="H89" s="4" t="s">
        <v>100</v>
      </c>
      <c r="I89" s="4"/>
      <c r="J89" s="4"/>
      <c r="K89" s="4">
        <v>230</v>
      </c>
      <c r="L89" s="4">
        <v>19</v>
      </c>
      <c r="M89" s="4">
        <v>3</v>
      </c>
      <c r="N89" s="4" t="s">
        <v>3</v>
      </c>
      <c r="O89" s="4">
        <v>2</v>
      </c>
      <c r="P89" s="4"/>
      <c r="Q89" s="4"/>
      <c r="R89" s="4"/>
      <c r="S89" s="4"/>
      <c r="T89" s="4"/>
      <c r="U89" s="4"/>
      <c r="V89" s="4"/>
      <c r="W89" s="4"/>
    </row>
    <row r="90" spans="1:23" x14ac:dyDescent="0.2">
      <c r="A90" s="4">
        <v>50</v>
      </c>
      <c r="B90" s="4">
        <v>0</v>
      </c>
      <c r="C90" s="4">
        <v>0</v>
      </c>
      <c r="D90" s="4">
        <v>1</v>
      </c>
      <c r="E90" s="4">
        <v>206</v>
      </c>
      <c r="F90" s="4">
        <f>ROUND(Source!T69,O90)</f>
        <v>0</v>
      </c>
      <c r="G90" s="4" t="s">
        <v>101</v>
      </c>
      <c r="H90" s="4" t="s">
        <v>102</v>
      </c>
      <c r="I90" s="4"/>
      <c r="J90" s="4"/>
      <c r="K90" s="4">
        <v>206</v>
      </c>
      <c r="L90" s="4">
        <v>20</v>
      </c>
      <c r="M90" s="4">
        <v>3</v>
      </c>
      <c r="N90" s="4" t="s">
        <v>3</v>
      </c>
      <c r="O90" s="4">
        <v>2</v>
      </c>
      <c r="P90" s="4"/>
      <c r="Q90" s="4"/>
      <c r="R90" s="4"/>
      <c r="S90" s="4"/>
      <c r="T90" s="4"/>
      <c r="U90" s="4"/>
      <c r="V90" s="4"/>
      <c r="W90" s="4"/>
    </row>
    <row r="91" spans="1:23" x14ac:dyDescent="0.2">
      <c r="A91" s="4">
        <v>50</v>
      </c>
      <c r="B91" s="4">
        <v>0</v>
      </c>
      <c r="C91" s="4">
        <v>0</v>
      </c>
      <c r="D91" s="4">
        <v>1</v>
      </c>
      <c r="E91" s="4">
        <v>207</v>
      </c>
      <c r="F91" s="4">
        <f>Source!U69</f>
        <v>57.804880000000004</v>
      </c>
      <c r="G91" s="4" t="s">
        <v>103</v>
      </c>
      <c r="H91" s="4" t="s">
        <v>104</v>
      </c>
      <c r="I91" s="4"/>
      <c r="J91" s="4"/>
      <c r="K91" s="4">
        <v>207</v>
      </c>
      <c r="L91" s="4">
        <v>21</v>
      </c>
      <c r="M91" s="4">
        <v>3</v>
      </c>
      <c r="N91" s="4" t="s">
        <v>3</v>
      </c>
      <c r="O91" s="4">
        <v>-1</v>
      </c>
      <c r="P91" s="4"/>
      <c r="Q91" s="4"/>
      <c r="R91" s="4"/>
      <c r="S91" s="4"/>
      <c r="T91" s="4"/>
      <c r="U91" s="4"/>
      <c r="V91" s="4"/>
      <c r="W91" s="4"/>
    </row>
    <row r="92" spans="1:23" x14ac:dyDescent="0.2">
      <c r="A92" s="4">
        <v>50</v>
      </c>
      <c r="B92" s="4">
        <v>0</v>
      </c>
      <c r="C92" s="4">
        <v>0</v>
      </c>
      <c r="D92" s="4">
        <v>1</v>
      </c>
      <c r="E92" s="4">
        <v>208</v>
      </c>
      <c r="F92" s="4">
        <f>Source!V69</f>
        <v>0</v>
      </c>
      <c r="G92" s="4" t="s">
        <v>105</v>
      </c>
      <c r="H92" s="4" t="s">
        <v>106</v>
      </c>
      <c r="I92" s="4"/>
      <c r="J92" s="4"/>
      <c r="K92" s="4">
        <v>208</v>
      </c>
      <c r="L92" s="4">
        <v>22</v>
      </c>
      <c r="M92" s="4">
        <v>3</v>
      </c>
      <c r="N92" s="4" t="s">
        <v>3</v>
      </c>
      <c r="O92" s="4">
        <v>-1</v>
      </c>
      <c r="P92" s="4"/>
      <c r="Q92" s="4"/>
      <c r="R92" s="4"/>
      <c r="S92" s="4"/>
      <c r="T92" s="4"/>
      <c r="U92" s="4"/>
      <c r="V92" s="4"/>
      <c r="W92" s="4"/>
    </row>
    <row r="93" spans="1:23" x14ac:dyDescent="0.2">
      <c r="A93" s="4">
        <v>50</v>
      </c>
      <c r="B93" s="4">
        <v>0</v>
      </c>
      <c r="C93" s="4">
        <v>0</v>
      </c>
      <c r="D93" s="4">
        <v>1</v>
      </c>
      <c r="E93" s="4">
        <v>209</v>
      </c>
      <c r="F93" s="4">
        <f>ROUND(Source!W69,O93)</f>
        <v>0</v>
      </c>
      <c r="G93" s="4" t="s">
        <v>107</v>
      </c>
      <c r="H93" s="4" t="s">
        <v>108</v>
      </c>
      <c r="I93" s="4"/>
      <c r="J93" s="4"/>
      <c r="K93" s="4">
        <v>209</v>
      </c>
      <c r="L93" s="4">
        <v>23</v>
      </c>
      <c r="M93" s="4">
        <v>3</v>
      </c>
      <c r="N93" s="4" t="s">
        <v>3</v>
      </c>
      <c r="O93" s="4">
        <v>2</v>
      </c>
      <c r="P93" s="4"/>
      <c r="Q93" s="4"/>
      <c r="R93" s="4"/>
      <c r="S93" s="4"/>
      <c r="T93" s="4"/>
      <c r="U93" s="4"/>
      <c r="V93" s="4"/>
      <c r="W93" s="4"/>
    </row>
    <row r="94" spans="1:23" x14ac:dyDescent="0.2">
      <c r="A94" s="4">
        <v>50</v>
      </c>
      <c r="B94" s="4">
        <v>0</v>
      </c>
      <c r="C94" s="4">
        <v>0</v>
      </c>
      <c r="D94" s="4">
        <v>1</v>
      </c>
      <c r="E94" s="4">
        <v>233</v>
      </c>
      <c r="F94" s="4">
        <f>ROUND(Source!BD69,O94)</f>
        <v>0</v>
      </c>
      <c r="G94" s="4" t="s">
        <v>109</v>
      </c>
      <c r="H94" s="4" t="s">
        <v>110</v>
      </c>
      <c r="I94" s="4"/>
      <c r="J94" s="4"/>
      <c r="K94" s="4">
        <v>233</v>
      </c>
      <c r="L94" s="4">
        <v>24</v>
      </c>
      <c r="M94" s="4">
        <v>3</v>
      </c>
      <c r="N94" s="4" t="s">
        <v>3</v>
      </c>
      <c r="O94" s="4">
        <v>2</v>
      </c>
      <c r="P94" s="4"/>
      <c r="Q94" s="4"/>
      <c r="R94" s="4"/>
      <c r="S94" s="4"/>
      <c r="T94" s="4"/>
      <c r="U94" s="4"/>
      <c r="V94" s="4"/>
      <c r="W94" s="4"/>
    </row>
    <row r="95" spans="1:23" x14ac:dyDescent="0.2">
      <c r="A95" s="4">
        <v>50</v>
      </c>
      <c r="B95" s="4">
        <v>0</v>
      </c>
      <c r="C95" s="4">
        <v>0</v>
      </c>
      <c r="D95" s="4">
        <v>1</v>
      </c>
      <c r="E95" s="4">
        <v>210</v>
      </c>
      <c r="F95" s="4">
        <f>ROUND(Source!X69,O95)</f>
        <v>7932.97</v>
      </c>
      <c r="G95" s="4" t="s">
        <v>111</v>
      </c>
      <c r="H95" s="4" t="s">
        <v>112</v>
      </c>
      <c r="I95" s="4"/>
      <c r="J95" s="4"/>
      <c r="K95" s="4">
        <v>210</v>
      </c>
      <c r="L95" s="4">
        <v>25</v>
      </c>
      <c r="M95" s="4">
        <v>3</v>
      </c>
      <c r="N95" s="4" t="s">
        <v>3</v>
      </c>
      <c r="O95" s="4">
        <v>2</v>
      </c>
      <c r="P95" s="4"/>
      <c r="Q95" s="4"/>
      <c r="R95" s="4"/>
      <c r="S95" s="4"/>
      <c r="T95" s="4"/>
      <c r="U95" s="4"/>
      <c r="V95" s="4"/>
      <c r="W95" s="4"/>
    </row>
    <row r="96" spans="1:23" x14ac:dyDescent="0.2">
      <c r="A96" s="4">
        <v>50</v>
      </c>
      <c r="B96" s="4">
        <v>0</v>
      </c>
      <c r="C96" s="4">
        <v>0</v>
      </c>
      <c r="D96" s="4">
        <v>1</v>
      </c>
      <c r="E96" s="4">
        <v>211</v>
      </c>
      <c r="F96" s="4">
        <f>ROUND(Source!Y69,O96)</f>
        <v>1133.28</v>
      </c>
      <c r="G96" s="4" t="s">
        <v>113</v>
      </c>
      <c r="H96" s="4" t="s">
        <v>114</v>
      </c>
      <c r="I96" s="4"/>
      <c r="J96" s="4"/>
      <c r="K96" s="4">
        <v>211</v>
      </c>
      <c r="L96" s="4">
        <v>26</v>
      </c>
      <c r="M96" s="4">
        <v>3</v>
      </c>
      <c r="N96" s="4" t="s">
        <v>3</v>
      </c>
      <c r="O96" s="4">
        <v>2</v>
      </c>
      <c r="P96" s="4"/>
      <c r="Q96" s="4"/>
      <c r="R96" s="4"/>
      <c r="S96" s="4"/>
      <c r="T96" s="4"/>
      <c r="U96" s="4"/>
      <c r="V96" s="4"/>
      <c r="W96" s="4"/>
    </row>
    <row r="97" spans="1:206" x14ac:dyDescent="0.2">
      <c r="A97" s="4">
        <v>50</v>
      </c>
      <c r="B97" s="4">
        <v>0</v>
      </c>
      <c r="C97" s="4">
        <v>0</v>
      </c>
      <c r="D97" s="4">
        <v>1</v>
      </c>
      <c r="E97" s="4">
        <v>224</v>
      </c>
      <c r="F97" s="4">
        <f>ROUND(Source!AR69,O97)</f>
        <v>200089.97</v>
      </c>
      <c r="G97" s="4" t="s">
        <v>115</v>
      </c>
      <c r="H97" s="4" t="s">
        <v>116</v>
      </c>
      <c r="I97" s="4"/>
      <c r="J97" s="4"/>
      <c r="K97" s="4">
        <v>224</v>
      </c>
      <c r="L97" s="4">
        <v>27</v>
      </c>
      <c r="M97" s="4">
        <v>3</v>
      </c>
      <c r="N97" s="4" t="s">
        <v>3</v>
      </c>
      <c r="O97" s="4">
        <v>2</v>
      </c>
      <c r="P97" s="4"/>
      <c r="Q97" s="4"/>
      <c r="R97" s="4"/>
      <c r="S97" s="4"/>
      <c r="T97" s="4"/>
      <c r="U97" s="4"/>
      <c r="V97" s="4"/>
      <c r="W97" s="4"/>
    </row>
    <row r="99" spans="1:206" x14ac:dyDescent="0.2">
      <c r="A99" s="2">
        <v>51</v>
      </c>
      <c r="B99" s="2">
        <f>B12</f>
        <v>132</v>
      </c>
      <c r="C99" s="2">
        <f>A12</f>
        <v>1</v>
      </c>
      <c r="D99" s="2">
        <f>ROW(A12)</f>
        <v>12</v>
      </c>
      <c r="E99" s="2"/>
      <c r="F99" s="2" t="str">
        <f>IF(F12&lt;&gt;"",F12,"")</f>
        <v/>
      </c>
      <c r="G99" s="2" t="str">
        <f>IF(G12&lt;&gt;"",G12,"")</f>
        <v>выполнение работ по посадке кустарников на территории ЦАК   СС и НМП им. А.С. Пучкова</v>
      </c>
      <c r="H99" s="2">
        <v>0</v>
      </c>
      <c r="I99" s="2"/>
      <c r="J99" s="2"/>
      <c r="K99" s="2"/>
      <c r="L99" s="2"/>
      <c r="M99" s="2"/>
      <c r="N99" s="2"/>
      <c r="O99" s="2">
        <f t="shared" ref="O99:T99" si="65">ROUND(O69,2)</f>
        <v>191023.72</v>
      </c>
      <c r="P99" s="2">
        <f t="shared" si="65"/>
        <v>179435.34</v>
      </c>
      <c r="Q99" s="2">
        <f t="shared" si="65"/>
        <v>255.56</v>
      </c>
      <c r="R99" s="2">
        <f t="shared" si="65"/>
        <v>127.72</v>
      </c>
      <c r="S99" s="2">
        <f t="shared" si="65"/>
        <v>11332.82</v>
      </c>
      <c r="T99" s="2">
        <f t="shared" si="65"/>
        <v>0</v>
      </c>
      <c r="U99" s="2">
        <f>U69</f>
        <v>57.804880000000004</v>
      </c>
      <c r="V99" s="2">
        <f>V69</f>
        <v>0</v>
      </c>
      <c r="W99" s="2">
        <f>ROUND(W69,2)</f>
        <v>0</v>
      </c>
      <c r="X99" s="2">
        <f>ROUND(X69,2)</f>
        <v>7932.97</v>
      </c>
      <c r="Y99" s="2">
        <f>ROUND(Y69,2)</f>
        <v>1133.28</v>
      </c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>
        <f t="shared" ref="AO99:BD99" si="66">ROUND(AO69,2)</f>
        <v>0</v>
      </c>
      <c r="AP99" s="2">
        <f t="shared" si="66"/>
        <v>0</v>
      </c>
      <c r="AQ99" s="2">
        <f t="shared" si="66"/>
        <v>0</v>
      </c>
      <c r="AR99" s="2">
        <f t="shared" si="66"/>
        <v>200089.97</v>
      </c>
      <c r="AS99" s="2">
        <f t="shared" si="66"/>
        <v>0</v>
      </c>
      <c r="AT99" s="2">
        <f t="shared" si="66"/>
        <v>0</v>
      </c>
      <c r="AU99" s="2">
        <f t="shared" si="66"/>
        <v>200089.97</v>
      </c>
      <c r="AV99" s="2">
        <f t="shared" si="66"/>
        <v>179435.34</v>
      </c>
      <c r="AW99" s="2">
        <f t="shared" si="66"/>
        <v>179435.34</v>
      </c>
      <c r="AX99" s="2">
        <f t="shared" si="66"/>
        <v>0</v>
      </c>
      <c r="AY99" s="2">
        <f t="shared" si="66"/>
        <v>179435.34</v>
      </c>
      <c r="AZ99" s="2">
        <f t="shared" si="66"/>
        <v>0</v>
      </c>
      <c r="BA99" s="2">
        <f t="shared" si="66"/>
        <v>0</v>
      </c>
      <c r="BB99" s="2">
        <f t="shared" si="66"/>
        <v>0</v>
      </c>
      <c r="BC99" s="2">
        <f t="shared" si="66"/>
        <v>0</v>
      </c>
      <c r="BD99" s="2">
        <f t="shared" si="66"/>
        <v>0</v>
      </c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>
        <v>0</v>
      </c>
    </row>
    <row r="101" spans="1:206" x14ac:dyDescent="0.2">
      <c r="A101" s="4">
        <v>50</v>
      </c>
      <c r="B101" s="4">
        <v>0</v>
      </c>
      <c r="C101" s="4">
        <v>0</v>
      </c>
      <c r="D101" s="4">
        <v>1</v>
      </c>
      <c r="E101" s="4">
        <v>201</v>
      </c>
      <c r="F101" s="4">
        <f>ROUND(Source!O99,O101)</f>
        <v>191023.72</v>
      </c>
      <c r="G101" s="4" t="s">
        <v>63</v>
      </c>
      <c r="H101" s="4" t="s">
        <v>64</v>
      </c>
      <c r="I101" s="4"/>
      <c r="J101" s="4"/>
      <c r="K101" s="4">
        <v>201</v>
      </c>
      <c r="L101" s="4">
        <v>1</v>
      </c>
      <c r="M101" s="4">
        <v>3</v>
      </c>
      <c r="N101" s="4" t="s">
        <v>3</v>
      </c>
      <c r="O101" s="4">
        <v>2</v>
      </c>
      <c r="P101" s="4"/>
      <c r="Q101" s="4"/>
      <c r="R101" s="4"/>
      <c r="S101" s="4"/>
      <c r="T101" s="4"/>
      <c r="U101" s="4"/>
      <c r="V101" s="4"/>
      <c r="W101" s="4"/>
    </row>
    <row r="102" spans="1:206" x14ac:dyDescent="0.2">
      <c r="A102" s="4">
        <v>50</v>
      </c>
      <c r="B102" s="4">
        <v>0</v>
      </c>
      <c r="C102" s="4">
        <v>0</v>
      </c>
      <c r="D102" s="4">
        <v>1</v>
      </c>
      <c r="E102" s="4">
        <v>202</v>
      </c>
      <c r="F102" s="4">
        <f>ROUND(Source!P99,O102)</f>
        <v>179435.34</v>
      </c>
      <c r="G102" s="4" t="s">
        <v>65</v>
      </c>
      <c r="H102" s="4" t="s">
        <v>66</v>
      </c>
      <c r="I102" s="4"/>
      <c r="J102" s="4"/>
      <c r="K102" s="4">
        <v>202</v>
      </c>
      <c r="L102" s="4">
        <v>2</v>
      </c>
      <c r="M102" s="4">
        <v>3</v>
      </c>
      <c r="N102" s="4" t="s">
        <v>3</v>
      </c>
      <c r="O102" s="4">
        <v>2</v>
      </c>
      <c r="P102" s="4"/>
      <c r="Q102" s="4"/>
      <c r="R102" s="4"/>
      <c r="S102" s="4"/>
      <c r="T102" s="4"/>
      <c r="U102" s="4"/>
      <c r="V102" s="4"/>
      <c r="W102" s="4"/>
    </row>
    <row r="103" spans="1:206" x14ac:dyDescent="0.2">
      <c r="A103" s="4">
        <v>50</v>
      </c>
      <c r="B103" s="4">
        <v>0</v>
      </c>
      <c r="C103" s="4">
        <v>0</v>
      </c>
      <c r="D103" s="4">
        <v>1</v>
      </c>
      <c r="E103" s="4">
        <v>222</v>
      </c>
      <c r="F103" s="4">
        <f>ROUND(Source!AO99,O103)</f>
        <v>0</v>
      </c>
      <c r="G103" s="4" t="s">
        <v>67</v>
      </c>
      <c r="H103" s="4" t="s">
        <v>68</v>
      </c>
      <c r="I103" s="4"/>
      <c r="J103" s="4"/>
      <c r="K103" s="4">
        <v>222</v>
      </c>
      <c r="L103" s="4">
        <v>3</v>
      </c>
      <c r="M103" s="4">
        <v>3</v>
      </c>
      <c r="N103" s="4" t="s">
        <v>3</v>
      </c>
      <c r="O103" s="4">
        <v>2</v>
      </c>
      <c r="P103" s="4"/>
      <c r="Q103" s="4"/>
      <c r="R103" s="4"/>
      <c r="S103" s="4"/>
      <c r="T103" s="4"/>
      <c r="U103" s="4"/>
      <c r="V103" s="4"/>
      <c r="W103" s="4"/>
    </row>
    <row r="104" spans="1:206" x14ac:dyDescent="0.2">
      <c r="A104" s="4">
        <v>50</v>
      </c>
      <c r="B104" s="4">
        <v>0</v>
      </c>
      <c r="C104" s="4">
        <v>0</v>
      </c>
      <c r="D104" s="4">
        <v>1</v>
      </c>
      <c r="E104" s="4">
        <v>225</v>
      </c>
      <c r="F104" s="4">
        <f>ROUND(Source!AV99,O104)</f>
        <v>179435.34</v>
      </c>
      <c r="G104" s="4" t="s">
        <v>69</v>
      </c>
      <c r="H104" s="4" t="s">
        <v>70</v>
      </c>
      <c r="I104" s="4"/>
      <c r="J104" s="4"/>
      <c r="K104" s="4">
        <v>225</v>
      </c>
      <c r="L104" s="4">
        <v>4</v>
      </c>
      <c r="M104" s="4">
        <v>3</v>
      </c>
      <c r="N104" s="4" t="s">
        <v>3</v>
      </c>
      <c r="O104" s="4">
        <v>2</v>
      </c>
      <c r="P104" s="4"/>
      <c r="Q104" s="4"/>
      <c r="R104" s="4"/>
      <c r="S104" s="4"/>
      <c r="T104" s="4"/>
      <c r="U104" s="4"/>
      <c r="V104" s="4"/>
      <c r="W104" s="4"/>
    </row>
    <row r="105" spans="1:206" x14ac:dyDescent="0.2">
      <c r="A105" s="4">
        <v>50</v>
      </c>
      <c r="B105" s="4">
        <v>0</v>
      </c>
      <c r="C105" s="4">
        <v>0</v>
      </c>
      <c r="D105" s="4">
        <v>1</v>
      </c>
      <c r="E105" s="4">
        <v>226</v>
      </c>
      <c r="F105" s="4">
        <f>ROUND(Source!AW99,O105)</f>
        <v>179435.34</v>
      </c>
      <c r="G105" s="4" t="s">
        <v>71</v>
      </c>
      <c r="H105" s="4" t="s">
        <v>72</v>
      </c>
      <c r="I105" s="4"/>
      <c r="J105" s="4"/>
      <c r="K105" s="4">
        <v>226</v>
      </c>
      <c r="L105" s="4">
        <v>5</v>
      </c>
      <c r="M105" s="4">
        <v>3</v>
      </c>
      <c r="N105" s="4" t="s">
        <v>3</v>
      </c>
      <c r="O105" s="4">
        <v>2</v>
      </c>
      <c r="P105" s="4"/>
      <c r="Q105" s="4"/>
      <c r="R105" s="4"/>
      <c r="S105" s="4"/>
      <c r="T105" s="4"/>
      <c r="U105" s="4"/>
      <c r="V105" s="4"/>
      <c r="W105" s="4"/>
    </row>
    <row r="106" spans="1:206" x14ac:dyDescent="0.2">
      <c r="A106" s="4">
        <v>50</v>
      </c>
      <c r="B106" s="4">
        <v>0</v>
      </c>
      <c r="C106" s="4">
        <v>0</v>
      </c>
      <c r="D106" s="4">
        <v>1</v>
      </c>
      <c r="E106" s="4">
        <v>227</v>
      </c>
      <c r="F106" s="4">
        <f>ROUND(Source!AX99,O106)</f>
        <v>0</v>
      </c>
      <c r="G106" s="4" t="s">
        <v>73</v>
      </c>
      <c r="H106" s="4" t="s">
        <v>74</v>
      </c>
      <c r="I106" s="4"/>
      <c r="J106" s="4"/>
      <c r="K106" s="4">
        <v>227</v>
      </c>
      <c r="L106" s="4">
        <v>6</v>
      </c>
      <c r="M106" s="4">
        <v>3</v>
      </c>
      <c r="N106" s="4" t="s">
        <v>3</v>
      </c>
      <c r="O106" s="4">
        <v>2</v>
      </c>
      <c r="P106" s="4"/>
      <c r="Q106" s="4"/>
      <c r="R106" s="4"/>
      <c r="S106" s="4"/>
      <c r="T106" s="4"/>
      <c r="U106" s="4"/>
      <c r="V106" s="4"/>
      <c r="W106" s="4"/>
    </row>
    <row r="107" spans="1:206" x14ac:dyDescent="0.2">
      <c r="A107" s="4">
        <v>50</v>
      </c>
      <c r="B107" s="4">
        <v>0</v>
      </c>
      <c r="C107" s="4">
        <v>0</v>
      </c>
      <c r="D107" s="4">
        <v>1</v>
      </c>
      <c r="E107" s="4">
        <v>228</v>
      </c>
      <c r="F107" s="4">
        <f>ROUND(Source!AY99,O107)</f>
        <v>179435.34</v>
      </c>
      <c r="G107" s="4" t="s">
        <v>75</v>
      </c>
      <c r="H107" s="4" t="s">
        <v>76</v>
      </c>
      <c r="I107" s="4"/>
      <c r="J107" s="4"/>
      <c r="K107" s="4">
        <v>228</v>
      </c>
      <c r="L107" s="4">
        <v>7</v>
      </c>
      <c r="M107" s="4">
        <v>3</v>
      </c>
      <c r="N107" s="4" t="s">
        <v>3</v>
      </c>
      <c r="O107" s="4">
        <v>2</v>
      </c>
      <c r="P107" s="4"/>
      <c r="Q107" s="4"/>
      <c r="R107" s="4"/>
      <c r="S107" s="4"/>
      <c r="T107" s="4"/>
      <c r="U107" s="4"/>
      <c r="V107" s="4"/>
      <c r="W107" s="4"/>
    </row>
    <row r="108" spans="1:206" x14ac:dyDescent="0.2">
      <c r="A108" s="4">
        <v>50</v>
      </c>
      <c r="B108" s="4">
        <v>0</v>
      </c>
      <c r="C108" s="4">
        <v>0</v>
      </c>
      <c r="D108" s="4">
        <v>1</v>
      </c>
      <c r="E108" s="4">
        <v>216</v>
      </c>
      <c r="F108" s="4">
        <f>ROUND(Source!AP99,O108)</f>
        <v>0</v>
      </c>
      <c r="G108" s="4" t="s">
        <v>77</v>
      </c>
      <c r="H108" s="4" t="s">
        <v>78</v>
      </c>
      <c r="I108" s="4"/>
      <c r="J108" s="4"/>
      <c r="K108" s="4">
        <v>216</v>
      </c>
      <c r="L108" s="4">
        <v>8</v>
      </c>
      <c r="M108" s="4">
        <v>3</v>
      </c>
      <c r="N108" s="4" t="s">
        <v>3</v>
      </c>
      <c r="O108" s="4">
        <v>2</v>
      </c>
      <c r="P108" s="4"/>
      <c r="Q108" s="4"/>
      <c r="R108" s="4"/>
      <c r="S108" s="4"/>
      <c r="T108" s="4"/>
      <c r="U108" s="4"/>
      <c r="V108" s="4"/>
      <c r="W108" s="4"/>
    </row>
    <row r="109" spans="1:206" x14ac:dyDescent="0.2">
      <c r="A109" s="4">
        <v>50</v>
      </c>
      <c r="B109" s="4">
        <v>0</v>
      </c>
      <c r="C109" s="4">
        <v>0</v>
      </c>
      <c r="D109" s="4">
        <v>1</v>
      </c>
      <c r="E109" s="4">
        <v>223</v>
      </c>
      <c r="F109" s="4">
        <f>ROUND(Source!AQ99,O109)</f>
        <v>0</v>
      </c>
      <c r="G109" s="4" t="s">
        <v>79</v>
      </c>
      <c r="H109" s="4" t="s">
        <v>80</v>
      </c>
      <c r="I109" s="4"/>
      <c r="J109" s="4"/>
      <c r="K109" s="4">
        <v>223</v>
      </c>
      <c r="L109" s="4">
        <v>9</v>
      </c>
      <c r="M109" s="4">
        <v>3</v>
      </c>
      <c r="N109" s="4" t="s">
        <v>3</v>
      </c>
      <c r="O109" s="4">
        <v>2</v>
      </c>
      <c r="P109" s="4"/>
      <c r="Q109" s="4"/>
      <c r="R109" s="4"/>
      <c r="S109" s="4"/>
      <c r="T109" s="4"/>
      <c r="U109" s="4"/>
      <c r="V109" s="4"/>
      <c r="W109" s="4"/>
    </row>
    <row r="110" spans="1:206" x14ac:dyDescent="0.2">
      <c r="A110" s="4">
        <v>50</v>
      </c>
      <c r="B110" s="4">
        <v>0</v>
      </c>
      <c r="C110" s="4">
        <v>0</v>
      </c>
      <c r="D110" s="4">
        <v>1</v>
      </c>
      <c r="E110" s="4">
        <v>229</v>
      </c>
      <c r="F110" s="4">
        <f>ROUND(Source!AZ99,O110)</f>
        <v>0</v>
      </c>
      <c r="G110" s="4" t="s">
        <v>81</v>
      </c>
      <c r="H110" s="4" t="s">
        <v>82</v>
      </c>
      <c r="I110" s="4"/>
      <c r="J110" s="4"/>
      <c r="K110" s="4">
        <v>229</v>
      </c>
      <c r="L110" s="4">
        <v>10</v>
      </c>
      <c r="M110" s="4">
        <v>3</v>
      </c>
      <c r="N110" s="4" t="s">
        <v>3</v>
      </c>
      <c r="O110" s="4">
        <v>2</v>
      </c>
      <c r="P110" s="4"/>
      <c r="Q110" s="4"/>
      <c r="R110" s="4"/>
      <c r="S110" s="4"/>
      <c r="T110" s="4"/>
      <c r="U110" s="4"/>
      <c r="V110" s="4"/>
      <c r="W110" s="4"/>
    </row>
    <row r="111" spans="1:206" x14ac:dyDescent="0.2">
      <c r="A111" s="4">
        <v>50</v>
      </c>
      <c r="B111" s="4">
        <v>0</v>
      </c>
      <c r="C111" s="4">
        <v>0</v>
      </c>
      <c r="D111" s="4">
        <v>1</v>
      </c>
      <c r="E111" s="4">
        <v>203</v>
      </c>
      <c r="F111" s="4">
        <f>ROUND(Source!Q99,O111)</f>
        <v>255.56</v>
      </c>
      <c r="G111" s="4" t="s">
        <v>83</v>
      </c>
      <c r="H111" s="4" t="s">
        <v>84</v>
      </c>
      <c r="I111" s="4"/>
      <c r="J111" s="4"/>
      <c r="K111" s="4">
        <v>203</v>
      </c>
      <c r="L111" s="4">
        <v>11</v>
      </c>
      <c r="M111" s="4">
        <v>3</v>
      </c>
      <c r="N111" s="4" t="s">
        <v>3</v>
      </c>
      <c r="O111" s="4">
        <v>2</v>
      </c>
      <c r="P111" s="4"/>
      <c r="Q111" s="4"/>
      <c r="R111" s="4"/>
      <c r="S111" s="4"/>
      <c r="T111" s="4"/>
      <c r="U111" s="4"/>
      <c r="V111" s="4"/>
      <c r="W111" s="4"/>
    </row>
    <row r="112" spans="1:206" x14ac:dyDescent="0.2">
      <c r="A112" s="4">
        <v>50</v>
      </c>
      <c r="B112" s="4">
        <v>0</v>
      </c>
      <c r="C112" s="4">
        <v>0</v>
      </c>
      <c r="D112" s="4">
        <v>1</v>
      </c>
      <c r="E112" s="4">
        <v>231</v>
      </c>
      <c r="F112" s="4">
        <f>ROUND(Source!BB99,O112)</f>
        <v>0</v>
      </c>
      <c r="G112" s="4" t="s">
        <v>85</v>
      </c>
      <c r="H112" s="4" t="s">
        <v>86</v>
      </c>
      <c r="I112" s="4"/>
      <c r="J112" s="4"/>
      <c r="K112" s="4">
        <v>231</v>
      </c>
      <c r="L112" s="4">
        <v>12</v>
      </c>
      <c r="M112" s="4">
        <v>3</v>
      </c>
      <c r="N112" s="4" t="s">
        <v>3</v>
      </c>
      <c r="O112" s="4">
        <v>2</v>
      </c>
      <c r="P112" s="4"/>
      <c r="Q112" s="4"/>
      <c r="R112" s="4"/>
      <c r="S112" s="4"/>
      <c r="T112" s="4"/>
      <c r="U112" s="4"/>
      <c r="V112" s="4"/>
      <c r="W112" s="4"/>
    </row>
    <row r="113" spans="1:23" x14ac:dyDescent="0.2">
      <c r="A113" s="4">
        <v>50</v>
      </c>
      <c r="B113" s="4">
        <v>0</v>
      </c>
      <c r="C113" s="4">
        <v>0</v>
      </c>
      <c r="D113" s="4">
        <v>1</v>
      </c>
      <c r="E113" s="4">
        <v>204</v>
      </c>
      <c r="F113" s="4">
        <f>ROUND(Source!R99,O113)</f>
        <v>127.72</v>
      </c>
      <c r="G113" s="4" t="s">
        <v>87</v>
      </c>
      <c r="H113" s="4" t="s">
        <v>88</v>
      </c>
      <c r="I113" s="4"/>
      <c r="J113" s="4"/>
      <c r="K113" s="4">
        <v>204</v>
      </c>
      <c r="L113" s="4">
        <v>13</v>
      </c>
      <c r="M113" s="4">
        <v>3</v>
      </c>
      <c r="N113" s="4" t="s">
        <v>3</v>
      </c>
      <c r="O113" s="4">
        <v>2</v>
      </c>
      <c r="P113" s="4"/>
      <c r="Q113" s="4"/>
      <c r="R113" s="4"/>
      <c r="S113" s="4"/>
      <c r="T113" s="4"/>
      <c r="U113" s="4"/>
      <c r="V113" s="4"/>
      <c r="W113" s="4"/>
    </row>
    <row r="114" spans="1:23" x14ac:dyDescent="0.2">
      <c r="A114" s="4">
        <v>50</v>
      </c>
      <c r="B114" s="4">
        <v>0</v>
      </c>
      <c r="C114" s="4">
        <v>0</v>
      </c>
      <c r="D114" s="4">
        <v>1</v>
      </c>
      <c r="E114" s="4">
        <v>205</v>
      </c>
      <c r="F114" s="4">
        <f>ROUND(Source!S99,O114)</f>
        <v>11332.82</v>
      </c>
      <c r="G114" s="4" t="s">
        <v>89</v>
      </c>
      <c r="H114" s="4" t="s">
        <v>90</v>
      </c>
      <c r="I114" s="4"/>
      <c r="J114" s="4"/>
      <c r="K114" s="4">
        <v>205</v>
      </c>
      <c r="L114" s="4">
        <v>14</v>
      </c>
      <c r="M114" s="4">
        <v>3</v>
      </c>
      <c r="N114" s="4" t="s">
        <v>3</v>
      </c>
      <c r="O114" s="4">
        <v>2</v>
      </c>
      <c r="P114" s="4"/>
      <c r="Q114" s="4"/>
      <c r="R114" s="4"/>
      <c r="S114" s="4"/>
      <c r="T114" s="4"/>
      <c r="U114" s="4"/>
      <c r="V114" s="4"/>
      <c r="W114" s="4"/>
    </row>
    <row r="115" spans="1:23" x14ac:dyDescent="0.2">
      <c r="A115" s="4">
        <v>50</v>
      </c>
      <c r="B115" s="4">
        <v>0</v>
      </c>
      <c r="C115" s="4">
        <v>0</v>
      </c>
      <c r="D115" s="4">
        <v>1</v>
      </c>
      <c r="E115" s="4">
        <v>232</v>
      </c>
      <c r="F115" s="4">
        <f>ROUND(Source!BC99,O115)</f>
        <v>0</v>
      </c>
      <c r="G115" s="4" t="s">
        <v>91</v>
      </c>
      <c r="H115" s="4" t="s">
        <v>92</v>
      </c>
      <c r="I115" s="4"/>
      <c r="J115" s="4"/>
      <c r="K115" s="4">
        <v>232</v>
      </c>
      <c r="L115" s="4">
        <v>15</v>
      </c>
      <c r="M115" s="4">
        <v>3</v>
      </c>
      <c r="N115" s="4" t="s">
        <v>3</v>
      </c>
      <c r="O115" s="4">
        <v>2</v>
      </c>
      <c r="P115" s="4"/>
      <c r="Q115" s="4"/>
      <c r="R115" s="4"/>
      <c r="S115" s="4"/>
      <c r="T115" s="4"/>
      <c r="U115" s="4"/>
      <c r="V115" s="4"/>
      <c r="W115" s="4"/>
    </row>
    <row r="116" spans="1:23" x14ac:dyDescent="0.2">
      <c r="A116" s="4">
        <v>50</v>
      </c>
      <c r="B116" s="4">
        <v>0</v>
      </c>
      <c r="C116" s="4">
        <v>0</v>
      </c>
      <c r="D116" s="4">
        <v>1</v>
      </c>
      <c r="E116" s="4">
        <v>214</v>
      </c>
      <c r="F116" s="4">
        <f>ROUND(Source!AS99,O116)</f>
        <v>0</v>
      </c>
      <c r="G116" s="4" t="s">
        <v>93</v>
      </c>
      <c r="H116" s="4" t="s">
        <v>94</v>
      </c>
      <c r="I116" s="4"/>
      <c r="J116" s="4"/>
      <c r="K116" s="4">
        <v>214</v>
      </c>
      <c r="L116" s="4">
        <v>16</v>
      </c>
      <c r="M116" s="4">
        <v>3</v>
      </c>
      <c r="N116" s="4" t="s">
        <v>3</v>
      </c>
      <c r="O116" s="4">
        <v>2</v>
      </c>
      <c r="P116" s="4"/>
      <c r="Q116" s="4"/>
      <c r="R116" s="4"/>
      <c r="S116" s="4"/>
      <c r="T116" s="4"/>
      <c r="U116" s="4"/>
      <c r="V116" s="4"/>
      <c r="W116" s="4"/>
    </row>
    <row r="117" spans="1:23" x14ac:dyDescent="0.2">
      <c r="A117" s="4">
        <v>50</v>
      </c>
      <c r="B117" s="4">
        <v>0</v>
      </c>
      <c r="C117" s="4">
        <v>0</v>
      </c>
      <c r="D117" s="4">
        <v>1</v>
      </c>
      <c r="E117" s="4">
        <v>215</v>
      </c>
      <c r="F117" s="4">
        <f>ROUND(Source!AT99,O117)</f>
        <v>0</v>
      </c>
      <c r="G117" s="4" t="s">
        <v>95</v>
      </c>
      <c r="H117" s="4" t="s">
        <v>96</v>
      </c>
      <c r="I117" s="4"/>
      <c r="J117" s="4"/>
      <c r="K117" s="4">
        <v>215</v>
      </c>
      <c r="L117" s="4">
        <v>17</v>
      </c>
      <c r="M117" s="4">
        <v>3</v>
      </c>
      <c r="N117" s="4" t="s">
        <v>3</v>
      </c>
      <c r="O117" s="4">
        <v>2</v>
      </c>
      <c r="P117" s="4"/>
      <c r="Q117" s="4"/>
      <c r="R117" s="4"/>
      <c r="S117" s="4"/>
      <c r="T117" s="4"/>
      <c r="U117" s="4"/>
      <c r="V117" s="4"/>
      <c r="W117" s="4"/>
    </row>
    <row r="118" spans="1:23" x14ac:dyDescent="0.2">
      <c r="A118" s="4">
        <v>50</v>
      </c>
      <c r="B118" s="4">
        <v>0</v>
      </c>
      <c r="C118" s="4">
        <v>0</v>
      </c>
      <c r="D118" s="4">
        <v>1</v>
      </c>
      <c r="E118" s="4">
        <v>217</v>
      </c>
      <c r="F118" s="4">
        <f>ROUND(Source!AU99,O118)</f>
        <v>200089.97</v>
      </c>
      <c r="G118" s="4" t="s">
        <v>97</v>
      </c>
      <c r="H118" s="4" t="s">
        <v>98</v>
      </c>
      <c r="I118" s="4"/>
      <c r="J118" s="4"/>
      <c r="K118" s="4">
        <v>217</v>
      </c>
      <c r="L118" s="4">
        <v>18</v>
      </c>
      <c r="M118" s="4">
        <v>3</v>
      </c>
      <c r="N118" s="4" t="s">
        <v>3</v>
      </c>
      <c r="O118" s="4">
        <v>2</v>
      </c>
      <c r="P118" s="4"/>
      <c r="Q118" s="4"/>
      <c r="R118" s="4"/>
      <c r="S118" s="4"/>
      <c r="T118" s="4"/>
      <c r="U118" s="4"/>
      <c r="V118" s="4"/>
      <c r="W118" s="4"/>
    </row>
    <row r="119" spans="1:23" x14ac:dyDescent="0.2">
      <c r="A119" s="4">
        <v>50</v>
      </c>
      <c r="B119" s="4">
        <v>0</v>
      </c>
      <c r="C119" s="4">
        <v>0</v>
      </c>
      <c r="D119" s="4">
        <v>1</v>
      </c>
      <c r="E119" s="4">
        <v>230</v>
      </c>
      <c r="F119" s="4">
        <f>ROUND(Source!BA99,O119)</f>
        <v>0</v>
      </c>
      <c r="G119" s="4" t="s">
        <v>99</v>
      </c>
      <c r="H119" s="4" t="s">
        <v>100</v>
      </c>
      <c r="I119" s="4"/>
      <c r="J119" s="4"/>
      <c r="K119" s="4">
        <v>230</v>
      </c>
      <c r="L119" s="4">
        <v>19</v>
      </c>
      <c r="M119" s="4">
        <v>3</v>
      </c>
      <c r="N119" s="4" t="s">
        <v>3</v>
      </c>
      <c r="O119" s="4">
        <v>2</v>
      </c>
      <c r="P119" s="4"/>
      <c r="Q119" s="4"/>
      <c r="R119" s="4"/>
      <c r="S119" s="4"/>
      <c r="T119" s="4"/>
      <c r="U119" s="4"/>
      <c r="V119" s="4"/>
      <c r="W119" s="4"/>
    </row>
    <row r="120" spans="1:23" x14ac:dyDescent="0.2">
      <c r="A120" s="4">
        <v>50</v>
      </c>
      <c r="B120" s="4">
        <v>0</v>
      </c>
      <c r="C120" s="4">
        <v>0</v>
      </c>
      <c r="D120" s="4">
        <v>1</v>
      </c>
      <c r="E120" s="4">
        <v>206</v>
      </c>
      <c r="F120" s="4">
        <f>ROUND(Source!T99,O120)</f>
        <v>0</v>
      </c>
      <c r="G120" s="4" t="s">
        <v>101</v>
      </c>
      <c r="H120" s="4" t="s">
        <v>102</v>
      </c>
      <c r="I120" s="4"/>
      <c r="J120" s="4"/>
      <c r="K120" s="4">
        <v>206</v>
      </c>
      <c r="L120" s="4">
        <v>20</v>
      </c>
      <c r="M120" s="4">
        <v>3</v>
      </c>
      <c r="N120" s="4" t="s">
        <v>3</v>
      </c>
      <c r="O120" s="4">
        <v>2</v>
      </c>
      <c r="P120" s="4"/>
      <c r="Q120" s="4"/>
      <c r="R120" s="4"/>
      <c r="S120" s="4"/>
      <c r="T120" s="4"/>
      <c r="U120" s="4"/>
      <c r="V120" s="4"/>
      <c r="W120" s="4"/>
    </row>
    <row r="121" spans="1:23" x14ac:dyDescent="0.2">
      <c r="A121" s="4">
        <v>50</v>
      </c>
      <c r="B121" s="4">
        <v>0</v>
      </c>
      <c r="C121" s="4">
        <v>0</v>
      </c>
      <c r="D121" s="4">
        <v>1</v>
      </c>
      <c r="E121" s="4">
        <v>207</v>
      </c>
      <c r="F121" s="4">
        <f>Source!U99</f>
        <v>57.804880000000004</v>
      </c>
      <c r="G121" s="4" t="s">
        <v>103</v>
      </c>
      <c r="H121" s="4" t="s">
        <v>104</v>
      </c>
      <c r="I121" s="4"/>
      <c r="J121" s="4"/>
      <c r="K121" s="4">
        <v>207</v>
      </c>
      <c r="L121" s="4">
        <v>21</v>
      </c>
      <c r="M121" s="4">
        <v>3</v>
      </c>
      <c r="N121" s="4" t="s">
        <v>3</v>
      </c>
      <c r="O121" s="4">
        <v>-1</v>
      </c>
      <c r="P121" s="4"/>
      <c r="Q121" s="4"/>
      <c r="R121" s="4"/>
      <c r="S121" s="4"/>
      <c r="T121" s="4"/>
      <c r="U121" s="4"/>
      <c r="V121" s="4"/>
      <c r="W121" s="4"/>
    </row>
    <row r="122" spans="1:23" x14ac:dyDescent="0.2">
      <c r="A122" s="4">
        <v>50</v>
      </c>
      <c r="B122" s="4">
        <v>0</v>
      </c>
      <c r="C122" s="4">
        <v>0</v>
      </c>
      <c r="D122" s="4">
        <v>1</v>
      </c>
      <c r="E122" s="4">
        <v>208</v>
      </c>
      <c r="F122" s="4">
        <f>Source!V99</f>
        <v>0</v>
      </c>
      <c r="G122" s="4" t="s">
        <v>105</v>
      </c>
      <c r="H122" s="4" t="s">
        <v>106</v>
      </c>
      <c r="I122" s="4"/>
      <c r="J122" s="4"/>
      <c r="K122" s="4">
        <v>208</v>
      </c>
      <c r="L122" s="4">
        <v>22</v>
      </c>
      <c r="M122" s="4">
        <v>3</v>
      </c>
      <c r="N122" s="4" t="s">
        <v>3</v>
      </c>
      <c r="O122" s="4">
        <v>-1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2">
      <c r="A123" s="4">
        <v>50</v>
      </c>
      <c r="B123" s="4">
        <v>0</v>
      </c>
      <c r="C123" s="4">
        <v>0</v>
      </c>
      <c r="D123" s="4">
        <v>1</v>
      </c>
      <c r="E123" s="4">
        <v>209</v>
      </c>
      <c r="F123" s="4">
        <f>ROUND(Source!W99,O123)</f>
        <v>0</v>
      </c>
      <c r="G123" s="4" t="s">
        <v>107</v>
      </c>
      <c r="H123" s="4" t="s">
        <v>108</v>
      </c>
      <c r="I123" s="4"/>
      <c r="J123" s="4"/>
      <c r="K123" s="4">
        <v>209</v>
      </c>
      <c r="L123" s="4">
        <v>23</v>
      </c>
      <c r="M123" s="4">
        <v>3</v>
      </c>
      <c r="N123" s="4" t="s">
        <v>3</v>
      </c>
      <c r="O123" s="4">
        <v>2</v>
      </c>
      <c r="P123" s="4"/>
      <c r="Q123" s="4"/>
      <c r="R123" s="4"/>
      <c r="S123" s="4"/>
      <c r="T123" s="4"/>
      <c r="U123" s="4"/>
      <c r="V123" s="4"/>
      <c r="W123" s="4"/>
    </row>
    <row r="124" spans="1:23" x14ac:dyDescent="0.2">
      <c r="A124" s="4">
        <v>50</v>
      </c>
      <c r="B124" s="4">
        <v>0</v>
      </c>
      <c r="C124" s="4">
        <v>0</v>
      </c>
      <c r="D124" s="4">
        <v>1</v>
      </c>
      <c r="E124" s="4">
        <v>233</v>
      </c>
      <c r="F124" s="4">
        <f>ROUND(Source!BD99,O124)</f>
        <v>0</v>
      </c>
      <c r="G124" s="4" t="s">
        <v>109</v>
      </c>
      <c r="H124" s="4" t="s">
        <v>110</v>
      </c>
      <c r="I124" s="4"/>
      <c r="J124" s="4"/>
      <c r="K124" s="4">
        <v>233</v>
      </c>
      <c r="L124" s="4">
        <v>24</v>
      </c>
      <c r="M124" s="4">
        <v>3</v>
      </c>
      <c r="N124" s="4" t="s">
        <v>3</v>
      </c>
      <c r="O124" s="4">
        <v>2</v>
      </c>
      <c r="P124" s="4"/>
      <c r="Q124" s="4"/>
      <c r="R124" s="4"/>
      <c r="S124" s="4"/>
      <c r="T124" s="4"/>
      <c r="U124" s="4"/>
      <c r="V124" s="4"/>
      <c r="W124" s="4"/>
    </row>
    <row r="125" spans="1:23" x14ac:dyDescent="0.2">
      <c r="A125" s="4">
        <v>50</v>
      </c>
      <c r="B125" s="4">
        <v>0</v>
      </c>
      <c r="C125" s="4">
        <v>0</v>
      </c>
      <c r="D125" s="4">
        <v>1</v>
      </c>
      <c r="E125" s="4">
        <v>210</v>
      </c>
      <c r="F125" s="4">
        <f>ROUND(Source!X99,O125)</f>
        <v>7932.97</v>
      </c>
      <c r="G125" s="4" t="s">
        <v>111</v>
      </c>
      <c r="H125" s="4" t="s">
        <v>112</v>
      </c>
      <c r="I125" s="4"/>
      <c r="J125" s="4"/>
      <c r="K125" s="4">
        <v>210</v>
      </c>
      <c r="L125" s="4">
        <v>25</v>
      </c>
      <c r="M125" s="4">
        <v>3</v>
      </c>
      <c r="N125" s="4" t="s">
        <v>3</v>
      </c>
      <c r="O125" s="4">
        <v>2</v>
      </c>
      <c r="P125" s="4"/>
      <c r="Q125" s="4"/>
      <c r="R125" s="4"/>
      <c r="S125" s="4"/>
      <c r="T125" s="4"/>
      <c r="U125" s="4"/>
      <c r="V125" s="4"/>
      <c r="W125" s="4"/>
    </row>
    <row r="126" spans="1:23" x14ac:dyDescent="0.2">
      <c r="A126" s="4">
        <v>50</v>
      </c>
      <c r="B126" s="4">
        <v>0</v>
      </c>
      <c r="C126" s="4">
        <v>0</v>
      </c>
      <c r="D126" s="4">
        <v>1</v>
      </c>
      <c r="E126" s="4">
        <v>211</v>
      </c>
      <c r="F126" s="4">
        <f>ROUND(Source!Y99,O126)</f>
        <v>1133.28</v>
      </c>
      <c r="G126" s="4" t="s">
        <v>113</v>
      </c>
      <c r="H126" s="4" t="s">
        <v>114</v>
      </c>
      <c r="I126" s="4"/>
      <c r="J126" s="4"/>
      <c r="K126" s="4">
        <v>211</v>
      </c>
      <c r="L126" s="4">
        <v>26</v>
      </c>
      <c r="M126" s="4">
        <v>3</v>
      </c>
      <c r="N126" s="4" t="s">
        <v>3</v>
      </c>
      <c r="O126" s="4">
        <v>2</v>
      </c>
      <c r="P126" s="4"/>
      <c r="Q126" s="4"/>
      <c r="R126" s="4"/>
      <c r="S126" s="4"/>
      <c r="T126" s="4"/>
      <c r="U126" s="4"/>
      <c r="V126" s="4"/>
      <c r="W126" s="4"/>
    </row>
    <row r="127" spans="1:23" x14ac:dyDescent="0.2">
      <c r="A127" s="4">
        <v>50</v>
      </c>
      <c r="B127" s="4">
        <v>0</v>
      </c>
      <c r="C127" s="4">
        <v>0</v>
      </c>
      <c r="D127" s="4">
        <v>1</v>
      </c>
      <c r="E127" s="4">
        <v>224</v>
      </c>
      <c r="F127" s="4">
        <f>ROUND(Source!AR99,O127)</f>
        <v>200089.97</v>
      </c>
      <c r="G127" s="4" t="s">
        <v>115</v>
      </c>
      <c r="H127" s="4" t="s">
        <v>116</v>
      </c>
      <c r="I127" s="4"/>
      <c r="J127" s="4"/>
      <c r="K127" s="4">
        <v>224</v>
      </c>
      <c r="L127" s="4">
        <v>27</v>
      </c>
      <c r="M127" s="4">
        <v>3</v>
      </c>
      <c r="N127" s="4" t="s">
        <v>3</v>
      </c>
      <c r="O127" s="4">
        <v>2</v>
      </c>
      <c r="P127" s="4"/>
      <c r="Q127" s="4"/>
      <c r="R127" s="4"/>
      <c r="S127" s="4"/>
      <c r="T127" s="4"/>
      <c r="U127" s="4"/>
      <c r="V127" s="4"/>
      <c r="W127" s="4"/>
    </row>
    <row r="130" spans="1:15" x14ac:dyDescent="0.2">
      <c r="A130">
        <v>-1</v>
      </c>
    </row>
    <row r="132" spans="1:15" x14ac:dyDescent="0.2">
      <c r="A132" s="3">
        <v>75</v>
      </c>
      <c r="B132" s="3" t="s">
        <v>117</v>
      </c>
      <c r="C132" s="3">
        <v>2020</v>
      </c>
      <c r="D132" s="3">
        <v>0</v>
      </c>
      <c r="E132" s="3">
        <v>10</v>
      </c>
      <c r="F132" s="3">
        <v>0</v>
      </c>
      <c r="G132" s="3">
        <v>0</v>
      </c>
      <c r="H132" s="3">
        <v>1</v>
      </c>
      <c r="I132" s="3">
        <v>0</v>
      </c>
      <c r="J132" s="3">
        <v>1</v>
      </c>
      <c r="K132" s="3">
        <v>78</v>
      </c>
      <c r="L132" s="3">
        <v>30</v>
      </c>
      <c r="M132" s="3">
        <v>0</v>
      </c>
      <c r="N132" s="3">
        <v>38449393</v>
      </c>
      <c r="O132" s="3">
        <v>1</v>
      </c>
    </row>
    <row r="136" spans="1:15" x14ac:dyDescent="0.2">
      <c r="A136">
        <v>65</v>
      </c>
      <c r="C136">
        <v>1</v>
      </c>
      <c r="D136">
        <v>0</v>
      </c>
      <c r="E136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C51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118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58634</v>
      </c>
      <c r="M1">
        <v>10</v>
      </c>
      <c r="N1">
        <v>11</v>
      </c>
      <c r="O1">
        <v>3</v>
      </c>
      <c r="P1">
        <v>0</v>
      </c>
      <c r="Q1">
        <v>0</v>
      </c>
    </row>
    <row r="12" spans="1:133" x14ac:dyDescent="0.2">
      <c r="A12" s="1">
        <v>1</v>
      </c>
      <c r="B12" s="1">
        <v>51</v>
      </c>
      <c r="C12" s="1">
        <v>0</v>
      </c>
      <c r="D12" s="1"/>
      <c r="E12" s="1">
        <v>0</v>
      </c>
      <c r="F12" s="1" t="s">
        <v>3</v>
      </c>
      <c r="G12" s="1" t="s">
        <v>4</v>
      </c>
      <c r="H12" s="1" t="s">
        <v>3</v>
      </c>
      <c r="I12" s="1">
        <v>0</v>
      </c>
      <c r="J12" s="1" t="s">
        <v>3</v>
      </c>
      <c r="K12" s="1">
        <v>0</v>
      </c>
      <c r="L12" s="1">
        <v>0</v>
      </c>
      <c r="M12" s="1">
        <v>2</v>
      </c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>
        <v>1</v>
      </c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>
        <v>0</v>
      </c>
      <c r="BC12" s="1"/>
      <c r="BD12" s="1"/>
      <c r="BE12" s="1"/>
      <c r="BF12" s="1"/>
      <c r="BG12" s="1"/>
      <c r="BH12" s="1" t="s">
        <v>5</v>
      </c>
      <c r="BI12" s="1" t="s">
        <v>6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7</v>
      </c>
      <c r="BZ12" s="1" t="s">
        <v>8</v>
      </c>
      <c r="CA12" s="1" t="s">
        <v>9</v>
      </c>
      <c r="CB12" s="1" t="s">
        <v>9</v>
      </c>
      <c r="CC12" s="1" t="s">
        <v>9</v>
      </c>
      <c r="CD12" s="1" t="s">
        <v>9</v>
      </c>
      <c r="CE12" s="1" t="s">
        <v>10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3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 x14ac:dyDescent="0.2">
      <c r="A14" s="1">
        <v>22</v>
      </c>
      <c r="B14" s="1">
        <v>0</v>
      </c>
      <c r="C14" s="1">
        <v>0</v>
      </c>
      <c r="D14" s="1">
        <v>38449393</v>
      </c>
      <c r="E14" s="1">
        <v>0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 x14ac:dyDescent="0.2">
      <c r="A16" s="5">
        <v>3</v>
      </c>
      <c r="B16" s="5">
        <v>1</v>
      </c>
      <c r="C16" s="5" t="s">
        <v>11</v>
      </c>
      <c r="D16" s="5" t="s">
        <v>11</v>
      </c>
      <c r="E16" s="6">
        <f>(Source!F86)/1000</f>
        <v>0</v>
      </c>
      <c r="F16" s="6">
        <f>(Source!F87)/1000</f>
        <v>0</v>
      </c>
      <c r="G16" s="6">
        <f>(Source!F78)/1000</f>
        <v>0</v>
      </c>
      <c r="H16" s="6">
        <f>(Source!F88)/1000+(Source!F89)/1000</f>
        <v>200.08996999999999</v>
      </c>
      <c r="I16" s="6">
        <f>E16+F16+G16+H16</f>
        <v>200.08996999999999</v>
      </c>
      <c r="J16" s="6">
        <f>(Source!F84)/1000</f>
        <v>11.33282</v>
      </c>
      <c r="AI16" s="5">
        <v>0</v>
      </c>
      <c r="AJ16" s="5">
        <v>0</v>
      </c>
      <c r="AK16" s="5" t="s">
        <v>3</v>
      </c>
      <c r="AL16" s="5" t="s">
        <v>3</v>
      </c>
      <c r="AM16" s="5" t="s">
        <v>3</v>
      </c>
      <c r="AN16" s="5">
        <v>0</v>
      </c>
      <c r="AO16" s="5" t="s">
        <v>3</v>
      </c>
      <c r="AP16" s="5" t="s">
        <v>3</v>
      </c>
      <c r="AT16" s="6">
        <v>191023.72</v>
      </c>
      <c r="AU16" s="6">
        <v>179435.34</v>
      </c>
      <c r="AV16" s="6">
        <v>0</v>
      </c>
      <c r="AW16" s="6">
        <v>0</v>
      </c>
      <c r="AX16" s="6">
        <v>0</v>
      </c>
      <c r="AY16" s="6">
        <v>255.56</v>
      </c>
      <c r="AZ16" s="6">
        <v>127.72</v>
      </c>
      <c r="BA16" s="6">
        <v>11332.82</v>
      </c>
      <c r="BB16" s="6">
        <v>0</v>
      </c>
      <c r="BC16" s="6">
        <v>0</v>
      </c>
      <c r="BD16" s="6">
        <v>200089.97</v>
      </c>
      <c r="BE16" s="6">
        <v>0</v>
      </c>
      <c r="BF16" s="6">
        <v>57.804880000000004</v>
      </c>
      <c r="BG16" s="6">
        <v>0</v>
      </c>
      <c r="BH16" s="6">
        <v>0</v>
      </c>
      <c r="BI16" s="6">
        <v>7932.97</v>
      </c>
      <c r="BJ16" s="6">
        <v>1133.28</v>
      </c>
      <c r="BK16" s="6">
        <v>200089.97</v>
      </c>
    </row>
    <row r="18" spans="1:19" x14ac:dyDescent="0.2">
      <c r="A18">
        <v>51</v>
      </c>
      <c r="E18" s="7">
        <f>SUMIF(A16:A17,3,E16:E17)</f>
        <v>0</v>
      </c>
      <c r="F18" s="7">
        <f>SUMIF(A16:A17,3,F16:F17)</f>
        <v>0</v>
      </c>
      <c r="G18" s="7">
        <f>SUMIF(A16:A17,3,G16:G17)</f>
        <v>0</v>
      </c>
      <c r="H18" s="7">
        <f>SUMIF(A16:A17,3,H16:H17)</f>
        <v>200.08996999999999</v>
      </c>
      <c r="I18" s="7">
        <f>SUMIF(A16:A17,3,I16:I17)</f>
        <v>200.08996999999999</v>
      </c>
      <c r="J18" s="7">
        <f>SUMIF(A16:A17,3,J16:J17)</f>
        <v>11.33282</v>
      </c>
      <c r="K18" s="7"/>
      <c r="L18" s="7"/>
      <c r="M18" s="7"/>
      <c r="N18" s="7"/>
      <c r="O18" s="7"/>
      <c r="P18" s="7"/>
      <c r="Q18" s="7"/>
      <c r="R18" s="7"/>
      <c r="S18" s="7"/>
    </row>
    <row r="20" spans="1:19" x14ac:dyDescent="0.2">
      <c r="A20" s="4">
        <v>50</v>
      </c>
      <c r="B20" s="4">
        <v>0</v>
      </c>
      <c r="C20" s="4">
        <v>0</v>
      </c>
      <c r="D20" s="4">
        <v>1</v>
      </c>
      <c r="E20" s="4">
        <v>201</v>
      </c>
      <c r="F20" s="4">
        <v>191023.72</v>
      </c>
      <c r="G20" s="4" t="s">
        <v>63</v>
      </c>
      <c r="H20" s="4" t="s">
        <v>64</v>
      </c>
      <c r="I20" s="4"/>
      <c r="J20" s="4"/>
      <c r="K20" s="4">
        <v>201</v>
      </c>
      <c r="L20" s="4">
        <v>1</v>
      </c>
      <c r="M20" s="4">
        <v>3</v>
      </c>
      <c r="N20" s="4" t="s">
        <v>3</v>
      </c>
      <c r="O20" s="4">
        <v>2</v>
      </c>
      <c r="P20" s="4"/>
    </row>
    <row r="21" spans="1:19" x14ac:dyDescent="0.2">
      <c r="A21" s="4">
        <v>50</v>
      </c>
      <c r="B21" s="4">
        <v>0</v>
      </c>
      <c r="C21" s="4">
        <v>0</v>
      </c>
      <c r="D21" s="4">
        <v>1</v>
      </c>
      <c r="E21" s="4">
        <v>202</v>
      </c>
      <c r="F21" s="4">
        <v>179435.34</v>
      </c>
      <c r="G21" s="4" t="s">
        <v>65</v>
      </c>
      <c r="H21" s="4" t="s">
        <v>66</v>
      </c>
      <c r="I21" s="4"/>
      <c r="J21" s="4"/>
      <c r="K21" s="4">
        <v>202</v>
      </c>
      <c r="L21" s="4">
        <v>2</v>
      </c>
      <c r="M21" s="4">
        <v>3</v>
      </c>
      <c r="N21" s="4" t="s">
        <v>3</v>
      </c>
      <c r="O21" s="4">
        <v>2</v>
      </c>
      <c r="P21" s="4"/>
    </row>
    <row r="22" spans="1:19" x14ac:dyDescent="0.2">
      <c r="A22" s="4">
        <v>50</v>
      </c>
      <c r="B22" s="4">
        <v>0</v>
      </c>
      <c r="C22" s="4">
        <v>0</v>
      </c>
      <c r="D22" s="4">
        <v>1</v>
      </c>
      <c r="E22" s="4">
        <v>222</v>
      </c>
      <c r="F22" s="4">
        <v>0</v>
      </c>
      <c r="G22" s="4" t="s">
        <v>67</v>
      </c>
      <c r="H22" s="4" t="s">
        <v>68</v>
      </c>
      <c r="I22" s="4"/>
      <c r="J22" s="4"/>
      <c r="K22" s="4">
        <v>222</v>
      </c>
      <c r="L22" s="4">
        <v>3</v>
      </c>
      <c r="M22" s="4">
        <v>3</v>
      </c>
      <c r="N22" s="4" t="s">
        <v>3</v>
      </c>
      <c r="O22" s="4">
        <v>2</v>
      </c>
      <c r="P22" s="4"/>
    </row>
    <row r="23" spans="1:19" x14ac:dyDescent="0.2">
      <c r="A23" s="4">
        <v>50</v>
      </c>
      <c r="B23" s="4">
        <v>0</v>
      </c>
      <c r="C23" s="4">
        <v>0</v>
      </c>
      <c r="D23" s="4">
        <v>1</v>
      </c>
      <c r="E23" s="4">
        <v>225</v>
      </c>
      <c r="F23" s="4">
        <v>179435.34</v>
      </c>
      <c r="G23" s="4" t="s">
        <v>69</v>
      </c>
      <c r="H23" s="4" t="s">
        <v>70</v>
      </c>
      <c r="I23" s="4"/>
      <c r="J23" s="4"/>
      <c r="K23" s="4">
        <v>225</v>
      </c>
      <c r="L23" s="4">
        <v>4</v>
      </c>
      <c r="M23" s="4">
        <v>3</v>
      </c>
      <c r="N23" s="4" t="s">
        <v>3</v>
      </c>
      <c r="O23" s="4">
        <v>2</v>
      </c>
      <c r="P23" s="4"/>
    </row>
    <row r="24" spans="1:19" x14ac:dyDescent="0.2">
      <c r="A24" s="4">
        <v>50</v>
      </c>
      <c r="B24" s="4">
        <v>0</v>
      </c>
      <c r="C24" s="4">
        <v>0</v>
      </c>
      <c r="D24" s="4">
        <v>1</v>
      </c>
      <c r="E24" s="4">
        <v>226</v>
      </c>
      <c r="F24" s="4">
        <v>179435.34</v>
      </c>
      <c r="G24" s="4" t="s">
        <v>71</v>
      </c>
      <c r="H24" s="4" t="s">
        <v>72</v>
      </c>
      <c r="I24" s="4"/>
      <c r="J24" s="4"/>
      <c r="K24" s="4">
        <v>226</v>
      </c>
      <c r="L24" s="4">
        <v>5</v>
      </c>
      <c r="M24" s="4">
        <v>3</v>
      </c>
      <c r="N24" s="4" t="s">
        <v>3</v>
      </c>
      <c r="O24" s="4">
        <v>2</v>
      </c>
      <c r="P24" s="4"/>
    </row>
    <row r="25" spans="1:19" x14ac:dyDescent="0.2">
      <c r="A25" s="4">
        <v>50</v>
      </c>
      <c r="B25" s="4">
        <v>0</v>
      </c>
      <c r="C25" s="4">
        <v>0</v>
      </c>
      <c r="D25" s="4">
        <v>1</v>
      </c>
      <c r="E25" s="4">
        <v>227</v>
      </c>
      <c r="F25" s="4">
        <v>0</v>
      </c>
      <c r="G25" s="4" t="s">
        <v>73</v>
      </c>
      <c r="H25" s="4" t="s">
        <v>74</v>
      </c>
      <c r="I25" s="4"/>
      <c r="J25" s="4"/>
      <c r="K25" s="4">
        <v>227</v>
      </c>
      <c r="L25" s="4">
        <v>6</v>
      </c>
      <c r="M25" s="4">
        <v>3</v>
      </c>
      <c r="N25" s="4" t="s">
        <v>3</v>
      </c>
      <c r="O25" s="4">
        <v>2</v>
      </c>
      <c r="P25" s="4"/>
    </row>
    <row r="26" spans="1:19" x14ac:dyDescent="0.2">
      <c r="A26" s="4">
        <v>50</v>
      </c>
      <c r="B26" s="4">
        <v>0</v>
      </c>
      <c r="C26" s="4">
        <v>0</v>
      </c>
      <c r="D26" s="4">
        <v>1</v>
      </c>
      <c r="E26" s="4">
        <v>228</v>
      </c>
      <c r="F26" s="4">
        <v>179435.34</v>
      </c>
      <c r="G26" s="4" t="s">
        <v>75</v>
      </c>
      <c r="H26" s="4" t="s">
        <v>76</v>
      </c>
      <c r="I26" s="4"/>
      <c r="J26" s="4"/>
      <c r="K26" s="4">
        <v>228</v>
      </c>
      <c r="L26" s="4">
        <v>7</v>
      </c>
      <c r="M26" s="4">
        <v>3</v>
      </c>
      <c r="N26" s="4" t="s">
        <v>3</v>
      </c>
      <c r="O26" s="4">
        <v>2</v>
      </c>
      <c r="P26" s="4"/>
    </row>
    <row r="27" spans="1:19" x14ac:dyDescent="0.2">
      <c r="A27" s="4">
        <v>50</v>
      </c>
      <c r="B27" s="4">
        <v>0</v>
      </c>
      <c r="C27" s="4">
        <v>0</v>
      </c>
      <c r="D27" s="4">
        <v>1</v>
      </c>
      <c r="E27" s="4">
        <v>216</v>
      </c>
      <c r="F27" s="4">
        <v>0</v>
      </c>
      <c r="G27" s="4" t="s">
        <v>77</v>
      </c>
      <c r="H27" s="4" t="s">
        <v>78</v>
      </c>
      <c r="I27" s="4"/>
      <c r="J27" s="4"/>
      <c r="K27" s="4">
        <v>216</v>
      </c>
      <c r="L27" s="4">
        <v>8</v>
      </c>
      <c r="M27" s="4">
        <v>3</v>
      </c>
      <c r="N27" s="4" t="s">
        <v>3</v>
      </c>
      <c r="O27" s="4">
        <v>2</v>
      </c>
      <c r="P27" s="4"/>
    </row>
    <row r="28" spans="1:19" x14ac:dyDescent="0.2">
      <c r="A28" s="4">
        <v>50</v>
      </c>
      <c r="B28" s="4">
        <v>0</v>
      </c>
      <c r="C28" s="4">
        <v>0</v>
      </c>
      <c r="D28" s="4">
        <v>1</v>
      </c>
      <c r="E28" s="4">
        <v>223</v>
      </c>
      <c r="F28" s="4">
        <v>0</v>
      </c>
      <c r="G28" s="4" t="s">
        <v>79</v>
      </c>
      <c r="H28" s="4" t="s">
        <v>80</v>
      </c>
      <c r="I28" s="4"/>
      <c r="J28" s="4"/>
      <c r="K28" s="4">
        <v>223</v>
      </c>
      <c r="L28" s="4">
        <v>9</v>
      </c>
      <c r="M28" s="4">
        <v>3</v>
      </c>
      <c r="N28" s="4" t="s">
        <v>3</v>
      </c>
      <c r="O28" s="4">
        <v>2</v>
      </c>
      <c r="P28" s="4"/>
    </row>
    <row r="29" spans="1:19" x14ac:dyDescent="0.2">
      <c r="A29" s="4">
        <v>50</v>
      </c>
      <c r="B29" s="4">
        <v>0</v>
      </c>
      <c r="C29" s="4">
        <v>0</v>
      </c>
      <c r="D29" s="4">
        <v>1</v>
      </c>
      <c r="E29" s="4">
        <v>229</v>
      </c>
      <c r="F29" s="4">
        <v>0</v>
      </c>
      <c r="G29" s="4" t="s">
        <v>81</v>
      </c>
      <c r="H29" s="4" t="s">
        <v>82</v>
      </c>
      <c r="I29" s="4"/>
      <c r="J29" s="4"/>
      <c r="K29" s="4">
        <v>229</v>
      </c>
      <c r="L29" s="4">
        <v>10</v>
      </c>
      <c r="M29" s="4">
        <v>3</v>
      </c>
      <c r="N29" s="4" t="s">
        <v>3</v>
      </c>
      <c r="O29" s="4">
        <v>2</v>
      </c>
      <c r="P29" s="4"/>
    </row>
    <row r="30" spans="1:19" x14ac:dyDescent="0.2">
      <c r="A30" s="4">
        <v>50</v>
      </c>
      <c r="B30" s="4">
        <v>0</v>
      </c>
      <c r="C30" s="4">
        <v>0</v>
      </c>
      <c r="D30" s="4">
        <v>1</v>
      </c>
      <c r="E30" s="4">
        <v>203</v>
      </c>
      <c r="F30" s="4">
        <v>255.56</v>
      </c>
      <c r="G30" s="4" t="s">
        <v>83</v>
      </c>
      <c r="H30" s="4" t="s">
        <v>84</v>
      </c>
      <c r="I30" s="4"/>
      <c r="J30" s="4"/>
      <c r="K30" s="4">
        <v>203</v>
      </c>
      <c r="L30" s="4">
        <v>11</v>
      </c>
      <c r="M30" s="4">
        <v>3</v>
      </c>
      <c r="N30" s="4" t="s">
        <v>3</v>
      </c>
      <c r="O30" s="4">
        <v>2</v>
      </c>
      <c r="P30" s="4"/>
    </row>
    <row r="31" spans="1:19" x14ac:dyDescent="0.2">
      <c r="A31" s="4">
        <v>50</v>
      </c>
      <c r="B31" s="4">
        <v>0</v>
      </c>
      <c r="C31" s="4">
        <v>0</v>
      </c>
      <c r="D31" s="4">
        <v>1</v>
      </c>
      <c r="E31" s="4">
        <v>231</v>
      </c>
      <c r="F31" s="4">
        <v>0</v>
      </c>
      <c r="G31" s="4" t="s">
        <v>85</v>
      </c>
      <c r="H31" s="4" t="s">
        <v>86</v>
      </c>
      <c r="I31" s="4"/>
      <c r="J31" s="4"/>
      <c r="K31" s="4">
        <v>231</v>
      </c>
      <c r="L31" s="4">
        <v>12</v>
      </c>
      <c r="M31" s="4">
        <v>3</v>
      </c>
      <c r="N31" s="4" t="s">
        <v>3</v>
      </c>
      <c r="O31" s="4">
        <v>2</v>
      </c>
      <c r="P31" s="4"/>
    </row>
    <row r="32" spans="1:19" x14ac:dyDescent="0.2">
      <c r="A32" s="4">
        <v>50</v>
      </c>
      <c r="B32" s="4">
        <v>0</v>
      </c>
      <c r="C32" s="4">
        <v>0</v>
      </c>
      <c r="D32" s="4">
        <v>1</v>
      </c>
      <c r="E32" s="4">
        <v>204</v>
      </c>
      <c r="F32" s="4">
        <v>127.72</v>
      </c>
      <c r="G32" s="4" t="s">
        <v>87</v>
      </c>
      <c r="H32" s="4" t="s">
        <v>88</v>
      </c>
      <c r="I32" s="4"/>
      <c r="J32" s="4"/>
      <c r="K32" s="4">
        <v>204</v>
      </c>
      <c r="L32" s="4">
        <v>13</v>
      </c>
      <c r="M32" s="4">
        <v>3</v>
      </c>
      <c r="N32" s="4" t="s">
        <v>3</v>
      </c>
      <c r="O32" s="4">
        <v>2</v>
      </c>
      <c r="P32" s="4"/>
    </row>
    <row r="33" spans="1:16" x14ac:dyDescent="0.2">
      <c r="A33" s="4">
        <v>50</v>
      </c>
      <c r="B33" s="4">
        <v>0</v>
      </c>
      <c r="C33" s="4">
        <v>0</v>
      </c>
      <c r="D33" s="4">
        <v>1</v>
      </c>
      <c r="E33" s="4">
        <v>205</v>
      </c>
      <c r="F33" s="4">
        <v>11332.82</v>
      </c>
      <c r="G33" s="4" t="s">
        <v>89</v>
      </c>
      <c r="H33" s="4" t="s">
        <v>90</v>
      </c>
      <c r="I33" s="4"/>
      <c r="J33" s="4"/>
      <c r="K33" s="4">
        <v>205</v>
      </c>
      <c r="L33" s="4">
        <v>14</v>
      </c>
      <c r="M33" s="4">
        <v>3</v>
      </c>
      <c r="N33" s="4" t="s">
        <v>3</v>
      </c>
      <c r="O33" s="4">
        <v>2</v>
      </c>
      <c r="P33" s="4"/>
    </row>
    <row r="34" spans="1:16" x14ac:dyDescent="0.2">
      <c r="A34" s="4">
        <v>50</v>
      </c>
      <c r="B34" s="4">
        <v>0</v>
      </c>
      <c r="C34" s="4">
        <v>0</v>
      </c>
      <c r="D34" s="4">
        <v>1</v>
      </c>
      <c r="E34" s="4">
        <v>232</v>
      </c>
      <c r="F34" s="4">
        <v>0</v>
      </c>
      <c r="G34" s="4" t="s">
        <v>91</v>
      </c>
      <c r="H34" s="4" t="s">
        <v>92</v>
      </c>
      <c r="I34" s="4"/>
      <c r="J34" s="4"/>
      <c r="K34" s="4">
        <v>232</v>
      </c>
      <c r="L34" s="4">
        <v>15</v>
      </c>
      <c r="M34" s="4">
        <v>3</v>
      </c>
      <c r="N34" s="4" t="s">
        <v>3</v>
      </c>
      <c r="O34" s="4">
        <v>2</v>
      </c>
      <c r="P34" s="4"/>
    </row>
    <row r="35" spans="1:16" x14ac:dyDescent="0.2">
      <c r="A35" s="4">
        <v>50</v>
      </c>
      <c r="B35" s="4">
        <v>0</v>
      </c>
      <c r="C35" s="4">
        <v>0</v>
      </c>
      <c r="D35" s="4">
        <v>1</v>
      </c>
      <c r="E35" s="4">
        <v>214</v>
      </c>
      <c r="F35" s="4">
        <v>0</v>
      </c>
      <c r="G35" s="4" t="s">
        <v>93</v>
      </c>
      <c r="H35" s="4" t="s">
        <v>94</v>
      </c>
      <c r="I35" s="4"/>
      <c r="J35" s="4"/>
      <c r="K35" s="4">
        <v>214</v>
      </c>
      <c r="L35" s="4">
        <v>16</v>
      </c>
      <c r="M35" s="4">
        <v>3</v>
      </c>
      <c r="N35" s="4" t="s">
        <v>3</v>
      </c>
      <c r="O35" s="4">
        <v>2</v>
      </c>
      <c r="P35" s="4"/>
    </row>
    <row r="36" spans="1:16" x14ac:dyDescent="0.2">
      <c r="A36" s="4">
        <v>50</v>
      </c>
      <c r="B36" s="4">
        <v>0</v>
      </c>
      <c r="C36" s="4">
        <v>0</v>
      </c>
      <c r="D36" s="4">
        <v>1</v>
      </c>
      <c r="E36" s="4">
        <v>215</v>
      </c>
      <c r="F36" s="4">
        <v>0</v>
      </c>
      <c r="G36" s="4" t="s">
        <v>95</v>
      </c>
      <c r="H36" s="4" t="s">
        <v>96</v>
      </c>
      <c r="I36" s="4"/>
      <c r="J36" s="4"/>
      <c r="K36" s="4">
        <v>215</v>
      </c>
      <c r="L36" s="4">
        <v>17</v>
      </c>
      <c r="M36" s="4">
        <v>3</v>
      </c>
      <c r="N36" s="4" t="s">
        <v>3</v>
      </c>
      <c r="O36" s="4">
        <v>2</v>
      </c>
      <c r="P36" s="4"/>
    </row>
    <row r="37" spans="1:16" x14ac:dyDescent="0.2">
      <c r="A37" s="4">
        <v>50</v>
      </c>
      <c r="B37" s="4">
        <v>0</v>
      </c>
      <c r="C37" s="4">
        <v>0</v>
      </c>
      <c r="D37" s="4">
        <v>1</v>
      </c>
      <c r="E37" s="4">
        <v>217</v>
      </c>
      <c r="F37" s="4">
        <v>200089.97</v>
      </c>
      <c r="G37" s="4" t="s">
        <v>97</v>
      </c>
      <c r="H37" s="4" t="s">
        <v>98</v>
      </c>
      <c r="I37" s="4"/>
      <c r="J37" s="4"/>
      <c r="K37" s="4">
        <v>217</v>
      </c>
      <c r="L37" s="4">
        <v>18</v>
      </c>
      <c r="M37" s="4">
        <v>3</v>
      </c>
      <c r="N37" s="4" t="s">
        <v>3</v>
      </c>
      <c r="O37" s="4">
        <v>2</v>
      </c>
      <c r="P37" s="4"/>
    </row>
    <row r="38" spans="1:16" x14ac:dyDescent="0.2">
      <c r="A38" s="4">
        <v>50</v>
      </c>
      <c r="B38" s="4">
        <v>0</v>
      </c>
      <c r="C38" s="4">
        <v>0</v>
      </c>
      <c r="D38" s="4">
        <v>1</v>
      </c>
      <c r="E38" s="4">
        <v>230</v>
      </c>
      <c r="F38" s="4">
        <v>0</v>
      </c>
      <c r="G38" s="4" t="s">
        <v>99</v>
      </c>
      <c r="H38" s="4" t="s">
        <v>100</v>
      </c>
      <c r="I38" s="4"/>
      <c r="J38" s="4"/>
      <c r="K38" s="4">
        <v>230</v>
      </c>
      <c r="L38" s="4">
        <v>19</v>
      </c>
      <c r="M38" s="4">
        <v>3</v>
      </c>
      <c r="N38" s="4" t="s">
        <v>3</v>
      </c>
      <c r="O38" s="4">
        <v>2</v>
      </c>
      <c r="P38" s="4"/>
    </row>
    <row r="39" spans="1:16" x14ac:dyDescent="0.2">
      <c r="A39" s="4">
        <v>50</v>
      </c>
      <c r="B39" s="4">
        <v>0</v>
      </c>
      <c r="C39" s="4">
        <v>0</v>
      </c>
      <c r="D39" s="4">
        <v>1</v>
      </c>
      <c r="E39" s="4">
        <v>206</v>
      </c>
      <c r="F39" s="4">
        <v>0</v>
      </c>
      <c r="G39" s="4" t="s">
        <v>101</v>
      </c>
      <c r="H39" s="4" t="s">
        <v>102</v>
      </c>
      <c r="I39" s="4"/>
      <c r="J39" s="4"/>
      <c r="K39" s="4">
        <v>206</v>
      </c>
      <c r="L39" s="4">
        <v>20</v>
      </c>
      <c r="M39" s="4">
        <v>3</v>
      </c>
      <c r="N39" s="4" t="s">
        <v>3</v>
      </c>
      <c r="O39" s="4">
        <v>2</v>
      </c>
      <c r="P39" s="4"/>
    </row>
    <row r="40" spans="1:16" x14ac:dyDescent="0.2">
      <c r="A40" s="4">
        <v>50</v>
      </c>
      <c r="B40" s="4">
        <v>0</v>
      </c>
      <c r="C40" s="4">
        <v>0</v>
      </c>
      <c r="D40" s="4">
        <v>1</v>
      </c>
      <c r="E40" s="4">
        <v>207</v>
      </c>
      <c r="F40" s="4">
        <v>57.804880000000004</v>
      </c>
      <c r="G40" s="4" t="s">
        <v>103</v>
      </c>
      <c r="H40" s="4" t="s">
        <v>104</v>
      </c>
      <c r="I40" s="4"/>
      <c r="J40" s="4"/>
      <c r="K40" s="4">
        <v>207</v>
      </c>
      <c r="L40" s="4">
        <v>21</v>
      </c>
      <c r="M40" s="4">
        <v>3</v>
      </c>
      <c r="N40" s="4" t="s">
        <v>3</v>
      </c>
      <c r="O40" s="4">
        <v>-1</v>
      </c>
      <c r="P40" s="4"/>
    </row>
    <row r="41" spans="1:16" x14ac:dyDescent="0.2">
      <c r="A41" s="4">
        <v>50</v>
      </c>
      <c r="B41" s="4">
        <v>0</v>
      </c>
      <c r="C41" s="4">
        <v>0</v>
      </c>
      <c r="D41" s="4">
        <v>1</v>
      </c>
      <c r="E41" s="4">
        <v>208</v>
      </c>
      <c r="F41" s="4">
        <v>0</v>
      </c>
      <c r="G41" s="4" t="s">
        <v>105</v>
      </c>
      <c r="H41" s="4" t="s">
        <v>106</v>
      </c>
      <c r="I41" s="4"/>
      <c r="J41" s="4"/>
      <c r="K41" s="4">
        <v>208</v>
      </c>
      <c r="L41" s="4">
        <v>22</v>
      </c>
      <c r="M41" s="4">
        <v>3</v>
      </c>
      <c r="N41" s="4" t="s">
        <v>3</v>
      </c>
      <c r="O41" s="4">
        <v>-1</v>
      </c>
      <c r="P41" s="4"/>
    </row>
    <row r="42" spans="1:16" x14ac:dyDescent="0.2">
      <c r="A42" s="4">
        <v>50</v>
      </c>
      <c r="B42" s="4">
        <v>0</v>
      </c>
      <c r="C42" s="4">
        <v>0</v>
      </c>
      <c r="D42" s="4">
        <v>1</v>
      </c>
      <c r="E42" s="4">
        <v>209</v>
      </c>
      <c r="F42" s="4">
        <v>0</v>
      </c>
      <c r="G42" s="4" t="s">
        <v>107</v>
      </c>
      <c r="H42" s="4" t="s">
        <v>108</v>
      </c>
      <c r="I42" s="4"/>
      <c r="J42" s="4"/>
      <c r="K42" s="4">
        <v>209</v>
      </c>
      <c r="L42" s="4">
        <v>23</v>
      </c>
      <c r="M42" s="4">
        <v>3</v>
      </c>
      <c r="N42" s="4" t="s">
        <v>3</v>
      </c>
      <c r="O42" s="4">
        <v>2</v>
      </c>
      <c r="P42" s="4"/>
    </row>
    <row r="43" spans="1:16" x14ac:dyDescent="0.2">
      <c r="A43" s="4">
        <v>50</v>
      </c>
      <c r="B43" s="4">
        <v>0</v>
      </c>
      <c r="C43" s="4">
        <v>0</v>
      </c>
      <c r="D43" s="4">
        <v>1</v>
      </c>
      <c r="E43" s="4">
        <v>233</v>
      </c>
      <c r="F43" s="4">
        <v>0</v>
      </c>
      <c r="G43" s="4" t="s">
        <v>109</v>
      </c>
      <c r="H43" s="4" t="s">
        <v>110</v>
      </c>
      <c r="I43" s="4"/>
      <c r="J43" s="4"/>
      <c r="K43" s="4">
        <v>233</v>
      </c>
      <c r="L43" s="4">
        <v>24</v>
      </c>
      <c r="M43" s="4">
        <v>3</v>
      </c>
      <c r="N43" s="4" t="s">
        <v>3</v>
      </c>
      <c r="O43" s="4">
        <v>2</v>
      </c>
      <c r="P43" s="4"/>
    </row>
    <row r="44" spans="1:16" x14ac:dyDescent="0.2">
      <c r="A44" s="4">
        <v>50</v>
      </c>
      <c r="B44" s="4">
        <v>0</v>
      </c>
      <c r="C44" s="4">
        <v>0</v>
      </c>
      <c r="D44" s="4">
        <v>1</v>
      </c>
      <c r="E44" s="4">
        <v>210</v>
      </c>
      <c r="F44" s="4">
        <v>7932.97</v>
      </c>
      <c r="G44" s="4" t="s">
        <v>111</v>
      </c>
      <c r="H44" s="4" t="s">
        <v>112</v>
      </c>
      <c r="I44" s="4"/>
      <c r="J44" s="4"/>
      <c r="K44" s="4">
        <v>210</v>
      </c>
      <c r="L44" s="4">
        <v>25</v>
      </c>
      <c r="M44" s="4">
        <v>3</v>
      </c>
      <c r="N44" s="4" t="s">
        <v>3</v>
      </c>
      <c r="O44" s="4">
        <v>2</v>
      </c>
      <c r="P44" s="4"/>
    </row>
    <row r="45" spans="1:16" x14ac:dyDescent="0.2">
      <c r="A45" s="4">
        <v>50</v>
      </c>
      <c r="B45" s="4">
        <v>0</v>
      </c>
      <c r="C45" s="4">
        <v>0</v>
      </c>
      <c r="D45" s="4">
        <v>1</v>
      </c>
      <c r="E45" s="4">
        <v>211</v>
      </c>
      <c r="F45" s="4">
        <v>1133.28</v>
      </c>
      <c r="G45" s="4" t="s">
        <v>113</v>
      </c>
      <c r="H45" s="4" t="s">
        <v>114</v>
      </c>
      <c r="I45" s="4"/>
      <c r="J45" s="4"/>
      <c r="K45" s="4">
        <v>211</v>
      </c>
      <c r="L45" s="4">
        <v>26</v>
      </c>
      <c r="M45" s="4">
        <v>3</v>
      </c>
      <c r="N45" s="4" t="s">
        <v>3</v>
      </c>
      <c r="O45" s="4">
        <v>2</v>
      </c>
      <c r="P45" s="4"/>
    </row>
    <row r="46" spans="1:16" x14ac:dyDescent="0.2">
      <c r="A46" s="4">
        <v>50</v>
      </c>
      <c r="B46" s="4">
        <v>0</v>
      </c>
      <c r="C46" s="4">
        <v>0</v>
      </c>
      <c r="D46" s="4">
        <v>1</v>
      </c>
      <c r="E46" s="4">
        <v>224</v>
      </c>
      <c r="F46" s="4">
        <v>200089.97</v>
      </c>
      <c r="G46" s="4" t="s">
        <v>115</v>
      </c>
      <c r="H46" s="4" t="s">
        <v>116</v>
      </c>
      <c r="I46" s="4"/>
      <c r="J46" s="4"/>
      <c r="K46" s="4">
        <v>224</v>
      </c>
      <c r="L46" s="4">
        <v>27</v>
      </c>
      <c r="M46" s="4">
        <v>3</v>
      </c>
      <c r="N46" s="4" t="s">
        <v>3</v>
      </c>
      <c r="O46" s="4">
        <v>2</v>
      </c>
      <c r="P46" s="4"/>
    </row>
    <row r="48" spans="1:16" x14ac:dyDescent="0.2">
      <c r="A48">
        <v>-1</v>
      </c>
    </row>
    <row r="51" spans="1:15" x14ac:dyDescent="0.2">
      <c r="A51" s="3">
        <v>75</v>
      </c>
      <c r="B51" s="3" t="s">
        <v>117</v>
      </c>
      <c r="C51" s="3">
        <v>2020</v>
      </c>
      <c r="D51" s="3">
        <v>0</v>
      </c>
      <c r="E51" s="3">
        <v>10</v>
      </c>
      <c r="F51" s="3">
        <v>0</v>
      </c>
      <c r="G51" s="3">
        <v>0</v>
      </c>
      <c r="H51" s="3">
        <v>1</v>
      </c>
      <c r="I51" s="3">
        <v>0</v>
      </c>
      <c r="J51" s="3">
        <v>1</v>
      </c>
      <c r="K51" s="3">
        <v>78</v>
      </c>
      <c r="L51" s="3">
        <v>30</v>
      </c>
      <c r="M51" s="3">
        <v>0</v>
      </c>
      <c r="N51" s="3">
        <v>38449393</v>
      </c>
      <c r="O51" s="3">
        <v>1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C14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07" x14ac:dyDescent="0.2">
      <c r="A1">
        <f>ROW(Source!A28)</f>
        <v>28</v>
      </c>
      <c r="B1">
        <v>38449393</v>
      </c>
      <c r="C1">
        <v>38459467</v>
      </c>
      <c r="D1">
        <v>36621550</v>
      </c>
      <c r="E1">
        <v>27</v>
      </c>
      <c r="F1">
        <v>1</v>
      </c>
      <c r="G1">
        <v>27</v>
      </c>
      <c r="H1">
        <v>1</v>
      </c>
      <c r="I1" t="s">
        <v>119</v>
      </c>
      <c r="J1" t="s">
        <v>3</v>
      </c>
      <c r="K1" t="s">
        <v>120</v>
      </c>
      <c r="L1">
        <v>1191</v>
      </c>
      <c r="N1">
        <v>1013</v>
      </c>
      <c r="O1" t="s">
        <v>121</v>
      </c>
      <c r="P1" t="s">
        <v>121</v>
      </c>
      <c r="Q1">
        <v>1</v>
      </c>
      <c r="W1">
        <v>0</v>
      </c>
      <c r="X1">
        <v>476480486</v>
      </c>
      <c r="Y1">
        <v>162.44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S1" t="s">
        <v>3</v>
      </c>
      <c r="AT1">
        <v>162.44</v>
      </c>
      <c r="AU1" t="s">
        <v>3</v>
      </c>
      <c r="AV1">
        <v>1</v>
      </c>
      <c r="AW1">
        <v>2</v>
      </c>
      <c r="AX1">
        <v>38459472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Y1*Source!I28</f>
        <v>0.32488</v>
      </c>
      <c r="CY1">
        <f>AD1</f>
        <v>0</v>
      </c>
      <c r="CZ1">
        <f>AH1</f>
        <v>0</v>
      </c>
      <c r="DA1">
        <f>AL1</f>
        <v>1</v>
      </c>
      <c r="DB1">
        <f t="shared" ref="DB1:DB13" si="0">ROUND(ROUND(AT1*CZ1,2),6)</f>
        <v>0</v>
      </c>
      <c r="DC1">
        <f t="shared" ref="DC1:DC13" si="1">ROUND(ROUND(AT1*AG1,2),6)</f>
        <v>0</v>
      </c>
    </row>
    <row r="2" spans="1:107" x14ac:dyDescent="0.2">
      <c r="A2">
        <f>ROW(Source!A29)</f>
        <v>29</v>
      </c>
      <c r="B2">
        <v>38449393</v>
      </c>
      <c r="C2">
        <v>38449571</v>
      </c>
      <c r="D2">
        <v>36621550</v>
      </c>
      <c r="E2">
        <v>27</v>
      </c>
      <c r="F2">
        <v>1</v>
      </c>
      <c r="G2">
        <v>27</v>
      </c>
      <c r="H2">
        <v>1</v>
      </c>
      <c r="I2" t="s">
        <v>119</v>
      </c>
      <c r="J2" t="s">
        <v>3</v>
      </c>
      <c r="K2" t="s">
        <v>120</v>
      </c>
      <c r="L2">
        <v>1191</v>
      </c>
      <c r="N2">
        <v>1013</v>
      </c>
      <c r="O2" t="s">
        <v>121</v>
      </c>
      <c r="P2" t="s">
        <v>121</v>
      </c>
      <c r="Q2">
        <v>1</v>
      </c>
      <c r="W2">
        <v>0</v>
      </c>
      <c r="X2">
        <v>476480486</v>
      </c>
      <c r="Y2">
        <v>1.62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S2" t="s">
        <v>3</v>
      </c>
      <c r="AT2">
        <v>1.62</v>
      </c>
      <c r="AU2" t="s">
        <v>3</v>
      </c>
      <c r="AV2">
        <v>1</v>
      </c>
      <c r="AW2">
        <v>2</v>
      </c>
      <c r="AX2">
        <v>38449572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Y2*Source!I29</f>
        <v>12.15</v>
      </c>
      <c r="CY2">
        <f>AD2</f>
        <v>0</v>
      </c>
      <c r="CZ2">
        <f>AH2</f>
        <v>0</v>
      </c>
      <c r="DA2">
        <f>AL2</f>
        <v>1</v>
      </c>
      <c r="DB2">
        <f t="shared" si="0"/>
        <v>0</v>
      </c>
      <c r="DC2">
        <f t="shared" si="1"/>
        <v>0</v>
      </c>
    </row>
    <row r="3" spans="1:107" x14ac:dyDescent="0.2">
      <c r="A3">
        <f>ROW(Source!A29)</f>
        <v>29</v>
      </c>
      <c r="B3">
        <v>38449393</v>
      </c>
      <c r="C3">
        <v>38449571</v>
      </c>
      <c r="D3">
        <v>36638350</v>
      </c>
      <c r="E3">
        <v>1</v>
      </c>
      <c r="F3">
        <v>1</v>
      </c>
      <c r="G3">
        <v>27</v>
      </c>
      <c r="H3">
        <v>3</v>
      </c>
      <c r="I3" t="s">
        <v>28</v>
      </c>
      <c r="J3" t="s">
        <v>31</v>
      </c>
      <c r="K3" t="s">
        <v>29</v>
      </c>
      <c r="L3">
        <v>1339</v>
      </c>
      <c r="N3">
        <v>1007</v>
      </c>
      <c r="O3" t="s">
        <v>30</v>
      </c>
      <c r="P3" t="s">
        <v>30</v>
      </c>
      <c r="Q3">
        <v>1</v>
      </c>
      <c r="W3">
        <v>0</v>
      </c>
      <c r="X3">
        <v>-554178821</v>
      </c>
      <c r="Y3">
        <v>0.625</v>
      </c>
      <c r="AA3">
        <v>753.67</v>
      </c>
      <c r="AB3">
        <v>0</v>
      </c>
      <c r="AC3">
        <v>0</v>
      </c>
      <c r="AD3">
        <v>0</v>
      </c>
      <c r="AE3">
        <v>753.67</v>
      </c>
      <c r="AF3">
        <v>0</v>
      </c>
      <c r="AG3">
        <v>0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0</v>
      </c>
      <c r="AP3">
        <v>0</v>
      </c>
      <c r="AQ3">
        <v>0</v>
      </c>
      <c r="AR3">
        <v>0</v>
      </c>
      <c r="AS3" t="s">
        <v>3</v>
      </c>
      <c r="AT3">
        <v>0.625</v>
      </c>
      <c r="AU3" t="s">
        <v>3</v>
      </c>
      <c r="AV3">
        <v>0</v>
      </c>
      <c r="AW3">
        <v>1</v>
      </c>
      <c r="AX3">
        <v>-1</v>
      </c>
      <c r="AY3">
        <v>0</v>
      </c>
      <c r="AZ3">
        <v>0</v>
      </c>
      <c r="BA3" t="s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Y3*Source!I29</f>
        <v>4.6875</v>
      </c>
      <c r="CY3">
        <f>AA3</f>
        <v>753.67</v>
      </c>
      <c r="CZ3">
        <f>AE3</f>
        <v>753.67</v>
      </c>
      <c r="DA3">
        <f>AI3</f>
        <v>1</v>
      </c>
      <c r="DB3">
        <f t="shared" si="0"/>
        <v>471.04</v>
      </c>
      <c r="DC3">
        <f t="shared" si="1"/>
        <v>0</v>
      </c>
    </row>
    <row r="4" spans="1:107" x14ac:dyDescent="0.2">
      <c r="A4">
        <f>ROW(Source!A31)</f>
        <v>31</v>
      </c>
      <c r="B4">
        <v>38449393</v>
      </c>
      <c r="C4">
        <v>38449577</v>
      </c>
      <c r="D4">
        <v>36621550</v>
      </c>
      <c r="E4">
        <v>27</v>
      </c>
      <c r="F4">
        <v>1</v>
      </c>
      <c r="G4">
        <v>27</v>
      </c>
      <c r="H4">
        <v>1</v>
      </c>
      <c r="I4" t="s">
        <v>119</v>
      </c>
      <c r="J4" t="s">
        <v>3</v>
      </c>
      <c r="K4" t="s">
        <v>120</v>
      </c>
      <c r="L4">
        <v>1191</v>
      </c>
      <c r="N4">
        <v>1013</v>
      </c>
      <c r="O4" t="s">
        <v>121</v>
      </c>
      <c r="P4" t="s">
        <v>121</v>
      </c>
      <c r="Q4">
        <v>1</v>
      </c>
      <c r="W4">
        <v>0</v>
      </c>
      <c r="X4">
        <v>476480486</v>
      </c>
      <c r="Y4">
        <v>3.98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0</v>
      </c>
      <c r="AQ4">
        <v>0</v>
      </c>
      <c r="AR4">
        <v>0</v>
      </c>
      <c r="AS4" t="s">
        <v>3</v>
      </c>
      <c r="AT4">
        <v>3.98</v>
      </c>
      <c r="AU4" t="s">
        <v>3</v>
      </c>
      <c r="AV4">
        <v>1</v>
      </c>
      <c r="AW4">
        <v>2</v>
      </c>
      <c r="AX4">
        <v>38449578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Y4*Source!I31</f>
        <v>15.92</v>
      </c>
      <c r="CY4">
        <f>AD4</f>
        <v>0</v>
      </c>
      <c r="CZ4">
        <f>AH4</f>
        <v>0</v>
      </c>
      <c r="DA4">
        <f>AL4</f>
        <v>1</v>
      </c>
      <c r="DB4">
        <f t="shared" si="0"/>
        <v>0</v>
      </c>
      <c r="DC4">
        <f t="shared" si="1"/>
        <v>0</v>
      </c>
    </row>
    <row r="5" spans="1:107" x14ac:dyDescent="0.2">
      <c r="A5">
        <f>ROW(Source!A31)</f>
        <v>31</v>
      </c>
      <c r="B5">
        <v>38449393</v>
      </c>
      <c r="C5">
        <v>38449577</v>
      </c>
      <c r="D5">
        <v>36636621</v>
      </c>
      <c r="E5">
        <v>1</v>
      </c>
      <c r="F5">
        <v>1</v>
      </c>
      <c r="G5">
        <v>27</v>
      </c>
      <c r="H5">
        <v>3</v>
      </c>
      <c r="I5" t="s">
        <v>122</v>
      </c>
      <c r="J5" t="s">
        <v>123</v>
      </c>
      <c r="K5" t="s">
        <v>124</v>
      </c>
      <c r="L5">
        <v>1339</v>
      </c>
      <c r="N5">
        <v>1007</v>
      </c>
      <c r="O5" t="s">
        <v>30</v>
      </c>
      <c r="P5" t="s">
        <v>30</v>
      </c>
      <c r="Q5">
        <v>1</v>
      </c>
      <c r="W5">
        <v>0</v>
      </c>
      <c r="X5">
        <v>1057803868</v>
      </c>
      <c r="Y5">
        <v>0.63</v>
      </c>
      <c r="AA5">
        <v>35.25</v>
      </c>
      <c r="AB5">
        <v>0</v>
      </c>
      <c r="AC5">
        <v>0</v>
      </c>
      <c r="AD5">
        <v>0</v>
      </c>
      <c r="AE5">
        <v>35.25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S5" t="s">
        <v>3</v>
      </c>
      <c r="AT5">
        <v>0.63</v>
      </c>
      <c r="AU5" t="s">
        <v>3</v>
      </c>
      <c r="AV5">
        <v>0</v>
      </c>
      <c r="AW5">
        <v>2</v>
      </c>
      <c r="AX5">
        <v>38449579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Y5*Source!I31</f>
        <v>2.52</v>
      </c>
      <c r="CY5">
        <f>AA5</f>
        <v>35.25</v>
      </c>
      <c r="CZ5">
        <f>AE5</f>
        <v>35.25</v>
      </c>
      <c r="DA5">
        <f>AI5</f>
        <v>1</v>
      </c>
      <c r="DB5">
        <f t="shared" si="0"/>
        <v>22.21</v>
      </c>
      <c r="DC5">
        <f t="shared" si="1"/>
        <v>0</v>
      </c>
    </row>
    <row r="6" spans="1:107" x14ac:dyDescent="0.2">
      <c r="A6">
        <f>ROW(Source!A32)</f>
        <v>32</v>
      </c>
      <c r="B6">
        <v>38449393</v>
      </c>
      <c r="C6">
        <v>38449582</v>
      </c>
      <c r="D6">
        <v>36621550</v>
      </c>
      <c r="E6">
        <v>27</v>
      </c>
      <c r="F6">
        <v>1</v>
      </c>
      <c r="G6">
        <v>27</v>
      </c>
      <c r="H6">
        <v>1</v>
      </c>
      <c r="I6" t="s">
        <v>119</v>
      </c>
      <c r="J6" t="s">
        <v>3</v>
      </c>
      <c r="K6" t="s">
        <v>120</v>
      </c>
      <c r="L6">
        <v>1191</v>
      </c>
      <c r="N6">
        <v>1013</v>
      </c>
      <c r="O6" t="s">
        <v>121</v>
      </c>
      <c r="P6" t="s">
        <v>121</v>
      </c>
      <c r="Q6">
        <v>1</v>
      </c>
      <c r="W6">
        <v>0</v>
      </c>
      <c r="X6">
        <v>476480486</v>
      </c>
      <c r="Y6">
        <v>3.98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1</v>
      </c>
      <c r="AP6">
        <v>0</v>
      </c>
      <c r="AQ6">
        <v>0</v>
      </c>
      <c r="AR6">
        <v>0</v>
      </c>
      <c r="AS6" t="s">
        <v>3</v>
      </c>
      <c r="AT6">
        <v>3.98</v>
      </c>
      <c r="AU6" t="s">
        <v>3</v>
      </c>
      <c r="AV6">
        <v>1</v>
      </c>
      <c r="AW6">
        <v>2</v>
      </c>
      <c r="AX6">
        <v>38449583</v>
      </c>
      <c r="AY6">
        <v>1</v>
      </c>
      <c r="AZ6">
        <v>0</v>
      </c>
      <c r="BA6">
        <v>7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Y6*Source!I32</f>
        <v>13.93</v>
      </c>
      <c r="CY6">
        <f>AD6</f>
        <v>0</v>
      </c>
      <c r="CZ6">
        <f>AH6</f>
        <v>0</v>
      </c>
      <c r="DA6">
        <f>AL6</f>
        <v>1</v>
      </c>
      <c r="DB6">
        <f t="shared" si="0"/>
        <v>0</v>
      </c>
      <c r="DC6">
        <f t="shared" si="1"/>
        <v>0</v>
      </c>
    </row>
    <row r="7" spans="1:107" x14ac:dyDescent="0.2">
      <c r="A7">
        <f>ROW(Source!A32)</f>
        <v>32</v>
      </c>
      <c r="B7">
        <v>38449393</v>
      </c>
      <c r="C7">
        <v>38449582</v>
      </c>
      <c r="D7">
        <v>36636621</v>
      </c>
      <c r="E7">
        <v>1</v>
      </c>
      <c r="F7">
        <v>1</v>
      </c>
      <c r="G7">
        <v>27</v>
      </c>
      <c r="H7">
        <v>3</v>
      </c>
      <c r="I7" t="s">
        <v>122</v>
      </c>
      <c r="J7" t="s">
        <v>123</v>
      </c>
      <c r="K7" t="s">
        <v>124</v>
      </c>
      <c r="L7">
        <v>1339</v>
      </c>
      <c r="N7">
        <v>1007</v>
      </c>
      <c r="O7" t="s">
        <v>30</v>
      </c>
      <c r="P7" t="s">
        <v>30</v>
      </c>
      <c r="Q7">
        <v>1</v>
      </c>
      <c r="W7">
        <v>0</v>
      </c>
      <c r="X7">
        <v>1057803868</v>
      </c>
      <c r="Y7">
        <v>0.63</v>
      </c>
      <c r="AA7">
        <v>35.25</v>
      </c>
      <c r="AB7">
        <v>0</v>
      </c>
      <c r="AC7">
        <v>0</v>
      </c>
      <c r="AD7">
        <v>0</v>
      </c>
      <c r="AE7">
        <v>35.25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S7" t="s">
        <v>3</v>
      </c>
      <c r="AT7">
        <v>0.63</v>
      </c>
      <c r="AU7" t="s">
        <v>3</v>
      </c>
      <c r="AV7">
        <v>0</v>
      </c>
      <c r="AW7">
        <v>2</v>
      </c>
      <c r="AX7">
        <v>38449584</v>
      </c>
      <c r="AY7">
        <v>1</v>
      </c>
      <c r="AZ7">
        <v>0</v>
      </c>
      <c r="BA7">
        <v>8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Y7*Source!I32</f>
        <v>2.2050000000000001</v>
      </c>
      <c r="CY7">
        <f>AA7</f>
        <v>35.25</v>
      </c>
      <c r="CZ7">
        <f>AE7</f>
        <v>35.25</v>
      </c>
      <c r="DA7">
        <f>AI7</f>
        <v>1</v>
      </c>
      <c r="DB7">
        <f t="shared" si="0"/>
        <v>22.21</v>
      </c>
      <c r="DC7">
        <f t="shared" si="1"/>
        <v>0</v>
      </c>
    </row>
    <row r="8" spans="1:107" x14ac:dyDescent="0.2">
      <c r="A8">
        <f>ROW(Source!A32)</f>
        <v>32</v>
      </c>
      <c r="B8">
        <v>38449393</v>
      </c>
      <c r="C8">
        <v>38449582</v>
      </c>
      <c r="D8">
        <v>36637965</v>
      </c>
      <c r="E8">
        <v>1</v>
      </c>
      <c r="F8">
        <v>1</v>
      </c>
      <c r="G8">
        <v>27</v>
      </c>
      <c r="H8">
        <v>3</v>
      </c>
      <c r="I8" t="s">
        <v>39</v>
      </c>
      <c r="J8" t="s">
        <v>42</v>
      </c>
      <c r="K8" t="s">
        <v>40</v>
      </c>
      <c r="L8">
        <v>1354</v>
      </c>
      <c r="N8">
        <v>1010</v>
      </c>
      <c r="O8" t="s">
        <v>41</v>
      </c>
      <c r="P8" t="s">
        <v>41</v>
      </c>
      <c r="Q8">
        <v>1</v>
      </c>
      <c r="W8">
        <v>0</v>
      </c>
      <c r="X8">
        <v>1818752917</v>
      </c>
      <c r="Y8">
        <v>85.714286000000001</v>
      </c>
      <c r="AA8">
        <v>574.29999999999995</v>
      </c>
      <c r="AB8">
        <v>0</v>
      </c>
      <c r="AC8">
        <v>0</v>
      </c>
      <c r="AD8">
        <v>0</v>
      </c>
      <c r="AE8">
        <v>574.29999999999995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0</v>
      </c>
      <c r="AP8">
        <v>0</v>
      </c>
      <c r="AQ8">
        <v>0</v>
      </c>
      <c r="AR8">
        <v>0</v>
      </c>
      <c r="AS8" t="s">
        <v>3</v>
      </c>
      <c r="AT8">
        <v>85.714286000000001</v>
      </c>
      <c r="AU8" t="s">
        <v>3</v>
      </c>
      <c r="AV8">
        <v>0</v>
      </c>
      <c r="AW8">
        <v>1</v>
      </c>
      <c r="AX8">
        <v>-1</v>
      </c>
      <c r="AY8">
        <v>0</v>
      </c>
      <c r="AZ8">
        <v>0</v>
      </c>
      <c r="BA8" t="s">
        <v>3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Y8*Source!I32</f>
        <v>300.000001</v>
      </c>
      <c r="CY8">
        <f>AA8</f>
        <v>574.29999999999995</v>
      </c>
      <c r="CZ8">
        <f>AE8</f>
        <v>574.29999999999995</v>
      </c>
      <c r="DA8">
        <f>AI8</f>
        <v>1</v>
      </c>
      <c r="DB8">
        <f t="shared" si="0"/>
        <v>49225.71</v>
      </c>
      <c r="DC8">
        <f t="shared" si="1"/>
        <v>0</v>
      </c>
    </row>
    <row r="9" spans="1:107" x14ac:dyDescent="0.2">
      <c r="A9">
        <f>ROW(Source!A34)</f>
        <v>34</v>
      </c>
      <c r="B9">
        <v>38449393</v>
      </c>
      <c r="C9">
        <v>38449587</v>
      </c>
      <c r="D9">
        <v>36621550</v>
      </c>
      <c r="E9">
        <v>27</v>
      </c>
      <c r="F9">
        <v>1</v>
      </c>
      <c r="G9">
        <v>27</v>
      </c>
      <c r="H9">
        <v>1</v>
      </c>
      <c r="I9" t="s">
        <v>119</v>
      </c>
      <c r="J9" t="s">
        <v>3</v>
      </c>
      <c r="K9" t="s">
        <v>120</v>
      </c>
      <c r="L9">
        <v>1191</v>
      </c>
      <c r="N9">
        <v>1013</v>
      </c>
      <c r="O9" t="s">
        <v>121</v>
      </c>
      <c r="P9" t="s">
        <v>121</v>
      </c>
      <c r="Q9">
        <v>1</v>
      </c>
      <c r="W9">
        <v>0</v>
      </c>
      <c r="X9">
        <v>476480486</v>
      </c>
      <c r="Y9">
        <v>18.89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N9">
        <v>0</v>
      </c>
      <c r="AO9">
        <v>1</v>
      </c>
      <c r="AP9">
        <v>0</v>
      </c>
      <c r="AQ9">
        <v>0</v>
      </c>
      <c r="AR9">
        <v>0</v>
      </c>
      <c r="AS9" t="s">
        <v>3</v>
      </c>
      <c r="AT9">
        <v>18.89</v>
      </c>
      <c r="AU9" t="s">
        <v>3</v>
      </c>
      <c r="AV9">
        <v>1</v>
      </c>
      <c r="AW9">
        <v>2</v>
      </c>
      <c r="AX9">
        <v>38449588</v>
      </c>
      <c r="AY9">
        <v>1</v>
      </c>
      <c r="AZ9">
        <v>0</v>
      </c>
      <c r="BA9">
        <v>10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Y9*Source!I34</f>
        <v>15.112000000000002</v>
      </c>
      <c r="CY9">
        <f>AD9</f>
        <v>0</v>
      </c>
      <c r="CZ9">
        <f>AH9</f>
        <v>0</v>
      </c>
      <c r="DA9">
        <f>AL9</f>
        <v>1</v>
      </c>
      <c r="DB9">
        <f t="shared" si="0"/>
        <v>0</v>
      </c>
      <c r="DC9">
        <f t="shared" si="1"/>
        <v>0</v>
      </c>
    </row>
    <row r="10" spans="1:107" x14ac:dyDescent="0.2">
      <c r="A10">
        <f>ROW(Source!A34)</f>
        <v>34</v>
      </c>
      <c r="B10">
        <v>38449393</v>
      </c>
      <c r="C10">
        <v>38449587</v>
      </c>
      <c r="D10">
        <v>36638309</v>
      </c>
      <c r="E10">
        <v>1</v>
      </c>
      <c r="F10">
        <v>1</v>
      </c>
      <c r="G10">
        <v>27</v>
      </c>
      <c r="H10">
        <v>3</v>
      </c>
      <c r="I10" t="s">
        <v>125</v>
      </c>
      <c r="J10" t="s">
        <v>126</v>
      </c>
      <c r="K10" t="s">
        <v>127</v>
      </c>
      <c r="L10">
        <v>1346</v>
      </c>
      <c r="N10">
        <v>1009</v>
      </c>
      <c r="O10" t="s">
        <v>128</v>
      </c>
      <c r="P10" t="s">
        <v>128</v>
      </c>
      <c r="Q10">
        <v>1</v>
      </c>
      <c r="W10">
        <v>0</v>
      </c>
      <c r="X10">
        <v>320313131</v>
      </c>
      <c r="Y10">
        <v>0.7</v>
      </c>
      <c r="AA10">
        <v>33.450000000000003</v>
      </c>
      <c r="AB10">
        <v>0</v>
      </c>
      <c r="AC10">
        <v>0</v>
      </c>
      <c r="AD10">
        <v>0</v>
      </c>
      <c r="AE10">
        <v>33.450000000000003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 t="s">
        <v>3</v>
      </c>
      <c r="AT10">
        <v>0.7</v>
      </c>
      <c r="AU10" t="s">
        <v>3</v>
      </c>
      <c r="AV10">
        <v>0</v>
      </c>
      <c r="AW10">
        <v>2</v>
      </c>
      <c r="AX10">
        <v>38449589</v>
      </c>
      <c r="AY10">
        <v>1</v>
      </c>
      <c r="AZ10">
        <v>0</v>
      </c>
      <c r="BA10">
        <v>11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Y10*Source!I34</f>
        <v>0.55999999999999994</v>
      </c>
      <c r="CY10">
        <f>AA10</f>
        <v>33.450000000000003</v>
      </c>
      <c r="CZ10">
        <f>AE10</f>
        <v>33.450000000000003</v>
      </c>
      <c r="DA10">
        <f>AI10</f>
        <v>1</v>
      </c>
      <c r="DB10">
        <f t="shared" si="0"/>
        <v>23.42</v>
      </c>
      <c r="DC10">
        <f t="shared" si="1"/>
        <v>0</v>
      </c>
    </row>
    <row r="11" spans="1:107" x14ac:dyDescent="0.2">
      <c r="A11">
        <f>ROW(Source!A34)</f>
        <v>34</v>
      </c>
      <c r="B11">
        <v>38449393</v>
      </c>
      <c r="C11">
        <v>38449587</v>
      </c>
      <c r="D11">
        <v>36638315</v>
      </c>
      <c r="E11">
        <v>1</v>
      </c>
      <c r="F11">
        <v>1</v>
      </c>
      <c r="G11">
        <v>27</v>
      </c>
      <c r="H11">
        <v>3</v>
      </c>
      <c r="I11" t="s">
        <v>129</v>
      </c>
      <c r="J11" t="s">
        <v>130</v>
      </c>
      <c r="K11" t="s">
        <v>131</v>
      </c>
      <c r="L11">
        <v>1346</v>
      </c>
      <c r="N11">
        <v>1009</v>
      </c>
      <c r="O11" t="s">
        <v>128</v>
      </c>
      <c r="P11" t="s">
        <v>128</v>
      </c>
      <c r="Q11">
        <v>1</v>
      </c>
      <c r="W11">
        <v>0</v>
      </c>
      <c r="X11">
        <v>193779507</v>
      </c>
      <c r="Y11">
        <v>350</v>
      </c>
      <c r="AA11">
        <v>12.24</v>
      </c>
      <c r="AB11">
        <v>0</v>
      </c>
      <c r="AC11">
        <v>0</v>
      </c>
      <c r="AD11">
        <v>0</v>
      </c>
      <c r="AE11">
        <v>12.24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 t="s">
        <v>3</v>
      </c>
      <c r="AT11">
        <v>350</v>
      </c>
      <c r="AU11" t="s">
        <v>3</v>
      </c>
      <c r="AV11">
        <v>0</v>
      </c>
      <c r="AW11">
        <v>2</v>
      </c>
      <c r="AX11">
        <v>38449590</v>
      </c>
      <c r="AY11">
        <v>1</v>
      </c>
      <c r="AZ11">
        <v>0</v>
      </c>
      <c r="BA11">
        <v>12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Y11*Source!I34</f>
        <v>280</v>
      </c>
      <c r="CY11">
        <f>AA11</f>
        <v>12.24</v>
      </c>
      <c r="CZ11">
        <f>AE11</f>
        <v>12.24</v>
      </c>
      <c r="DA11">
        <f>AI11</f>
        <v>1</v>
      </c>
      <c r="DB11">
        <f t="shared" si="0"/>
        <v>4284</v>
      </c>
      <c r="DC11">
        <f t="shared" si="1"/>
        <v>0</v>
      </c>
    </row>
    <row r="12" spans="1:107" x14ac:dyDescent="0.2">
      <c r="A12">
        <f>ROW(Source!A35)</f>
        <v>35</v>
      </c>
      <c r="B12">
        <v>38449393</v>
      </c>
      <c r="C12">
        <v>38459487</v>
      </c>
      <c r="D12">
        <v>36621550</v>
      </c>
      <c r="E12">
        <v>27</v>
      </c>
      <c r="F12">
        <v>1</v>
      </c>
      <c r="G12">
        <v>27</v>
      </c>
      <c r="H12">
        <v>1</v>
      </c>
      <c r="I12" t="s">
        <v>119</v>
      </c>
      <c r="J12" t="s">
        <v>3</v>
      </c>
      <c r="K12" t="s">
        <v>120</v>
      </c>
      <c r="L12">
        <v>1191</v>
      </c>
      <c r="N12">
        <v>1013</v>
      </c>
      <c r="O12" t="s">
        <v>121</v>
      </c>
      <c r="P12" t="s">
        <v>121</v>
      </c>
      <c r="Q12">
        <v>1</v>
      </c>
      <c r="W12">
        <v>0</v>
      </c>
      <c r="X12">
        <v>476480486</v>
      </c>
      <c r="Y12">
        <v>1.84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 t="s">
        <v>3</v>
      </c>
      <c r="AT12">
        <v>1.84</v>
      </c>
      <c r="AU12" t="s">
        <v>3</v>
      </c>
      <c r="AV12">
        <v>1</v>
      </c>
      <c r="AW12">
        <v>2</v>
      </c>
      <c r="AX12">
        <v>38459488</v>
      </c>
      <c r="AY12">
        <v>1</v>
      </c>
      <c r="AZ12">
        <v>0</v>
      </c>
      <c r="BA12">
        <v>13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Y12*Source!I35</f>
        <v>0.36800000000000005</v>
      </c>
      <c r="CY12">
        <f>AD12</f>
        <v>0</v>
      </c>
      <c r="CZ12">
        <f>AH12</f>
        <v>0</v>
      </c>
      <c r="DA12">
        <f>AL12</f>
        <v>1</v>
      </c>
      <c r="DB12">
        <f t="shared" si="0"/>
        <v>0</v>
      </c>
      <c r="DC12">
        <f t="shared" si="1"/>
        <v>0</v>
      </c>
    </row>
    <row r="13" spans="1:107" x14ac:dyDescent="0.2">
      <c r="A13">
        <f>ROW(Source!A36)</f>
        <v>36</v>
      </c>
      <c r="B13">
        <v>38449393</v>
      </c>
      <c r="C13">
        <v>38459489</v>
      </c>
      <c r="D13">
        <v>36634521</v>
      </c>
      <c r="E13">
        <v>1</v>
      </c>
      <c r="F13">
        <v>1</v>
      </c>
      <c r="G13">
        <v>27</v>
      </c>
      <c r="H13">
        <v>2</v>
      </c>
      <c r="I13" t="s">
        <v>132</v>
      </c>
      <c r="J13" t="s">
        <v>133</v>
      </c>
      <c r="K13" t="s">
        <v>134</v>
      </c>
      <c r="L13">
        <v>1368</v>
      </c>
      <c r="N13">
        <v>1011</v>
      </c>
      <c r="O13" t="s">
        <v>135</v>
      </c>
      <c r="P13" t="s">
        <v>135</v>
      </c>
      <c r="Q13">
        <v>1</v>
      </c>
      <c r="W13">
        <v>0</v>
      </c>
      <c r="X13">
        <v>161741876</v>
      </c>
      <c r="Y13">
        <v>0.17599999999999999</v>
      </c>
      <c r="AA13">
        <v>0</v>
      </c>
      <c r="AB13">
        <v>1327.57</v>
      </c>
      <c r="AC13">
        <v>367.72</v>
      </c>
      <c r="AD13">
        <v>0</v>
      </c>
      <c r="AE13">
        <v>0</v>
      </c>
      <c r="AF13">
        <v>1327.57</v>
      </c>
      <c r="AG13">
        <v>367.72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 t="s">
        <v>3</v>
      </c>
      <c r="AT13">
        <v>0.17599999999999999</v>
      </c>
      <c r="AU13" t="s">
        <v>3</v>
      </c>
      <c r="AV13">
        <v>0</v>
      </c>
      <c r="AW13">
        <v>2</v>
      </c>
      <c r="AX13">
        <v>38459490</v>
      </c>
      <c r="AY13">
        <v>1</v>
      </c>
      <c r="AZ13">
        <v>0</v>
      </c>
      <c r="BA13">
        <v>14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Y13*Source!I36</f>
        <v>3.5200000000000002E-2</v>
      </c>
      <c r="CY13">
        <f>AB13</f>
        <v>1327.57</v>
      </c>
      <c r="CZ13">
        <f>AF13</f>
        <v>1327.57</v>
      </c>
      <c r="DA13">
        <f>AJ13</f>
        <v>1</v>
      </c>
      <c r="DB13">
        <f t="shared" si="0"/>
        <v>233.65</v>
      </c>
      <c r="DC13">
        <f t="shared" si="1"/>
        <v>64.72</v>
      </c>
    </row>
    <row r="14" spans="1:107" x14ac:dyDescent="0.2">
      <c r="A14">
        <f>ROW(Source!A37)</f>
        <v>37</v>
      </c>
      <c r="B14">
        <v>38449393</v>
      </c>
      <c r="C14">
        <v>38459491</v>
      </c>
      <c r="D14">
        <v>36634521</v>
      </c>
      <c r="E14">
        <v>1</v>
      </c>
      <c r="F14">
        <v>1</v>
      </c>
      <c r="G14">
        <v>27</v>
      </c>
      <c r="H14">
        <v>2</v>
      </c>
      <c r="I14" t="s">
        <v>132</v>
      </c>
      <c r="J14" t="s">
        <v>133</v>
      </c>
      <c r="K14" t="s">
        <v>134</v>
      </c>
      <c r="L14">
        <v>1368</v>
      </c>
      <c r="N14">
        <v>1011</v>
      </c>
      <c r="O14" t="s">
        <v>135</v>
      </c>
      <c r="P14" t="s">
        <v>135</v>
      </c>
      <c r="Q14">
        <v>1</v>
      </c>
      <c r="W14">
        <v>0</v>
      </c>
      <c r="X14">
        <v>161741876</v>
      </c>
      <c r="Y14">
        <v>0.48959999999999998</v>
      </c>
      <c r="AA14">
        <v>0</v>
      </c>
      <c r="AB14">
        <v>1327.57</v>
      </c>
      <c r="AC14">
        <v>367.72</v>
      </c>
      <c r="AD14">
        <v>0</v>
      </c>
      <c r="AE14">
        <v>0</v>
      </c>
      <c r="AF14">
        <v>1327.57</v>
      </c>
      <c r="AG14">
        <v>367.72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1</v>
      </c>
      <c r="AQ14">
        <v>0</v>
      </c>
      <c r="AR14">
        <v>0</v>
      </c>
      <c r="AS14" t="s">
        <v>3</v>
      </c>
      <c r="AT14">
        <v>9.5999999999999992E-3</v>
      </c>
      <c r="AU14" t="s">
        <v>62</v>
      </c>
      <c r="AV14">
        <v>0</v>
      </c>
      <c r="AW14">
        <v>2</v>
      </c>
      <c r="AX14">
        <v>38459492</v>
      </c>
      <c r="AY14">
        <v>1</v>
      </c>
      <c r="AZ14">
        <v>0</v>
      </c>
      <c r="BA14">
        <v>15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Y14*Source!I37</f>
        <v>9.7920000000000007E-2</v>
      </c>
      <c r="CY14">
        <f>AB14</f>
        <v>1327.57</v>
      </c>
      <c r="CZ14">
        <f>AF14</f>
        <v>1327.57</v>
      </c>
      <c r="DA14">
        <f>AJ14</f>
        <v>1</v>
      </c>
      <c r="DB14">
        <f>ROUND((ROUND(AT14*CZ14,2)*51),6)</f>
        <v>649.74</v>
      </c>
      <c r="DC14">
        <f>ROUND((ROUND(AT14*AG14,2)*51),6)</f>
        <v>180.03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15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44" x14ac:dyDescent="0.2">
      <c r="A1">
        <f>ROW(Source!A28)</f>
        <v>28</v>
      </c>
      <c r="B1">
        <v>38459472</v>
      </c>
      <c r="C1">
        <v>38459467</v>
      </c>
      <c r="D1">
        <v>36621550</v>
      </c>
      <c r="E1">
        <v>27</v>
      </c>
      <c r="F1">
        <v>1</v>
      </c>
      <c r="G1">
        <v>27</v>
      </c>
      <c r="H1">
        <v>1</v>
      </c>
      <c r="I1" t="s">
        <v>119</v>
      </c>
      <c r="J1" t="s">
        <v>3</v>
      </c>
      <c r="K1" t="s">
        <v>120</v>
      </c>
      <c r="L1">
        <v>1191</v>
      </c>
      <c r="N1">
        <v>1013</v>
      </c>
      <c r="O1" t="s">
        <v>121</v>
      </c>
      <c r="P1" t="s">
        <v>121</v>
      </c>
      <c r="Q1">
        <v>1</v>
      </c>
      <c r="X1">
        <v>162.44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3</v>
      </c>
      <c r="AG1">
        <v>162.44</v>
      </c>
      <c r="AH1">
        <v>2</v>
      </c>
      <c r="AI1">
        <v>38459472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">
      <c r="A2">
        <f>ROW(Source!A29)</f>
        <v>29</v>
      </c>
      <c r="B2">
        <v>38449572</v>
      </c>
      <c r="C2">
        <v>38449571</v>
      </c>
      <c r="D2">
        <v>36621550</v>
      </c>
      <c r="E2">
        <v>27</v>
      </c>
      <c r="F2">
        <v>1</v>
      </c>
      <c r="G2">
        <v>27</v>
      </c>
      <c r="H2">
        <v>1</v>
      </c>
      <c r="I2" t="s">
        <v>119</v>
      </c>
      <c r="J2" t="s">
        <v>3</v>
      </c>
      <c r="K2" t="s">
        <v>120</v>
      </c>
      <c r="L2">
        <v>1191</v>
      </c>
      <c r="N2">
        <v>1013</v>
      </c>
      <c r="O2" t="s">
        <v>121</v>
      </c>
      <c r="P2" t="s">
        <v>121</v>
      </c>
      <c r="Q2">
        <v>1</v>
      </c>
      <c r="X2">
        <v>1.62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 t="s">
        <v>3</v>
      </c>
      <c r="AG2">
        <v>1.62</v>
      </c>
      <c r="AH2">
        <v>2</v>
      </c>
      <c r="AI2">
        <v>38449572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>
        <f>ROW(Source!A29)</f>
        <v>29</v>
      </c>
      <c r="B3">
        <v>38449573</v>
      </c>
      <c r="C3">
        <v>38449571</v>
      </c>
      <c r="D3">
        <v>36621641</v>
      </c>
      <c r="E3">
        <v>27</v>
      </c>
      <c r="F3">
        <v>1</v>
      </c>
      <c r="G3">
        <v>27</v>
      </c>
      <c r="H3">
        <v>3</v>
      </c>
      <c r="I3" t="s">
        <v>136</v>
      </c>
      <c r="J3" t="s">
        <v>3</v>
      </c>
      <c r="K3" t="s">
        <v>137</v>
      </c>
      <c r="L3">
        <v>1339</v>
      </c>
      <c r="N3">
        <v>1007</v>
      </c>
      <c r="O3" t="s">
        <v>30</v>
      </c>
      <c r="P3" t="s">
        <v>30</v>
      </c>
      <c r="Q3">
        <v>1</v>
      </c>
      <c r="X3">
        <v>0.625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t="s">
        <v>3</v>
      </c>
      <c r="AG3">
        <v>0.625</v>
      </c>
      <c r="AH3">
        <v>3</v>
      </c>
      <c r="AI3">
        <v>-1</v>
      </c>
      <c r="AJ3" t="s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f>ROW(Source!A31)</f>
        <v>31</v>
      </c>
      <c r="B4">
        <v>38449578</v>
      </c>
      <c r="C4">
        <v>38449577</v>
      </c>
      <c r="D4">
        <v>36621550</v>
      </c>
      <c r="E4">
        <v>27</v>
      </c>
      <c r="F4">
        <v>1</v>
      </c>
      <c r="G4">
        <v>27</v>
      </c>
      <c r="H4">
        <v>1</v>
      </c>
      <c r="I4" t="s">
        <v>119</v>
      </c>
      <c r="J4" t="s">
        <v>3</v>
      </c>
      <c r="K4" t="s">
        <v>120</v>
      </c>
      <c r="L4">
        <v>1191</v>
      </c>
      <c r="N4">
        <v>1013</v>
      </c>
      <c r="O4" t="s">
        <v>121</v>
      </c>
      <c r="P4" t="s">
        <v>121</v>
      </c>
      <c r="Q4">
        <v>1</v>
      </c>
      <c r="X4">
        <v>3.98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 t="s">
        <v>3</v>
      </c>
      <c r="AG4">
        <v>3.98</v>
      </c>
      <c r="AH4">
        <v>2</v>
      </c>
      <c r="AI4">
        <v>38449578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f>ROW(Source!A31)</f>
        <v>31</v>
      </c>
      <c r="B5">
        <v>38449579</v>
      </c>
      <c r="C5">
        <v>38449577</v>
      </c>
      <c r="D5">
        <v>36636621</v>
      </c>
      <c r="E5">
        <v>1</v>
      </c>
      <c r="F5">
        <v>1</v>
      </c>
      <c r="G5">
        <v>27</v>
      </c>
      <c r="H5">
        <v>3</v>
      </c>
      <c r="I5" t="s">
        <v>122</v>
      </c>
      <c r="J5" t="s">
        <v>123</v>
      </c>
      <c r="K5" t="s">
        <v>124</v>
      </c>
      <c r="L5">
        <v>1339</v>
      </c>
      <c r="N5">
        <v>1007</v>
      </c>
      <c r="O5" t="s">
        <v>30</v>
      </c>
      <c r="P5" t="s">
        <v>30</v>
      </c>
      <c r="Q5">
        <v>1</v>
      </c>
      <c r="X5">
        <v>0.63</v>
      </c>
      <c r="Y5">
        <v>35.25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 t="s">
        <v>3</v>
      </c>
      <c r="AG5">
        <v>0.63</v>
      </c>
      <c r="AH5">
        <v>2</v>
      </c>
      <c r="AI5">
        <v>38449579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f>ROW(Source!A31)</f>
        <v>31</v>
      </c>
      <c r="B6">
        <v>38449580</v>
      </c>
      <c r="C6">
        <v>38449577</v>
      </c>
      <c r="D6">
        <v>36621639</v>
      </c>
      <c r="E6">
        <v>27</v>
      </c>
      <c r="F6">
        <v>1</v>
      </c>
      <c r="G6">
        <v>27</v>
      </c>
      <c r="H6">
        <v>3</v>
      </c>
      <c r="I6" t="s">
        <v>138</v>
      </c>
      <c r="J6" t="s">
        <v>3</v>
      </c>
      <c r="K6" t="s">
        <v>139</v>
      </c>
      <c r="L6">
        <v>1354</v>
      </c>
      <c r="N6">
        <v>1010</v>
      </c>
      <c r="O6" t="s">
        <v>41</v>
      </c>
      <c r="P6" t="s">
        <v>41</v>
      </c>
      <c r="Q6">
        <v>1</v>
      </c>
      <c r="X6">
        <v>30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">
        <v>3</v>
      </c>
      <c r="AG6">
        <v>30</v>
      </c>
      <c r="AH6">
        <v>3</v>
      </c>
      <c r="AI6">
        <v>-1</v>
      </c>
      <c r="AJ6" t="s">
        <v>3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f>ROW(Source!A32)</f>
        <v>32</v>
      </c>
      <c r="B7">
        <v>38449583</v>
      </c>
      <c r="C7">
        <v>38449582</v>
      </c>
      <c r="D7">
        <v>36621550</v>
      </c>
      <c r="E7">
        <v>27</v>
      </c>
      <c r="F7">
        <v>1</v>
      </c>
      <c r="G7">
        <v>27</v>
      </c>
      <c r="H7">
        <v>1</v>
      </c>
      <c r="I7" t="s">
        <v>119</v>
      </c>
      <c r="J7" t="s">
        <v>3</v>
      </c>
      <c r="K7" t="s">
        <v>120</v>
      </c>
      <c r="L7">
        <v>1191</v>
      </c>
      <c r="N7">
        <v>1013</v>
      </c>
      <c r="O7" t="s">
        <v>121</v>
      </c>
      <c r="P7" t="s">
        <v>121</v>
      </c>
      <c r="Q7">
        <v>1</v>
      </c>
      <c r="X7">
        <v>3.98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 t="s">
        <v>3</v>
      </c>
      <c r="AG7">
        <v>3.98</v>
      </c>
      <c r="AH7">
        <v>2</v>
      </c>
      <c r="AI7">
        <v>38449583</v>
      </c>
      <c r="AJ7">
        <v>6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f>ROW(Source!A32)</f>
        <v>32</v>
      </c>
      <c r="B8">
        <v>38449584</v>
      </c>
      <c r="C8">
        <v>38449582</v>
      </c>
      <c r="D8">
        <v>36636621</v>
      </c>
      <c r="E8">
        <v>1</v>
      </c>
      <c r="F8">
        <v>1</v>
      </c>
      <c r="G8">
        <v>27</v>
      </c>
      <c r="H8">
        <v>3</v>
      </c>
      <c r="I8" t="s">
        <v>122</v>
      </c>
      <c r="J8" t="s">
        <v>123</v>
      </c>
      <c r="K8" t="s">
        <v>124</v>
      </c>
      <c r="L8">
        <v>1339</v>
      </c>
      <c r="N8">
        <v>1007</v>
      </c>
      <c r="O8" t="s">
        <v>30</v>
      </c>
      <c r="P8" t="s">
        <v>30</v>
      </c>
      <c r="Q8">
        <v>1</v>
      </c>
      <c r="X8">
        <v>0.63</v>
      </c>
      <c r="Y8">
        <v>35.25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 t="s">
        <v>3</v>
      </c>
      <c r="AG8">
        <v>0.63</v>
      </c>
      <c r="AH8">
        <v>2</v>
      </c>
      <c r="AI8">
        <v>38449584</v>
      </c>
      <c r="AJ8">
        <v>7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f>ROW(Source!A32)</f>
        <v>32</v>
      </c>
      <c r="B9">
        <v>38449585</v>
      </c>
      <c r="C9">
        <v>38449582</v>
      </c>
      <c r="D9">
        <v>36621639</v>
      </c>
      <c r="E9">
        <v>27</v>
      </c>
      <c r="F9">
        <v>1</v>
      </c>
      <c r="G9">
        <v>27</v>
      </c>
      <c r="H9">
        <v>3</v>
      </c>
      <c r="I9" t="s">
        <v>138</v>
      </c>
      <c r="J9" t="s">
        <v>3</v>
      </c>
      <c r="K9" t="s">
        <v>139</v>
      </c>
      <c r="L9">
        <v>1354</v>
      </c>
      <c r="N9">
        <v>1010</v>
      </c>
      <c r="O9" t="s">
        <v>41</v>
      </c>
      <c r="P9" t="s">
        <v>41</v>
      </c>
      <c r="Q9">
        <v>1</v>
      </c>
      <c r="X9">
        <v>30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t="s">
        <v>3</v>
      </c>
      <c r="AG9">
        <v>30</v>
      </c>
      <c r="AH9">
        <v>3</v>
      </c>
      <c r="AI9">
        <v>-1</v>
      </c>
      <c r="AJ9" t="s">
        <v>3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f>ROW(Source!A34)</f>
        <v>34</v>
      </c>
      <c r="B10">
        <v>38449588</v>
      </c>
      <c r="C10">
        <v>38449587</v>
      </c>
      <c r="D10">
        <v>36621550</v>
      </c>
      <c r="E10">
        <v>27</v>
      </c>
      <c r="F10">
        <v>1</v>
      </c>
      <c r="G10">
        <v>27</v>
      </c>
      <c r="H10">
        <v>1</v>
      </c>
      <c r="I10" t="s">
        <v>119</v>
      </c>
      <c r="J10" t="s">
        <v>3</v>
      </c>
      <c r="K10" t="s">
        <v>120</v>
      </c>
      <c r="L10">
        <v>1191</v>
      </c>
      <c r="N10">
        <v>1013</v>
      </c>
      <c r="O10" t="s">
        <v>121</v>
      </c>
      <c r="P10" t="s">
        <v>121</v>
      </c>
      <c r="Q10">
        <v>1</v>
      </c>
      <c r="X10">
        <v>18.89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 t="s">
        <v>3</v>
      </c>
      <c r="AG10">
        <v>18.89</v>
      </c>
      <c r="AH10">
        <v>2</v>
      </c>
      <c r="AI10">
        <v>38449588</v>
      </c>
      <c r="AJ10">
        <v>9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f>ROW(Source!A34)</f>
        <v>34</v>
      </c>
      <c r="B11">
        <v>38449589</v>
      </c>
      <c r="C11">
        <v>38449587</v>
      </c>
      <c r="D11">
        <v>36638309</v>
      </c>
      <c r="E11">
        <v>1</v>
      </c>
      <c r="F11">
        <v>1</v>
      </c>
      <c r="G11">
        <v>27</v>
      </c>
      <c r="H11">
        <v>3</v>
      </c>
      <c r="I11" t="s">
        <v>125</v>
      </c>
      <c r="J11" t="s">
        <v>126</v>
      </c>
      <c r="K11" t="s">
        <v>127</v>
      </c>
      <c r="L11">
        <v>1346</v>
      </c>
      <c r="N11">
        <v>1009</v>
      </c>
      <c r="O11" t="s">
        <v>128</v>
      </c>
      <c r="P11" t="s">
        <v>128</v>
      </c>
      <c r="Q11">
        <v>1</v>
      </c>
      <c r="X11">
        <v>0.7</v>
      </c>
      <c r="Y11">
        <v>33.450000000000003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 t="s">
        <v>3</v>
      </c>
      <c r="AG11">
        <v>0.7</v>
      </c>
      <c r="AH11">
        <v>2</v>
      </c>
      <c r="AI11">
        <v>38449589</v>
      </c>
      <c r="AJ11">
        <v>10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f>ROW(Source!A34)</f>
        <v>34</v>
      </c>
      <c r="B12">
        <v>38449590</v>
      </c>
      <c r="C12">
        <v>38449587</v>
      </c>
      <c r="D12">
        <v>36638315</v>
      </c>
      <c r="E12">
        <v>1</v>
      </c>
      <c r="F12">
        <v>1</v>
      </c>
      <c r="G12">
        <v>27</v>
      </c>
      <c r="H12">
        <v>3</v>
      </c>
      <c r="I12" t="s">
        <v>129</v>
      </c>
      <c r="J12" t="s">
        <v>130</v>
      </c>
      <c r="K12" t="s">
        <v>131</v>
      </c>
      <c r="L12">
        <v>1346</v>
      </c>
      <c r="N12">
        <v>1009</v>
      </c>
      <c r="O12" t="s">
        <v>128</v>
      </c>
      <c r="P12" t="s">
        <v>128</v>
      </c>
      <c r="Q12">
        <v>1</v>
      </c>
      <c r="X12">
        <v>350</v>
      </c>
      <c r="Y12">
        <v>12.24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 t="s">
        <v>3</v>
      </c>
      <c r="AG12">
        <v>350</v>
      </c>
      <c r="AH12">
        <v>2</v>
      </c>
      <c r="AI12">
        <v>38449590</v>
      </c>
      <c r="AJ12">
        <v>11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f>ROW(Source!A35)</f>
        <v>35</v>
      </c>
      <c r="B13">
        <v>38459488</v>
      </c>
      <c r="C13">
        <v>38459487</v>
      </c>
      <c r="D13">
        <v>36621550</v>
      </c>
      <c r="E13">
        <v>27</v>
      </c>
      <c r="F13">
        <v>1</v>
      </c>
      <c r="G13">
        <v>27</v>
      </c>
      <c r="H13">
        <v>1</v>
      </c>
      <c r="I13" t="s">
        <v>119</v>
      </c>
      <c r="J13" t="s">
        <v>3</v>
      </c>
      <c r="K13" t="s">
        <v>120</v>
      </c>
      <c r="L13">
        <v>1191</v>
      </c>
      <c r="N13">
        <v>1013</v>
      </c>
      <c r="O13" t="s">
        <v>121</v>
      </c>
      <c r="P13" t="s">
        <v>121</v>
      </c>
      <c r="Q13">
        <v>1</v>
      </c>
      <c r="X13">
        <v>1.84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 t="s">
        <v>3</v>
      </c>
      <c r="AG13">
        <v>1.84</v>
      </c>
      <c r="AH13">
        <v>2</v>
      </c>
      <c r="AI13">
        <v>38459488</v>
      </c>
      <c r="AJ13">
        <v>12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f>ROW(Source!A36)</f>
        <v>36</v>
      </c>
      <c r="B14">
        <v>38459490</v>
      </c>
      <c r="C14">
        <v>38459489</v>
      </c>
      <c r="D14">
        <v>36634521</v>
      </c>
      <c r="E14">
        <v>1</v>
      </c>
      <c r="F14">
        <v>1</v>
      </c>
      <c r="G14">
        <v>27</v>
      </c>
      <c r="H14">
        <v>2</v>
      </c>
      <c r="I14" t="s">
        <v>132</v>
      </c>
      <c r="J14" t="s">
        <v>133</v>
      </c>
      <c r="K14" t="s">
        <v>134</v>
      </c>
      <c r="L14">
        <v>1368</v>
      </c>
      <c r="N14">
        <v>1011</v>
      </c>
      <c r="O14" t="s">
        <v>135</v>
      </c>
      <c r="P14" t="s">
        <v>135</v>
      </c>
      <c r="Q14">
        <v>1</v>
      </c>
      <c r="X14">
        <v>0.17599999999999999</v>
      </c>
      <c r="Y14">
        <v>0</v>
      </c>
      <c r="Z14">
        <v>1327.57</v>
      </c>
      <c r="AA14">
        <v>367.72</v>
      </c>
      <c r="AB14">
        <v>0</v>
      </c>
      <c r="AC14">
        <v>0</v>
      </c>
      <c r="AD14">
        <v>1</v>
      </c>
      <c r="AE14">
        <v>0</v>
      </c>
      <c r="AF14" t="s">
        <v>3</v>
      </c>
      <c r="AG14">
        <v>0.17599999999999999</v>
      </c>
      <c r="AH14">
        <v>2</v>
      </c>
      <c r="AI14">
        <v>38459490</v>
      </c>
      <c r="AJ14">
        <v>13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f>ROW(Source!A37)</f>
        <v>37</v>
      </c>
      <c r="B15">
        <v>38459492</v>
      </c>
      <c r="C15">
        <v>38459491</v>
      </c>
      <c r="D15">
        <v>36634521</v>
      </c>
      <c r="E15">
        <v>1</v>
      </c>
      <c r="F15">
        <v>1</v>
      </c>
      <c r="G15">
        <v>27</v>
      </c>
      <c r="H15">
        <v>2</v>
      </c>
      <c r="I15" t="s">
        <v>132</v>
      </c>
      <c r="J15" t="s">
        <v>133</v>
      </c>
      <c r="K15" t="s">
        <v>134</v>
      </c>
      <c r="L15">
        <v>1368</v>
      </c>
      <c r="N15">
        <v>1011</v>
      </c>
      <c r="O15" t="s">
        <v>135</v>
      </c>
      <c r="P15" t="s">
        <v>135</v>
      </c>
      <c r="Q15">
        <v>1</v>
      </c>
      <c r="X15">
        <v>9.5999999999999992E-3</v>
      </c>
      <c r="Y15">
        <v>0</v>
      </c>
      <c r="Z15">
        <v>1327.57</v>
      </c>
      <c r="AA15">
        <v>367.72</v>
      </c>
      <c r="AB15">
        <v>0</v>
      </c>
      <c r="AC15">
        <v>0</v>
      </c>
      <c r="AD15">
        <v>1</v>
      </c>
      <c r="AE15">
        <v>0</v>
      </c>
      <c r="AF15" t="s">
        <v>62</v>
      </c>
      <c r="AG15">
        <v>0.48959999999999998</v>
      </c>
      <c r="AH15">
        <v>2</v>
      </c>
      <c r="AI15">
        <v>38459492</v>
      </c>
      <c r="AJ15">
        <v>14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Смета СН-2012 по гл. 1-5</vt:lpstr>
      <vt:lpstr>Дефектная ведомость</vt:lpstr>
      <vt:lpstr>Ведомость объемов работ</vt:lpstr>
      <vt:lpstr>Source</vt:lpstr>
      <vt:lpstr>SourceObSm</vt:lpstr>
      <vt:lpstr>SmtRes</vt:lpstr>
      <vt:lpstr>EtalonRes</vt:lpstr>
      <vt:lpstr>'Ведомость объемов работ'!Заголовки_для_печати</vt:lpstr>
      <vt:lpstr>'Дефектная ведомость'!Заголовки_для_печати</vt:lpstr>
      <vt:lpstr>'Смета СН-2012 по гл. 1-5'!Заголовки_для_печати</vt:lpstr>
      <vt:lpstr>'Ведомость объемов работ'!Область_печати</vt:lpstr>
      <vt:lpstr>'Дефектная ведомость'!Область_печати</vt:lpstr>
      <vt:lpstr>'Смета СН-2012 по гл. 1-5'!Область_печати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CAB-326</cp:lastModifiedBy>
  <cp:lastPrinted>2021-08-10T14:02:29Z</cp:lastPrinted>
  <dcterms:created xsi:type="dcterms:W3CDTF">2021-08-10T13:01:21Z</dcterms:created>
  <dcterms:modified xsi:type="dcterms:W3CDTF">2021-09-08T06:53:29Z</dcterms:modified>
</cp:coreProperties>
</file>